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C:\Users\gholami_s\Desktop\"/>
    </mc:Choice>
  </mc:AlternateContent>
  <xr:revisionPtr revIDLastSave="0" documentId="13_ncr:1_{23C2E8D7-161A-424E-AC54-E3F85A7D9CE0}" xr6:coauthVersionLast="47" xr6:coauthVersionMax="47" xr10:uidLastSave="{00000000-0000-0000-0000-000000000000}"/>
  <bookViews>
    <workbookView xWindow="-120" yWindow="-120" windowWidth="15600" windowHeight="11160" tabRatio="920" firstSheet="5" activeTab="6" xr2:uid="{00000000-000D-0000-FFFF-FFFF00000000}"/>
  </bookViews>
  <sheets>
    <sheet name="فهرست_صورتهاي_مالي_ص_1" sheetId="1" r:id="rId1"/>
    <sheet name="صورت_وضعيت_مالي" sheetId="2" r:id="rId2"/>
    <sheet name="صورت_تغييرات_" sheetId="3" r:id="rId3"/>
    <sheet name="صورت_تغييرات_ (2)" sheetId="108" r:id="rId4"/>
    <sheet name="مقايسه_بودجه_وعملكرد" sheetId="4" r:id="rId5"/>
    <sheet name="يادداشت_1_ص" sheetId="5" r:id="rId6"/>
    <sheet name="يادداشت توضيحي 1-4-1 (4)" sheetId="110" r:id="rId7"/>
    <sheet name="يادداشت توضيحي 2-4-1 (4)" sheetId="111" r:id="rId8"/>
    <sheet name="يادداشت توضيحي3-4-1 (3)" sheetId="112" r:id="rId9"/>
    <sheet name="يادداشت_1_ص_6" sheetId="70" r:id="rId10"/>
    <sheet name="ي_3_موجودي_نقد " sheetId="71" r:id="rId11"/>
    <sheet name="ي4_حساب_اسناددريافتني_ح_ا_ع (2" sheetId="72" r:id="rId12"/>
    <sheet name="يادداشت_-5موجودی_جنسی__(2)" sheetId="12" r:id="rId13"/>
    <sheet name="پيش پرداخت يادداشت-6" sheetId="13" r:id="rId14"/>
    <sheet name="پيش پرداخت سرمايه اي يادداشت 6" sheetId="50" r:id="rId15"/>
    <sheet name="يادداشت_2-3-6تفكيك_پيمانكار" sheetId="14" r:id="rId16"/>
    <sheet name="یادداشت 7 دارایییی اصلاحی" sheetId="55" r:id="rId17"/>
    <sheet name="ي_7_دارايي_هاي_ثابت_کل_" sheetId="16" r:id="rId18"/>
    <sheet name="ي_7_دارايي_هاي_ثابت_جاري_ ( (3)" sheetId="98" r:id="rId19"/>
    <sheet name="يادداشت 8سرمايه گذاري در شركتها" sheetId="51" r:id="rId20"/>
    <sheet name="مطالبات بلند مدت دولت ياددا (2)" sheetId="87" r:id="rId21"/>
    <sheet name="يادداشت 1-1-10 حسابهاي پرداخخخ " sheetId="56" r:id="rId22"/>
    <sheet name="يادداشت10_حسابهاي اسنادپرداختني" sheetId="19" r:id="rId23"/>
    <sheet name="يادداشت 2-10سپرداه_پرداختني_" sheetId="20" r:id="rId24"/>
    <sheet name="يادداشت 2-2-10سپرده_پرداختني" sheetId="21" r:id="rId25"/>
    <sheet name="حفظ قدرت خرید" sheetId="52" r:id="rId26"/>
    <sheet name="يادداشت 12ح پ حاز ع غ مبادله ای" sheetId="53" r:id="rId27"/>
    <sheet name="يادداشت 11 -سايربدهي_هاي_جاري" sheetId="22" r:id="rId28"/>
    <sheet name="يادداشت 11سايربدهيها به ت پ" sheetId="54" r:id="rId29"/>
    <sheet name="يادداشت 1-13وجوهدريافتي ازخزانه" sheetId="24" r:id="rId30"/>
    <sheet name="13-2" sheetId="62" r:id="rId31"/>
    <sheet name="يادداشت 14وجوه ساير (2)" sheetId="88" r:id="rId32"/>
    <sheet name="يادداشت 15سایر درآمد ها و انتقا" sheetId="45" r:id="rId33"/>
    <sheet name="15-1-1" sheetId="90" r:id="rId34"/>
    <sheet name="ياد 15  سايرهزينه " sheetId="63" r:id="rId35"/>
    <sheet name="يادداشت 17 ارزش خالص" sheetId="23" r:id="rId36"/>
    <sheet name="وجوه_دريافتي_از_خزانه_سایر" sheetId="27" state="hidden" r:id="rId37"/>
    <sheet name="يادداشت19و 20" sheetId="28" r:id="rId38"/>
    <sheet name="ياد 20مقايسه عملكرد12ماهه_ب (2" sheetId="73" r:id="rId39"/>
    <sheet name="يادداشت 20مقايسه_عملكرد_12ماهه" sheetId="32" r:id="rId40"/>
    <sheet name="يادداشت 21" sheetId="48" r:id="rId41"/>
    <sheet name="Sheet1" sheetId="100" r:id="rId42"/>
    <sheet name="Sheet2" sheetId="101" r:id="rId43"/>
  </sheets>
  <definedNames>
    <definedName name="_xlnm._FilterDatabase" localSheetId="16" hidden="1">'یادداشت 7 دارایییی اصلاحی'!$A$11:$BV$56</definedName>
    <definedName name="_xlnm._FilterDatabase" localSheetId="38" hidden="1">'ياد 20مقايسه عملكرد12ماهه_ب (2'!$C$1:$C$201</definedName>
    <definedName name="_xlnm._FilterDatabase" localSheetId="21" hidden="1">'يادداشت 1-1-10 حسابهاي پرداخخخ '!$A$47:$BJ$47</definedName>
    <definedName name="_xlnm._FilterDatabase" localSheetId="22" hidden="1">'يادداشت10_حسابهاي اسنادپرداختني'!$B$13:$I$48</definedName>
    <definedName name="_xlnm.Print_Area" localSheetId="33">'15-1-1'!$A$1:$K$26</definedName>
    <definedName name="_xlnm.Print_Area" localSheetId="14">'پيش پرداخت سرمايه اي يادداشت 6'!$A$1:$S$151</definedName>
    <definedName name="_xlnm.Print_Area" localSheetId="13">'پيش پرداخت يادداشت-6'!$A$1:$P$80</definedName>
    <definedName name="_xlnm.Print_Area" localSheetId="25">'حفظ قدرت خرید'!$A$1:$AA$65</definedName>
    <definedName name="_xlnm.Print_Area" localSheetId="2">صورت_تغييرات_!$A$1:$L$40</definedName>
    <definedName name="_xlnm.Print_Area" localSheetId="3">'صورت_تغييرات_ (2)'!$A$1:$L$39</definedName>
    <definedName name="_xlnm.Print_Area" localSheetId="1">صورت_وضعيت_مالي!$A$1:$Q$22</definedName>
    <definedName name="_xlnm.Print_Area" localSheetId="20">'مطالبات بلند مدت دولت ياددا (2)'!$A$1:$K$95</definedName>
    <definedName name="_xlnm.Print_Area" localSheetId="4">مقايسه_بودجه_وعملكرد!$A$1:$N$39</definedName>
    <definedName name="_xlnm.Print_Area" localSheetId="16">'یادداشت 7 دارایییی اصلاحی'!$A$1:$Y$470</definedName>
    <definedName name="_xlnm.Print_Area" localSheetId="18">'ي_7_دارايي_هاي_ثابت_جاري_ ( (3)'!$A$1:$K$103</definedName>
    <definedName name="_xlnm.Print_Area" localSheetId="17">ي_7_دارايي_هاي_ثابت_کل_!$A$1:$K$318</definedName>
    <definedName name="_xlnm.Print_Area" localSheetId="11">'ي4_حساب_اسناددريافتني_ح_ا_ع (2'!$A$1:$K$191</definedName>
    <definedName name="_xlnm.Print_Area" localSheetId="34">'ياد 15  سايرهزينه '!$A$1:$S$54</definedName>
    <definedName name="_xlnm.Print_Area" localSheetId="38">'ياد 20مقايسه عملكرد12ماهه_ب (2'!$B$1:$AN$201</definedName>
    <definedName name="_xlnm.Print_Area" localSheetId="21">'يادداشت 1-1-10 حسابهاي پرداخخخ '!$A$1:$AM$219</definedName>
    <definedName name="_xlnm.Print_Area" localSheetId="29">'يادداشت 1-13وجوهدريافتي ازخزانه'!$C$1:$AG$57</definedName>
    <definedName name="_xlnm.Print_Area" localSheetId="27">'يادداشت 11 -سايربدهي_هاي_جاري'!$A$1:$N$161</definedName>
    <definedName name="_xlnm.Print_Area" localSheetId="28">'يادداشت 11سايربدهيها به ت پ'!$A$1:$J$88</definedName>
    <definedName name="_xlnm.Print_Area" localSheetId="26">'يادداشت 12ح پ حاز ع غ مبادله ای'!$A$1:$I$31</definedName>
    <definedName name="_xlnm.Print_Area" localSheetId="31">'يادداشت 14وجوه ساير (2)'!$A$1:$K$39</definedName>
    <definedName name="_xlnm.Print_Area" localSheetId="32">'يادداشت 15سایر درآمد ها و انتقا'!$A$1:$AA$39</definedName>
    <definedName name="_xlnm.Print_Area" localSheetId="35">'يادداشت 17 ارزش خالص'!$A$1:$AB$573</definedName>
    <definedName name="_xlnm.Print_Area" localSheetId="23">'يادداشت 2-10سپرداه_پرداختني_'!$A$1:$H$87</definedName>
    <definedName name="_xlnm.Print_Area" localSheetId="24">'يادداشت 2-2-10سپرده_پرداختني'!$A$1:$G$64</definedName>
    <definedName name="_xlnm.Print_Area" localSheetId="39">'يادداشت 20مقايسه_عملكرد_12ماهه'!$A$1:$AF$29</definedName>
    <definedName name="_xlnm.Print_Area" localSheetId="40">'يادداشت 21'!$A$1:$I$37</definedName>
    <definedName name="_xlnm.Print_Area" localSheetId="19">'يادداشت 8سرمايه گذاري در شركتها'!$A$1:$M$174</definedName>
    <definedName name="_xlnm.Print_Area" localSheetId="6">'يادداشت توضيحي 1-4-1 (4)'!$A$1:$Z$173</definedName>
    <definedName name="_xlnm.Print_Area" localSheetId="7">'يادداشت توضيحي 2-4-1 (4)'!$A$1:$J$65</definedName>
    <definedName name="_xlnm.Print_Area" localSheetId="8">'يادداشت توضيحي3-4-1 (3)'!$A$1:$P$144</definedName>
    <definedName name="_xlnm.Print_Area" localSheetId="12">'يادداشت_-5موجودی_جنسی__(2)'!$A$1:$R$88</definedName>
    <definedName name="_xlnm.Print_Area" localSheetId="5">يادداشت_1_ص!$A$1:$H$33</definedName>
    <definedName name="_xlnm.Print_Area" localSheetId="9">يادداشت_1_ص_6!$A$1:$H$37</definedName>
    <definedName name="_xlnm.Print_Area" localSheetId="15">'يادداشت_2-3-6تفكيك_پيمانكار'!$A$1:$J$70</definedName>
    <definedName name="_xlnm.Print_Area" localSheetId="22">'يادداشت10_حسابهاي اسنادپرداختني'!$A$1:$J$40</definedName>
    <definedName name="_xlnm.Print_Area" localSheetId="37">'يادداشت19و 20'!$A$1:$K$192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80" i="110" l="1"/>
  <c r="N80" i="110"/>
  <c r="K80" i="110"/>
  <c r="Q79" i="110"/>
  <c r="N79" i="110"/>
  <c r="K79" i="110"/>
  <c r="Q13" i="110"/>
  <c r="N13" i="110"/>
  <c r="K13" i="110"/>
  <c r="Q165" i="110" l="1"/>
  <c r="K165" i="110"/>
  <c r="L165" i="110" s="1"/>
  <c r="N165" i="110" s="1"/>
  <c r="Q164" i="110"/>
  <c r="K164" i="110"/>
  <c r="L164" i="110" s="1"/>
  <c r="N164" i="110" s="1"/>
  <c r="Q163" i="110"/>
  <c r="K163" i="110"/>
  <c r="L163" i="110" s="1"/>
  <c r="N163" i="110" s="1"/>
  <c r="Q162" i="110"/>
  <c r="K162" i="110"/>
  <c r="L162" i="110" s="1"/>
  <c r="N162" i="110" s="1"/>
  <c r="Q161" i="110"/>
  <c r="K161" i="110"/>
  <c r="L161" i="110" s="1"/>
  <c r="N161" i="110" s="1"/>
  <c r="Q160" i="110"/>
  <c r="K160" i="110"/>
  <c r="L160" i="110" s="1"/>
  <c r="N160" i="110" s="1"/>
  <c r="Q156" i="110"/>
  <c r="N156" i="110"/>
  <c r="K156" i="110"/>
  <c r="Q155" i="110"/>
  <c r="N155" i="110"/>
  <c r="K155" i="110"/>
  <c r="K157" i="110"/>
  <c r="N157" i="110"/>
  <c r="Q157" i="110"/>
  <c r="Q128" i="110"/>
  <c r="N128" i="110"/>
  <c r="K128" i="110"/>
  <c r="Q159" i="110"/>
  <c r="N159" i="110"/>
  <c r="K159" i="110"/>
  <c r="Q158" i="110"/>
  <c r="N158" i="110"/>
  <c r="K158" i="110"/>
  <c r="Q166" i="110"/>
  <c r="Q139" i="110"/>
  <c r="N139" i="110"/>
  <c r="K139" i="110"/>
  <c r="Q143" i="110"/>
  <c r="N143" i="110"/>
  <c r="K143" i="110"/>
  <c r="Q142" i="110"/>
  <c r="K142" i="110"/>
  <c r="L142" i="110" s="1"/>
  <c r="N142" i="110" s="1"/>
  <c r="Q141" i="110"/>
  <c r="N141" i="110"/>
  <c r="K141" i="110"/>
  <c r="Q140" i="110"/>
  <c r="N140" i="110"/>
  <c r="K140" i="110"/>
  <c r="Q138" i="110"/>
  <c r="N138" i="110"/>
  <c r="K138" i="110"/>
  <c r="Q137" i="110"/>
  <c r="N137" i="110"/>
  <c r="K137" i="110"/>
  <c r="Q136" i="110"/>
  <c r="N136" i="110"/>
  <c r="K136" i="110"/>
  <c r="Q135" i="110"/>
  <c r="N135" i="110"/>
  <c r="K135" i="110"/>
  <c r="Q134" i="110"/>
  <c r="N134" i="110"/>
  <c r="K134" i="110"/>
  <c r="Q133" i="110"/>
  <c r="N133" i="110"/>
  <c r="K133" i="110"/>
  <c r="Q132" i="110"/>
  <c r="N132" i="110"/>
  <c r="K132" i="110"/>
  <c r="Q131" i="110"/>
  <c r="N131" i="110"/>
  <c r="K131" i="110"/>
  <c r="Q130" i="110"/>
  <c r="N130" i="110"/>
  <c r="K130" i="110"/>
  <c r="Q129" i="110"/>
  <c r="N129" i="110"/>
  <c r="K129" i="110"/>
  <c r="G35" i="48"/>
  <c r="C30" i="48"/>
  <c r="L140" i="112"/>
  <c r="H140" i="112"/>
  <c r="J139" i="112"/>
  <c r="N139" i="112" s="1"/>
  <c r="M138" i="112"/>
  <c r="J138" i="112"/>
  <c r="J137" i="112"/>
  <c r="N137" i="112" s="1"/>
  <c r="J136" i="112"/>
  <c r="N136" i="112" s="1"/>
  <c r="J135" i="112"/>
  <c r="N135" i="112" s="1"/>
  <c r="J134" i="112"/>
  <c r="N134" i="112" s="1"/>
  <c r="J132" i="112"/>
  <c r="N132" i="112" s="1"/>
  <c r="J131" i="112"/>
  <c r="N131" i="112" s="1"/>
  <c r="J130" i="112"/>
  <c r="N130" i="112" s="1"/>
  <c r="J129" i="112"/>
  <c r="N129" i="112" s="1"/>
  <c r="J128" i="112"/>
  <c r="N128" i="112" s="1"/>
  <c r="J127" i="112"/>
  <c r="N127" i="112" s="1"/>
  <c r="J126" i="112"/>
  <c r="N126" i="112" s="1"/>
  <c r="J125" i="112"/>
  <c r="N125" i="112" s="1"/>
  <c r="J124" i="112"/>
  <c r="N124" i="112" s="1"/>
  <c r="O113" i="112"/>
  <c r="O123" i="112" s="1"/>
  <c r="L113" i="112"/>
  <c r="K113" i="112"/>
  <c r="K123" i="112" s="1"/>
  <c r="I113" i="112"/>
  <c r="I123" i="112" s="1"/>
  <c r="H113" i="112"/>
  <c r="H123" i="112" s="1"/>
  <c r="G113" i="112"/>
  <c r="G123" i="112" s="1"/>
  <c r="G140" i="112" s="1"/>
  <c r="F113" i="112"/>
  <c r="F123" i="112" s="1"/>
  <c r="F140" i="112" s="1"/>
  <c r="E113" i="112"/>
  <c r="E123" i="112" s="1"/>
  <c r="E140" i="112" s="1"/>
  <c r="M112" i="112"/>
  <c r="J112" i="112"/>
  <c r="M111" i="112"/>
  <c r="J111" i="112"/>
  <c r="M110" i="112"/>
  <c r="J110" i="112"/>
  <c r="M109" i="112"/>
  <c r="N109" i="112" s="1"/>
  <c r="J109" i="112"/>
  <c r="M108" i="112"/>
  <c r="J108" i="112"/>
  <c r="M107" i="112"/>
  <c r="J107" i="112"/>
  <c r="M106" i="112"/>
  <c r="J106" i="112"/>
  <c r="M105" i="112"/>
  <c r="J105" i="112"/>
  <c r="M104" i="112"/>
  <c r="J104" i="112"/>
  <c r="M103" i="112"/>
  <c r="J103" i="112"/>
  <c r="M102" i="112"/>
  <c r="J102" i="112"/>
  <c r="M101" i="112"/>
  <c r="J101" i="112"/>
  <c r="M100" i="112"/>
  <c r="J100" i="112"/>
  <c r="M88" i="112"/>
  <c r="J88" i="112"/>
  <c r="M87" i="112"/>
  <c r="J87" i="112"/>
  <c r="M86" i="112"/>
  <c r="J86" i="112"/>
  <c r="M85" i="112"/>
  <c r="J85" i="112"/>
  <c r="J84" i="112"/>
  <c r="N84" i="112" s="1"/>
  <c r="J83" i="112"/>
  <c r="N83" i="112" s="1"/>
  <c r="J82" i="112"/>
  <c r="N82" i="112" s="1"/>
  <c r="J81" i="112"/>
  <c r="N81" i="112" s="1"/>
  <c r="J80" i="112"/>
  <c r="N80" i="112" s="1"/>
  <c r="J79" i="112"/>
  <c r="N79" i="112" s="1"/>
  <c r="J78" i="112"/>
  <c r="N78" i="112" s="1"/>
  <c r="J77" i="112"/>
  <c r="N77" i="112" s="1"/>
  <c r="J76" i="112"/>
  <c r="N76" i="112" s="1"/>
  <c r="J75" i="112"/>
  <c r="N75" i="112" s="1"/>
  <c r="J74" i="112"/>
  <c r="N74" i="112" s="1"/>
  <c r="J73" i="112"/>
  <c r="N73" i="112" s="1"/>
  <c r="J72" i="112"/>
  <c r="N72" i="112" s="1"/>
  <c r="L61" i="112"/>
  <c r="L71" i="112" s="1"/>
  <c r="L89" i="112" s="1"/>
  <c r="L99" i="112" s="1"/>
  <c r="M60" i="112"/>
  <c r="J60" i="112"/>
  <c r="M59" i="112"/>
  <c r="J59" i="112"/>
  <c r="M58" i="112"/>
  <c r="J58" i="112"/>
  <c r="M57" i="112"/>
  <c r="J57" i="112"/>
  <c r="M56" i="112"/>
  <c r="J56" i="112"/>
  <c r="M55" i="112"/>
  <c r="J55" i="112"/>
  <c r="M54" i="112"/>
  <c r="J54" i="112"/>
  <c r="M53" i="112"/>
  <c r="J53" i="112"/>
  <c r="M52" i="112"/>
  <c r="J52" i="112"/>
  <c r="M51" i="112"/>
  <c r="J51" i="112"/>
  <c r="M50" i="112"/>
  <c r="J50" i="112"/>
  <c r="M49" i="112"/>
  <c r="J49" i="112"/>
  <c r="M48" i="112"/>
  <c r="J48" i="112"/>
  <c r="N48" i="112" s="1"/>
  <c r="M47" i="112"/>
  <c r="J47" i="112"/>
  <c r="M46" i="112"/>
  <c r="J46" i="112"/>
  <c r="N46" i="112" s="1"/>
  <c r="M45" i="112"/>
  <c r="J45" i="112"/>
  <c r="O34" i="112"/>
  <c r="O44" i="112" s="1"/>
  <c r="O61" i="112" s="1"/>
  <c r="K34" i="112"/>
  <c r="M34" i="112" s="1"/>
  <c r="M44" i="112" s="1"/>
  <c r="I34" i="112"/>
  <c r="I44" i="112" s="1"/>
  <c r="I61" i="112" s="1"/>
  <c r="H34" i="112"/>
  <c r="H44" i="112" s="1"/>
  <c r="H61" i="112" s="1"/>
  <c r="G34" i="112"/>
  <c r="G44" i="112" s="1"/>
  <c r="G61" i="112" s="1"/>
  <c r="G71" i="112" s="1"/>
  <c r="G89" i="112" s="1"/>
  <c r="G99" i="112" s="1"/>
  <c r="F34" i="112"/>
  <c r="F44" i="112" s="1"/>
  <c r="F61" i="112" s="1"/>
  <c r="F71" i="112" s="1"/>
  <c r="F89" i="112" s="1"/>
  <c r="F99" i="112" s="1"/>
  <c r="E34" i="112"/>
  <c r="E44" i="112" s="1"/>
  <c r="E61" i="112" s="1"/>
  <c r="E71" i="112" s="1"/>
  <c r="E89" i="112" s="1"/>
  <c r="E99" i="112" s="1"/>
  <c r="M33" i="112"/>
  <c r="J33" i="112"/>
  <c r="M32" i="112"/>
  <c r="J32" i="112"/>
  <c r="M31" i="112"/>
  <c r="J31" i="112"/>
  <c r="M30" i="112"/>
  <c r="J30" i="112"/>
  <c r="M29" i="112"/>
  <c r="J29" i="112"/>
  <c r="M28" i="112"/>
  <c r="J28" i="112"/>
  <c r="M27" i="112"/>
  <c r="J27" i="112"/>
  <c r="M26" i="112"/>
  <c r="J26" i="112"/>
  <c r="M25" i="112"/>
  <c r="J25" i="112"/>
  <c r="M24" i="112"/>
  <c r="J24" i="112"/>
  <c r="M23" i="112"/>
  <c r="J23" i="112"/>
  <c r="M22" i="112"/>
  <c r="J22" i="112"/>
  <c r="M21" i="112"/>
  <c r="J21" i="112"/>
  <c r="M20" i="112"/>
  <c r="J20" i="112"/>
  <c r="M19" i="112"/>
  <c r="J19" i="112"/>
  <c r="M18" i="112"/>
  <c r="J18" i="112"/>
  <c r="M17" i="112"/>
  <c r="J17" i="112"/>
  <c r="M16" i="112"/>
  <c r="J16" i="112"/>
  <c r="M15" i="112"/>
  <c r="J15" i="112"/>
  <c r="M14" i="112"/>
  <c r="J14" i="112"/>
  <c r="M13" i="112"/>
  <c r="J13" i="112"/>
  <c r="M12" i="112"/>
  <c r="J12" i="112"/>
  <c r="M11" i="112"/>
  <c r="J11" i="112"/>
  <c r="M10" i="112"/>
  <c r="J10" i="112"/>
  <c r="M9" i="112"/>
  <c r="J9" i="112"/>
  <c r="J167" i="110"/>
  <c r="I167" i="110"/>
  <c r="H167" i="110"/>
  <c r="P144" i="110"/>
  <c r="P154" i="110" s="1"/>
  <c r="O144" i="110"/>
  <c r="O154" i="110" s="1"/>
  <c r="M144" i="110"/>
  <c r="M154" i="110" s="1"/>
  <c r="J144" i="110"/>
  <c r="J154" i="110" s="1"/>
  <c r="I144" i="110"/>
  <c r="I154" i="110" s="1"/>
  <c r="H144" i="110"/>
  <c r="H154" i="110" s="1"/>
  <c r="G144" i="110"/>
  <c r="G154" i="110" s="1"/>
  <c r="G167" i="110" s="1"/>
  <c r="Q127" i="110"/>
  <c r="N127" i="110"/>
  <c r="K127" i="110"/>
  <c r="J126" i="110"/>
  <c r="Q115" i="110"/>
  <c r="Q114" i="110"/>
  <c r="Q113" i="110"/>
  <c r="Q112" i="110"/>
  <c r="Q111" i="110"/>
  <c r="Q110" i="110"/>
  <c r="Q109" i="110"/>
  <c r="Q108" i="110"/>
  <c r="Q107" i="110"/>
  <c r="Q106" i="110"/>
  <c r="Q105" i="110"/>
  <c r="Q104" i="110"/>
  <c r="Q103" i="110"/>
  <c r="Q102" i="110"/>
  <c r="Q101" i="110"/>
  <c r="M87" i="110"/>
  <c r="M100" i="110" s="1"/>
  <c r="M116" i="110" s="1"/>
  <c r="M126" i="110" s="1"/>
  <c r="J87" i="110"/>
  <c r="Q86" i="110"/>
  <c r="N86" i="110"/>
  <c r="K86" i="110"/>
  <c r="Q85" i="110"/>
  <c r="N85" i="110"/>
  <c r="K85" i="110"/>
  <c r="Q84" i="110"/>
  <c r="N84" i="110"/>
  <c r="K84" i="110"/>
  <c r="Q83" i="110"/>
  <c r="N83" i="110"/>
  <c r="K83" i="110"/>
  <c r="Q82" i="110"/>
  <c r="N82" i="110"/>
  <c r="K82" i="110"/>
  <c r="Q81" i="110"/>
  <c r="N81" i="110"/>
  <c r="K81" i="110"/>
  <c r="Q78" i="110"/>
  <c r="N78" i="110"/>
  <c r="K78" i="110"/>
  <c r="Q77" i="110"/>
  <c r="N77" i="110"/>
  <c r="K77" i="110"/>
  <c r="Q76" i="110"/>
  <c r="N76" i="110"/>
  <c r="K76" i="110"/>
  <c r="Q75" i="110"/>
  <c r="N75" i="110"/>
  <c r="K75" i="110"/>
  <c r="Q74" i="110"/>
  <c r="N74" i="110"/>
  <c r="K74" i="110"/>
  <c r="Q63" i="110"/>
  <c r="N63" i="110"/>
  <c r="K63" i="110"/>
  <c r="Q62" i="110"/>
  <c r="N62" i="110"/>
  <c r="K62" i="110"/>
  <c r="Q61" i="110"/>
  <c r="N61" i="110"/>
  <c r="K61" i="110"/>
  <c r="Q60" i="110"/>
  <c r="N60" i="110"/>
  <c r="K60" i="110"/>
  <c r="Q59" i="110"/>
  <c r="N59" i="110"/>
  <c r="K59" i="110"/>
  <c r="Q58" i="110"/>
  <c r="N58" i="110"/>
  <c r="K58" i="110"/>
  <c r="Q57" i="110"/>
  <c r="N57" i="110"/>
  <c r="K57" i="110"/>
  <c r="Q56" i="110"/>
  <c r="N56" i="110"/>
  <c r="K56" i="110"/>
  <c r="Q55" i="110"/>
  <c r="N55" i="110"/>
  <c r="K55" i="110"/>
  <c r="Q54" i="110"/>
  <c r="N54" i="110"/>
  <c r="K54" i="110"/>
  <c r="Q40" i="110"/>
  <c r="N40" i="110"/>
  <c r="K40" i="110"/>
  <c r="Q39" i="110"/>
  <c r="N39" i="110"/>
  <c r="K39" i="110"/>
  <c r="Q38" i="110"/>
  <c r="N38" i="110"/>
  <c r="K38" i="110"/>
  <c r="Q37" i="110"/>
  <c r="N37" i="110"/>
  <c r="K37" i="110"/>
  <c r="Q36" i="110"/>
  <c r="N36" i="110"/>
  <c r="K36" i="110"/>
  <c r="Q35" i="110"/>
  <c r="N35" i="110"/>
  <c r="K35" i="110"/>
  <c r="Q34" i="110"/>
  <c r="N34" i="110"/>
  <c r="K34" i="110"/>
  <c r="Q33" i="110"/>
  <c r="N33" i="110"/>
  <c r="K33" i="110"/>
  <c r="Q32" i="110"/>
  <c r="N32" i="110"/>
  <c r="K32" i="110"/>
  <c r="P22" i="110"/>
  <c r="P31" i="110" s="1"/>
  <c r="P41" i="110" s="1"/>
  <c r="P53" i="110" s="1"/>
  <c r="P64" i="110" s="1"/>
  <c r="P73" i="110" s="1"/>
  <c r="P87" i="110" s="1"/>
  <c r="P100" i="110" s="1"/>
  <c r="P116" i="110" s="1"/>
  <c r="P126" i="110" s="1"/>
  <c r="O22" i="110"/>
  <c r="O31" i="110" s="1"/>
  <c r="O41" i="110" s="1"/>
  <c r="O53" i="110" s="1"/>
  <c r="O64" i="110" s="1"/>
  <c r="O73" i="110" s="1"/>
  <c r="O87" i="110" s="1"/>
  <c r="O100" i="110" s="1"/>
  <c r="O116" i="110" s="1"/>
  <c r="O126" i="110" s="1"/>
  <c r="L22" i="110"/>
  <c r="L31" i="110" s="1"/>
  <c r="L41" i="110" s="1"/>
  <c r="L53" i="110" s="1"/>
  <c r="L64" i="110" s="1"/>
  <c r="L73" i="110" s="1"/>
  <c r="L87" i="110" s="1"/>
  <c r="L100" i="110" s="1"/>
  <c r="L116" i="110" s="1"/>
  <c r="L126" i="110" s="1"/>
  <c r="I22" i="110"/>
  <c r="I31" i="110" s="1"/>
  <c r="K31" i="110" s="1"/>
  <c r="H22" i="110"/>
  <c r="H31" i="110" s="1"/>
  <c r="H41" i="110" s="1"/>
  <c r="H53" i="110" s="1"/>
  <c r="H64" i="110" s="1"/>
  <c r="H73" i="110" s="1"/>
  <c r="H87" i="110" s="1"/>
  <c r="H100" i="110" s="1"/>
  <c r="H116" i="110" s="1"/>
  <c r="H126" i="110" s="1"/>
  <c r="G22" i="110"/>
  <c r="G31" i="110" s="1"/>
  <c r="G41" i="110" s="1"/>
  <c r="G53" i="110" s="1"/>
  <c r="G64" i="110" s="1"/>
  <c r="G73" i="110" s="1"/>
  <c r="G87" i="110" s="1"/>
  <c r="G100" i="110" s="1"/>
  <c r="G116" i="110" s="1"/>
  <c r="G126" i="110" s="1"/>
  <c r="Q21" i="110"/>
  <c r="N21" i="110"/>
  <c r="K21" i="110"/>
  <c r="Q20" i="110"/>
  <c r="N20" i="110"/>
  <c r="K20" i="110"/>
  <c r="Q19" i="110"/>
  <c r="N19" i="110"/>
  <c r="K19" i="110"/>
  <c r="Q18" i="110"/>
  <c r="N18" i="110"/>
  <c r="K18" i="110"/>
  <c r="Q17" i="110"/>
  <c r="N17" i="110"/>
  <c r="K17" i="110"/>
  <c r="Q16" i="110"/>
  <c r="N16" i="110"/>
  <c r="K16" i="110"/>
  <c r="Q15" i="110"/>
  <c r="N15" i="110"/>
  <c r="K15" i="110"/>
  <c r="Q14" i="110"/>
  <c r="N14" i="110"/>
  <c r="K14" i="110"/>
  <c r="Q12" i="110"/>
  <c r="N12" i="110"/>
  <c r="K12" i="110"/>
  <c r="Q11" i="110"/>
  <c r="N11" i="110"/>
  <c r="K11" i="110"/>
  <c r="N45" i="112" l="1"/>
  <c r="N104" i="112"/>
  <c r="K41" i="110"/>
  <c r="K53" i="110" s="1"/>
  <c r="K64" i="110" s="1"/>
  <c r="K73" i="110" s="1"/>
  <c r="K87" i="110" s="1"/>
  <c r="K100" i="110" s="1"/>
  <c r="K116" i="110" s="1"/>
  <c r="K126" i="110" s="1"/>
  <c r="J168" i="110"/>
  <c r="Q144" i="110"/>
  <c r="Q154" i="110" s="1"/>
  <c r="Q167" i="110" s="1"/>
  <c r="J145" i="110"/>
  <c r="K144" i="110"/>
  <c r="K154" i="110" s="1"/>
  <c r="K22" i="110"/>
  <c r="N22" i="110"/>
  <c r="N31" i="110" s="1"/>
  <c r="N41" i="110" s="1"/>
  <c r="N53" i="110" s="1"/>
  <c r="N64" i="110" s="1"/>
  <c r="N73" i="110" s="1"/>
  <c r="N87" i="110" s="1"/>
  <c r="N100" i="110" s="1"/>
  <c r="N116" i="110" s="1"/>
  <c r="N126" i="110" s="1"/>
  <c r="K167" i="110"/>
  <c r="L167" i="110" s="1"/>
  <c r="N167" i="110" s="1"/>
  <c r="N9" i="112"/>
  <c r="N17" i="112"/>
  <c r="N19" i="112"/>
  <c r="N25" i="112"/>
  <c r="N33" i="112"/>
  <c r="N10" i="112"/>
  <c r="N12" i="112"/>
  <c r="N18" i="112"/>
  <c r="N20" i="112"/>
  <c r="N24" i="112"/>
  <c r="N26" i="112"/>
  <c r="N28" i="112"/>
  <c r="N16" i="112"/>
  <c r="N32" i="112"/>
  <c r="M61" i="112"/>
  <c r="M71" i="112" s="1"/>
  <c r="M89" i="112" s="1"/>
  <c r="M99" i="112" s="1"/>
  <c r="N49" i="112"/>
  <c r="N51" i="112"/>
  <c r="N53" i="112"/>
  <c r="N88" i="112"/>
  <c r="N105" i="112"/>
  <c r="N107" i="112"/>
  <c r="N111" i="112"/>
  <c r="J123" i="112"/>
  <c r="J140" i="112" s="1"/>
  <c r="N31" i="112"/>
  <c r="N52" i="112"/>
  <c r="N54" i="112"/>
  <c r="N56" i="112"/>
  <c r="N58" i="112"/>
  <c r="N60" i="112"/>
  <c r="N85" i="112"/>
  <c r="N87" i="112"/>
  <c r="N100" i="112"/>
  <c r="N106" i="112"/>
  <c r="N108" i="112"/>
  <c r="N112" i="112"/>
  <c r="N14" i="112"/>
  <c r="N21" i="112"/>
  <c r="N30" i="112"/>
  <c r="N86" i="112"/>
  <c r="N102" i="112"/>
  <c r="N138" i="112"/>
  <c r="N13" i="112"/>
  <c r="N15" i="112"/>
  <c r="N22" i="112"/>
  <c r="N29" i="112"/>
  <c r="J44" i="112"/>
  <c r="N55" i="112"/>
  <c r="N101" i="112"/>
  <c r="N103" i="112"/>
  <c r="N110" i="112"/>
  <c r="N50" i="112"/>
  <c r="N57" i="112"/>
  <c r="N59" i="112"/>
  <c r="H168" i="110"/>
  <c r="H145" i="110"/>
  <c r="F141" i="112"/>
  <c r="P168" i="110"/>
  <c r="P145" i="110"/>
  <c r="M145" i="110"/>
  <c r="M168" i="110"/>
  <c r="H71" i="112"/>
  <c r="H89" i="112" s="1"/>
  <c r="H99" i="112" s="1"/>
  <c r="H141" i="112" s="1"/>
  <c r="J61" i="112"/>
  <c r="J71" i="112" s="1"/>
  <c r="J89" i="112" s="1"/>
  <c r="J99" i="112" s="1"/>
  <c r="G168" i="110"/>
  <c r="G145" i="110"/>
  <c r="O168" i="110"/>
  <c r="O145" i="110"/>
  <c r="G141" i="112"/>
  <c r="N23" i="112"/>
  <c r="O99" i="112"/>
  <c r="O71" i="112"/>
  <c r="O89" i="112" s="1"/>
  <c r="M113" i="112"/>
  <c r="M123" i="112" s="1"/>
  <c r="M140" i="112" s="1"/>
  <c r="I140" i="112"/>
  <c r="K140" i="112"/>
  <c r="E141" i="112"/>
  <c r="Q22" i="110"/>
  <c r="Q31" i="110" s="1"/>
  <c r="Q41" i="110" s="1"/>
  <c r="Q53" i="110" s="1"/>
  <c r="Q64" i="110" s="1"/>
  <c r="Q73" i="110" s="1"/>
  <c r="Q87" i="110" s="1"/>
  <c r="Q100" i="110" s="1"/>
  <c r="Q116" i="110" s="1"/>
  <c r="Q126" i="110" s="1"/>
  <c r="J113" i="112"/>
  <c r="I41" i="110"/>
  <c r="I53" i="110" s="1"/>
  <c r="I64" i="110" s="1"/>
  <c r="I73" i="110" s="1"/>
  <c r="I87" i="110" s="1"/>
  <c r="I100" i="110" s="1"/>
  <c r="I116" i="110" s="1"/>
  <c r="I126" i="110" s="1"/>
  <c r="L144" i="110"/>
  <c r="N11" i="112"/>
  <c r="N27" i="112"/>
  <c r="I71" i="112"/>
  <c r="I89" i="112" s="1"/>
  <c r="I99" i="112" s="1"/>
  <c r="N47" i="112"/>
  <c r="L141" i="112"/>
  <c r="J34" i="112"/>
  <c r="N34" i="112" s="1"/>
  <c r="N44" i="112" s="1"/>
  <c r="K44" i="112"/>
  <c r="K61" i="112" s="1"/>
  <c r="K71" i="112" s="1"/>
  <c r="K89" i="112" s="1"/>
  <c r="K99" i="112" s="1"/>
  <c r="K168" i="110" l="1"/>
  <c r="N61" i="112"/>
  <c r="N71" i="112" s="1"/>
  <c r="N89" i="112" s="1"/>
  <c r="N99" i="112" s="1"/>
  <c r="N168" i="110"/>
  <c r="K145" i="110"/>
  <c r="L168" i="110"/>
  <c r="N113" i="112"/>
  <c r="N123" i="112" s="1"/>
  <c r="J141" i="112"/>
  <c r="K141" i="112"/>
  <c r="O140" i="112"/>
  <c r="O141" i="112" s="1"/>
  <c r="M141" i="112"/>
  <c r="N140" i="112"/>
  <c r="I145" i="110"/>
  <c r="I168" i="110"/>
  <c r="N144" i="110"/>
  <c r="N154" i="110" s="1"/>
  <c r="L145" i="110"/>
  <c r="L154" i="110"/>
  <c r="Q145" i="110"/>
  <c r="Q168" i="110"/>
  <c r="I141" i="112"/>
  <c r="N141" i="112" l="1"/>
  <c r="N145" i="110"/>
  <c r="F71" i="73" l="1"/>
  <c r="G71" i="73"/>
  <c r="M71" i="73"/>
  <c r="O71" i="73"/>
  <c r="P71" i="73"/>
  <c r="T71" i="73"/>
  <c r="X71" i="73"/>
  <c r="Y71" i="73"/>
  <c r="Z71" i="73"/>
  <c r="AD71" i="73"/>
  <c r="AI71" i="73"/>
  <c r="AJ71" i="73"/>
  <c r="AK71" i="73"/>
  <c r="AL71" i="73"/>
  <c r="AM71" i="73"/>
  <c r="E122" i="73"/>
  <c r="H122" i="73" s="1"/>
  <c r="K122" i="73"/>
  <c r="Q122" i="73"/>
  <c r="R122" i="73"/>
  <c r="AB122" i="73"/>
  <c r="AF122" i="73" s="1"/>
  <c r="AI122" i="73"/>
  <c r="E123" i="73"/>
  <c r="H123" i="73" s="1"/>
  <c r="Q123" i="73"/>
  <c r="R123" i="73"/>
  <c r="AF123" i="73"/>
  <c r="AI123" i="73"/>
  <c r="E124" i="73"/>
  <c r="H124" i="73" s="1"/>
  <c r="Q124" i="73"/>
  <c r="R124" i="73"/>
  <c r="AF124" i="73"/>
  <c r="AI124" i="73"/>
  <c r="E125" i="73"/>
  <c r="H125" i="73" s="1"/>
  <c r="Q125" i="73"/>
  <c r="R125" i="73"/>
  <c r="AF125" i="73"/>
  <c r="AI125" i="73"/>
  <c r="E430" i="55"/>
  <c r="K9" i="4"/>
  <c r="N123" i="73" l="1"/>
  <c r="AH123" i="73"/>
  <c r="AN123" i="73" s="1"/>
  <c r="N124" i="73"/>
  <c r="AH125" i="73"/>
  <c r="AN125" i="73" s="1"/>
  <c r="N125" i="73"/>
  <c r="N122" i="73"/>
  <c r="AH124" i="73"/>
  <c r="AN124" i="73" s="1"/>
  <c r="AH122" i="73"/>
  <c r="AN122" i="73" s="1"/>
  <c r="H132" i="50" l="1"/>
  <c r="P12" i="73"/>
  <c r="J159" i="22"/>
  <c r="J135" i="22"/>
  <c r="J124" i="22"/>
  <c r="J92" i="22"/>
  <c r="J81" i="22"/>
  <c r="J50" i="22"/>
  <c r="J38" i="22"/>
  <c r="J20" i="22"/>
  <c r="O39" i="52"/>
  <c r="N39" i="52"/>
  <c r="M39" i="52"/>
  <c r="V39" i="52" s="1"/>
  <c r="O24" i="52"/>
  <c r="N24" i="52"/>
  <c r="M24" i="52"/>
  <c r="H16" i="2"/>
  <c r="H15" i="2"/>
  <c r="P16" i="2"/>
  <c r="I10" i="22"/>
  <c r="P10" i="2"/>
  <c r="K90" i="87"/>
  <c r="D90" i="87"/>
  <c r="L168" i="51"/>
  <c r="D168" i="51"/>
  <c r="M17" i="13"/>
  <c r="H17" i="13"/>
  <c r="Q17" i="13"/>
  <c r="H13" i="2" s="1"/>
  <c r="E83" i="12"/>
  <c r="H12" i="2" s="1"/>
  <c r="H10" i="2"/>
  <c r="T47" i="63"/>
  <c r="T132" i="50"/>
  <c r="U132" i="50" s="1"/>
  <c r="T38" i="13"/>
  <c r="R36" i="13"/>
  <c r="W396" i="55"/>
  <c r="W147" i="55"/>
  <c r="O409" i="55"/>
  <c r="O178" i="55"/>
  <c r="O175" i="55"/>
  <c r="O166" i="55"/>
  <c r="O20" i="55"/>
  <c r="O19" i="55"/>
  <c r="AC39" i="52" l="1"/>
  <c r="T90" i="12"/>
  <c r="AH190" i="73" l="1"/>
  <c r="AN190" i="73" s="1"/>
  <c r="AF94" i="73"/>
  <c r="AF100" i="73"/>
  <c r="AF101" i="73"/>
  <c r="AF102" i="73"/>
  <c r="AF103" i="73"/>
  <c r="AF105" i="73"/>
  <c r="AF108" i="73"/>
  <c r="AF109" i="73"/>
  <c r="AF110" i="73"/>
  <c r="AF127" i="73"/>
  <c r="AF128" i="73"/>
  <c r="AF129" i="73"/>
  <c r="AF130" i="73"/>
  <c r="AF131" i="73"/>
  <c r="AF132" i="73"/>
  <c r="AF133" i="73"/>
  <c r="AF134" i="73"/>
  <c r="AF135" i="73"/>
  <c r="AF137" i="73"/>
  <c r="AF138" i="73"/>
  <c r="AF139" i="73"/>
  <c r="AF140" i="73"/>
  <c r="AF141" i="73"/>
  <c r="AH69" i="73"/>
  <c r="AF54" i="73"/>
  <c r="AF55" i="73"/>
  <c r="AF56" i="73"/>
  <c r="AF57" i="73"/>
  <c r="AF58" i="73"/>
  <c r="AF59" i="73"/>
  <c r="AF63" i="73"/>
  <c r="AF65" i="73"/>
  <c r="AF66" i="73"/>
  <c r="AF68" i="73"/>
  <c r="AF70" i="73"/>
  <c r="AF53" i="73"/>
  <c r="AF43" i="73"/>
  <c r="AF44" i="73"/>
  <c r="AF45" i="73"/>
  <c r="AF46" i="73"/>
  <c r="AF47" i="73"/>
  <c r="AF48" i="73"/>
  <c r="AF49" i="73"/>
  <c r="AF50" i="73"/>
  <c r="AF51" i="73"/>
  <c r="AF52" i="73"/>
  <c r="H94" i="73"/>
  <c r="AH94" i="73" s="1"/>
  <c r="H99" i="73"/>
  <c r="AH99" i="73" s="1"/>
  <c r="H100" i="73"/>
  <c r="AH100" i="73" s="1"/>
  <c r="H101" i="73"/>
  <c r="AH101" i="73" s="1"/>
  <c r="H102" i="73"/>
  <c r="AH102" i="73" s="1"/>
  <c r="H103" i="73"/>
  <c r="AH103" i="73" s="1"/>
  <c r="H105" i="73"/>
  <c r="AH105" i="73" s="1"/>
  <c r="H21" i="73"/>
  <c r="AH21" i="73" s="1"/>
  <c r="AN21" i="73" s="1"/>
  <c r="H23" i="73"/>
  <c r="AH23" i="73" s="1"/>
  <c r="H24" i="73"/>
  <c r="AH24" i="73" s="1"/>
  <c r="H27" i="73"/>
  <c r="AH27" i="73" s="1"/>
  <c r="Y11" i="73" a="1"/>
  <c r="Y11" i="73" s="1"/>
  <c r="F193" i="73"/>
  <c r="G193" i="73"/>
  <c r="L193" i="73"/>
  <c r="M193" i="73"/>
  <c r="O193" i="73"/>
  <c r="P193" i="73"/>
  <c r="Q193" i="73"/>
  <c r="S193" i="73"/>
  <c r="T193" i="73"/>
  <c r="V193" i="73"/>
  <c r="AA193" i="73"/>
  <c r="AB193" i="73"/>
  <c r="AD193" i="73"/>
  <c r="AJ28" i="73"/>
  <c r="G10" i="4" s="1"/>
  <c r="G28" i="73"/>
  <c r="M28" i="73"/>
  <c r="O28" i="73"/>
  <c r="P28" i="73"/>
  <c r="T28" i="73"/>
  <c r="AD28" i="73"/>
  <c r="AK28" i="73"/>
  <c r="I10" i="4" s="1"/>
  <c r="AF169" i="73"/>
  <c r="AF170" i="73"/>
  <c r="AF173" i="73"/>
  <c r="AF175" i="73"/>
  <c r="AF180" i="73"/>
  <c r="AF181" i="73"/>
  <c r="AF183" i="73"/>
  <c r="AF190" i="73"/>
  <c r="AF191" i="73"/>
  <c r="AF192" i="73"/>
  <c r="AN69" i="73"/>
  <c r="F14" i="32"/>
  <c r="F12" i="32"/>
  <c r="F11" i="32"/>
  <c r="F19" i="32"/>
  <c r="F22" i="32" s="1"/>
  <c r="AF21" i="73"/>
  <c r="AF25" i="73"/>
  <c r="AN24" i="73"/>
  <c r="AA206" i="73"/>
  <c r="S23" i="32"/>
  <c r="S15" i="32"/>
  <c r="AH62" i="24" a="1"/>
  <c r="AH62" i="24" s="1"/>
  <c r="AH65" i="24"/>
  <c r="V60" i="24" a="1"/>
  <c r="V60" i="24" s="1"/>
  <c r="Y168" i="73" a="1"/>
  <c r="H23" i="32"/>
  <c r="G23" i="32"/>
  <c r="J19" i="32"/>
  <c r="W19" i="32"/>
  <c r="X19" i="32"/>
  <c r="W184" i="73" a="1"/>
  <c r="W184" i="73" s="1"/>
  <c r="AF184" i="73" s="1"/>
  <c r="AI184" i="73"/>
  <c r="AD82" i="73"/>
  <c r="AD111" i="73" s="1"/>
  <c r="AD121" i="73" s="1"/>
  <c r="AD142" i="73" s="1"/>
  <c r="R177" i="56"/>
  <c r="N178" i="56"/>
  <c r="F178" i="56"/>
  <c r="N176" i="56"/>
  <c r="L176" i="56" s="1"/>
  <c r="H176" i="56"/>
  <c r="L175" i="56"/>
  <c r="R104" i="73" s="1"/>
  <c r="N175" i="56"/>
  <c r="E178" i="56"/>
  <c r="L177" i="56"/>
  <c r="W104" i="73"/>
  <c r="AF104" i="73" s="1"/>
  <c r="N168" i="73"/>
  <c r="N169" i="73"/>
  <c r="U169" i="73" s="1"/>
  <c r="N170" i="73"/>
  <c r="N171" i="73"/>
  <c r="N172" i="73"/>
  <c r="N173" i="73"/>
  <c r="N174" i="73"/>
  <c r="N175" i="73"/>
  <c r="N176" i="73"/>
  <c r="N177" i="73"/>
  <c r="N178" i="73"/>
  <c r="U178" i="73" s="1"/>
  <c r="N179" i="73"/>
  <c r="N180" i="73"/>
  <c r="U180" i="73" s="1"/>
  <c r="AG180" i="73" s="1"/>
  <c r="N181" i="73"/>
  <c r="U181" i="73" s="1"/>
  <c r="N182" i="73"/>
  <c r="N183" i="73"/>
  <c r="U183" i="73" s="1"/>
  <c r="AG183" i="73" s="1"/>
  <c r="N184" i="73"/>
  <c r="N185" i="73"/>
  <c r="N186" i="73"/>
  <c r="N188" i="73"/>
  <c r="N189" i="73"/>
  <c r="U189" i="73" s="1"/>
  <c r="N191" i="73"/>
  <c r="N192" i="73"/>
  <c r="N166" i="73"/>
  <c r="N100" i="73"/>
  <c r="U100" i="73" s="1"/>
  <c r="AG100" i="73" s="1"/>
  <c r="AC100" i="73" s="1"/>
  <c r="AE100" i="73" s="1"/>
  <c r="N101" i="73"/>
  <c r="U101" i="73" s="1"/>
  <c r="N109" i="73"/>
  <c r="N55" i="73"/>
  <c r="U55" i="73" s="1"/>
  <c r="AG55" i="73" s="1"/>
  <c r="N56" i="73"/>
  <c r="U56" i="73" s="1"/>
  <c r="AG56" i="73" s="1"/>
  <c r="N58" i="73"/>
  <c r="U58" i="73" s="1"/>
  <c r="AG58" i="73" s="1"/>
  <c r="N65" i="73"/>
  <c r="U65" i="73" s="1"/>
  <c r="AG65" i="73" s="1"/>
  <c r="N66" i="73"/>
  <c r="U66" i="73" s="1"/>
  <c r="AG66" i="73" s="1"/>
  <c r="N70" i="73"/>
  <c r="N25" i="73"/>
  <c r="N44" i="73"/>
  <c r="U44" i="73" s="1"/>
  <c r="N46" i="73"/>
  <c r="U46" i="73" s="1"/>
  <c r="N48" i="73"/>
  <c r="U48" i="73" s="1"/>
  <c r="AG48" i="73" s="1"/>
  <c r="N49" i="73"/>
  <c r="U49" i="73" s="1"/>
  <c r="Q135" i="73"/>
  <c r="Q26" i="73"/>
  <c r="Q134" i="73"/>
  <c r="Q128" i="73"/>
  <c r="Q138" i="73"/>
  <c r="Q136" i="73"/>
  <c r="Q133" i="73"/>
  <c r="Q131" i="73"/>
  <c r="Q130" i="73"/>
  <c r="Q127" i="73"/>
  <c r="Q110" i="73"/>
  <c r="Q126" i="73"/>
  <c r="Q139" i="73"/>
  <c r="Q108" i="73"/>
  <c r="Q129" i="73"/>
  <c r="Q140" i="73"/>
  <c r="Q132" i="73"/>
  <c r="Q27" i="73"/>
  <c r="N27" i="73" s="1"/>
  <c r="Q107" i="73"/>
  <c r="Q98" i="73"/>
  <c r="Q99" i="73"/>
  <c r="Q97" i="73"/>
  <c r="Q104" i="73"/>
  <c r="Q69" i="73"/>
  <c r="Q85" i="73"/>
  <c r="Q23" i="73"/>
  <c r="Q93" i="73"/>
  <c r="Q92" i="73"/>
  <c r="Q91" i="73"/>
  <c r="Q90" i="73"/>
  <c r="Q89" i="73"/>
  <c r="Q88" i="73"/>
  <c r="Q87" i="73"/>
  <c r="Q86" i="73"/>
  <c r="Q84" i="73"/>
  <c r="Q83" i="73"/>
  <c r="Q95" i="73"/>
  <c r="Q106" i="73"/>
  <c r="Q67" i="73"/>
  <c r="Q62" i="73"/>
  <c r="Q61" i="73"/>
  <c r="Q64" i="73"/>
  <c r="Q60" i="73"/>
  <c r="Q53" i="73"/>
  <c r="Q21" i="73"/>
  <c r="Q19" i="73"/>
  <c r="Q47" i="73"/>
  <c r="Q51" i="73"/>
  <c r="Q45" i="73"/>
  <c r="Q18" i="73"/>
  <c r="Q68" i="73"/>
  <c r="Q22" i="73"/>
  <c r="Q17" i="73"/>
  <c r="Q16" i="73"/>
  <c r="Q15" i="73"/>
  <c r="Q11" i="73"/>
  <c r="Q14" i="73"/>
  <c r="Q13" i="73"/>
  <c r="Q12" i="73"/>
  <c r="AK191" i="73"/>
  <c r="AK193" i="73" s="1"/>
  <c r="AL191" i="73"/>
  <c r="AL193" i="73" s="1"/>
  <c r="AJ191" i="73"/>
  <c r="AJ193" i="73" s="1"/>
  <c r="AC19" i="32" s="1"/>
  <c r="K184" i="73"/>
  <c r="K185" i="73"/>
  <c r="K26" i="73"/>
  <c r="K139" i="73"/>
  <c r="K131" i="73"/>
  <c r="K130" i="73"/>
  <c r="K126" i="73"/>
  <c r="K129" i="73"/>
  <c r="K140" i="73"/>
  <c r="K132" i="73"/>
  <c r="K108" i="73"/>
  <c r="K106" i="73"/>
  <c r="K64" i="73"/>
  <c r="K16" i="73"/>
  <c r="K11" i="73"/>
  <c r="K88" i="73"/>
  <c r="J188" i="73"/>
  <c r="J174" i="73"/>
  <c r="J136" i="73"/>
  <c r="J131" i="73"/>
  <c r="J129" i="73"/>
  <c r="J106" i="73"/>
  <c r="J97" i="73"/>
  <c r="J104" i="73"/>
  <c r="J92" i="73"/>
  <c r="J91" i="73"/>
  <c r="AB26" i="73"/>
  <c r="AF26" i="73" s="1"/>
  <c r="AB136" i="73"/>
  <c r="AF136" i="73" s="1"/>
  <c r="AB126" i="73"/>
  <c r="AF126" i="73" s="1"/>
  <c r="AB24" i="73"/>
  <c r="AB95" i="73"/>
  <c r="AB85" i="73"/>
  <c r="AB23" i="73"/>
  <c r="AB69" i="73"/>
  <c r="AB22" i="73"/>
  <c r="AB61" i="73"/>
  <c r="AB60" i="73"/>
  <c r="AB18" i="73"/>
  <c r="AB17" i="73"/>
  <c r="AB11" i="73"/>
  <c r="AB12" i="73"/>
  <c r="T74" i="54"/>
  <c r="T72" i="54"/>
  <c r="S98" i="73"/>
  <c r="S91" i="73"/>
  <c r="S83" i="73"/>
  <c r="S69" i="73"/>
  <c r="S61" i="73"/>
  <c r="S27" i="73"/>
  <c r="S20" i="73"/>
  <c r="S22" i="73"/>
  <c r="S19" i="73"/>
  <c r="S18" i="73"/>
  <c r="S16" i="73"/>
  <c r="S15" i="73"/>
  <c r="S14" i="73"/>
  <c r="S13" i="73"/>
  <c r="S12" i="73"/>
  <c r="L27" i="73"/>
  <c r="L91" i="73"/>
  <c r="L87" i="73"/>
  <c r="L83" i="73"/>
  <c r="L23" i="73"/>
  <c r="L14" i="73"/>
  <c r="J198" i="71"/>
  <c r="W182" i="73" a="1"/>
  <c r="W182" i="73" s="1"/>
  <c r="AF182" i="73" s="1"/>
  <c r="W179" i="73"/>
  <c r="AF179" i="73" s="1"/>
  <c r="W172" i="73"/>
  <c r="AF172" i="73" s="1"/>
  <c r="W176" i="73"/>
  <c r="AF176" i="73" s="1"/>
  <c r="W171" i="73"/>
  <c r="W189" i="73"/>
  <c r="W168" i="73"/>
  <c r="W166" i="73"/>
  <c r="W186" i="73"/>
  <c r="W174" i="73" a="1"/>
  <c r="W178" i="73" a="1"/>
  <c r="W178" i="73" s="1"/>
  <c r="AF178" i="73" s="1"/>
  <c r="W177" i="73" a="1"/>
  <c r="W177" i="73" s="1"/>
  <c r="AF177" i="73" s="1"/>
  <c r="AI188" i="73"/>
  <c r="W69" i="73"/>
  <c r="W92" i="73"/>
  <c r="W107" i="73"/>
  <c r="AF107" i="73" s="1"/>
  <c r="W98" i="73"/>
  <c r="W97" i="73"/>
  <c r="W96" i="73"/>
  <c r="AF96" i="73" s="1"/>
  <c r="W91" i="73"/>
  <c r="W95" i="73"/>
  <c r="W93" i="73"/>
  <c r="W90" i="73"/>
  <c r="W89" i="73"/>
  <c r="W88" i="73"/>
  <c r="W87" i="73"/>
  <c r="W86" i="73"/>
  <c r="W85" i="73"/>
  <c r="W84" i="73"/>
  <c r="W83" i="73"/>
  <c r="W23" i="73"/>
  <c r="W106" i="73"/>
  <c r="AF106" i="73" s="1"/>
  <c r="W64" i="73"/>
  <c r="W62" i="73"/>
  <c r="W61" i="73"/>
  <c r="W67" i="73"/>
  <c r="W60" i="73"/>
  <c r="W14" i="73"/>
  <c r="W12" i="73"/>
  <c r="W22" i="73" a="1"/>
  <c r="W22" i="73" s="1"/>
  <c r="W17" i="73" a="1"/>
  <c r="W17" i="73" s="1"/>
  <c r="W16" i="73" a="1"/>
  <c r="W16" i="73" s="1"/>
  <c r="W11" i="73" a="1"/>
  <c r="W11" i="73" s="1"/>
  <c r="W15" i="73" a="1"/>
  <c r="W15" i="73" s="1"/>
  <c r="AI108" i="73"/>
  <c r="AI110" i="73"/>
  <c r="AI15" i="73"/>
  <c r="AI20" i="73"/>
  <c r="AI109" i="73"/>
  <c r="AI140" i="73"/>
  <c r="AI135" i="73"/>
  <c r="AI137" i="73"/>
  <c r="AI128" i="73"/>
  <c r="AI26" i="73"/>
  <c r="AI134" i="73"/>
  <c r="AI139" i="73"/>
  <c r="AI130" i="73"/>
  <c r="AI138" i="73"/>
  <c r="AI136" i="73"/>
  <c r="AI132" i="73"/>
  <c r="AI129" i="73"/>
  <c r="AI127" i="73"/>
  <c r="AI133" i="73"/>
  <c r="AI17" i="73"/>
  <c r="AI131" i="73"/>
  <c r="AI126" i="73"/>
  <c r="AI11" i="73"/>
  <c r="V15" i="73"/>
  <c r="AA27" i="73"/>
  <c r="AA20" i="73"/>
  <c r="AA22" i="73"/>
  <c r="AA19" i="73"/>
  <c r="AA18" i="73"/>
  <c r="AA16" i="73"/>
  <c r="AA15" i="73"/>
  <c r="AA14" i="73"/>
  <c r="AA13" i="73"/>
  <c r="AA12" i="73"/>
  <c r="AA98" i="73"/>
  <c r="AA91" i="73"/>
  <c r="AA83" i="73"/>
  <c r="AA69" i="73"/>
  <c r="AA61" i="73"/>
  <c r="AA85" i="73"/>
  <c r="E140" i="73"/>
  <c r="H140" i="73" s="1"/>
  <c r="E139" i="73"/>
  <c r="H139" i="73" s="1"/>
  <c r="E138" i="73"/>
  <c r="H138" i="73" s="1"/>
  <c r="E137" i="73"/>
  <c r="H137" i="73" s="1"/>
  <c r="AH137" i="73" s="1"/>
  <c r="E136" i="73"/>
  <c r="H136" i="73" s="1"/>
  <c r="E135" i="73"/>
  <c r="H135" i="73" s="1"/>
  <c r="E134" i="73"/>
  <c r="H134" i="73" s="1"/>
  <c r="AH134" i="73" s="1"/>
  <c r="E133" i="73"/>
  <c r="H133" i="73" s="1"/>
  <c r="E132" i="73"/>
  <c r="H132" i="73" s="1"/>
  <c r="E131" i="73"/>
  <c r="H131" i="73" s="1"/>
  <c r="AH131" i="73" s="1"/>
  <c r="E130" i="73"/>
  <c r="H130" i="73" s="1"/>
  <c r="AH130" i="73" s="1"/>
  <c r="E129" i="73"/>
  <c r="H129" i="73" s="1"/>
  <c r="AH129" i="73" s="1"/>
  <c r="E128" i="73"/>
  <c r="H128" i="73" s="1"/>
  <c r="AH128" i="73" s="1"/>
  <c r="AN128" i="73" s="1"/>
  <c r="E127" i="73"/>
  <c r="H127" i="73" s="1"/>
  <c r="AH127" i="73" s="1"/>
  <c r="E126" i="73"/>
  <c r="H126" i="73" s="1"/>
  <c r="AH126" i="73" s="1"/>
  <c r="E110" i="73"/>
  <c r="H110" i="73" s="1"/>
  <c r="E109" i="73"/>
  <c r="H109" i="73" s="1"/>
  <c r="AH109" i="73" s="1"/>
  <c r="AN109" i="73" s="1"/>
  <c r="E108" i="73"/>
  <c r="H108" i="73" s="1"/>
  <c r="AH108" i="73" s="1"/>
  <c r="Y189" i="73"/>
  <c r="Y188" i="73"/>
  <c r="AF188" i="73" s="1"/>
  <c r="Y187" i="73"/>
  <c r="AF187" i="73" s="1"/>
  <c r="Y186" i="73"/>
  <c r="AF186" i="73" s="1"/>
  <c r="Y185" i="73"/>
  <c r="AF185" i="73" s="1"/>
  <c r="Y174" i="73"/>
  <c r="Y171" i="73"/>
  <c r="AF171" i="73" s="1"/>
  <c r="Y167" i="73"/>
  <c r="Y27" i="73" a="1"/>
  <c r="Y27" i="73" s="1"/>
  <c r="AL28" i="73"/>
  <c r="AM28" i="73"/>
  <c r="E184" i="73"/>
  <c r="H187" i="73"/>
  <c r="AH187" i="73" s="1"/>
  <c r="AN187" i="73" s="1"/>
  <c r="H188" i="73"/>
  <c r="AH188" i="73" s="1"/>
  <c r="AN188" i="73" s="1"/>
  <c r="H189" i="73"/>
  <c r="AH189" i="73" s="1"/>
  <c r="AN189" i="73" s="1"/>
  <c r="H25" i="88"/>
  <c r="I25" i="88"/>
  <c r="E26" i="73"/>
  <c r="H26" i="73" s="1"/>
  <c r="P31" i="45"/>
  <c r="K210" i="56"/>
  <c r="N80" i="56"/>
  <c r="L188" i="56"/>
  <c r="I205" i="56"/>
  <c r="I206" i="56"/>
  <c r="I209" i="56"/>
  <c r="I195" i="56"/>
  <c r="I197" i="56"/>
  <c r="I198" i="56"/>
  <c r="I200" i="56"/>
  <c r="I189" i="56"/>
  <c r="I192" i="56"/>
  <c r="I193" i="56"/>
  <c r="I188" i="56"/>
  <c r="L204" i="56"/>
  <c r="L205" i="56"/>
  <c r="L206" i="56"/>
  <c r="L207" i="56"/>
  <c r="L208" i="56"/>
  <c r="L209" i="56"/>
  <c r="L210" i="56"/>
  <c r="L198" i="56"/>
  <c r="L199" i="56"/>
  <c r="L200" i="56"/>
  <c r="L201" i="56"/>
  <c r="L202" i="56"/>
  <c r="R167" i="73" s="1"/>
  <c r="N167" i="73" s="1"/>
  <c r="L203" i="56"/>
  <c r="L189" i="56"/>
  <c r="L190" i="56"/>
  <c r="L191" i="56"/>
  <c r="L192" i="56"/>
  <c r="L193" i="56"/>
  <c r="L194" i="56"/>
  <c r="L195" i="56"/>
  <c r="L196" i="56"/>
  <c r="L197" i="56"/>
  <c r="N211" i="56"/>
  <c r="R142" i="56"/>
  <c r="R143" i="56"/>
  <c r="E142" i="56"/>
  <c r="H142" i="56" s="1"/>
  <c r="R87" i="56"/>
  <c r="E87" i="56"/>
  <c r="H87" i="56" s="1"/>
  <c r="R108" i="56"/>
  <c r="E108" i="56"/>
  <c r="H108" i="56" s="1"/>
  <c r="R59" i="56"/>
  <c r="E59" i="56"/>
  <c r="R114" i="56"/>
  <c r="E115" i="56"/>
  <c r="H115" i="56" s="1"/>
  <c r="E114" i="56"/>
  <c r="R115" i="56"/>
  <c r="R50" i="56"/>
  <c r="R51" i="56"/>
  <c r="E50" i="56"/>
  <c r="H50" i="56" s="1"/>
  <c r="R80" i="56"/>
  <c r="E80" i="56"/>
  <c r="R48" i="56"/>
  <c r="E48" i="56"/>
  <c r="R81" i="56"/>
  <c r="E81" i="56"/>
  <c r="H81" i="56" s="1"/>
  <c r="R73" i="56"/>
  <c r="E73" i="56"/>
  <c r="H73" i="56" s="1"/>
  <c r="R137" i="56"/>
  <c r="E137" i="56"/>
  <c r="R132" i="56"/>
  <c r="E132" i="56"/>
  <c r="H132" i="56" s="1"/>
  <c r="R76" i="56"/>
  <c r="E76" i="56"/>
  <c r="R49" i="56"/>
  <c r="E49" i="56"/>
  <c r="H49" i="56" s="1"/>
  <c r="R113" i="56"/>
  <c r="E113" i="56"/>
  <c r="R56" i="56"/>
  <c r="E56" i="56"/>
  <c r="R88" i="56"/>
  <c r="E88" i="56"/>
  <c r="H88" i="56" s="1"/>
  <c r="R110" i="56"/>
  <c r="E110" i="56"/>
  <c r="H110" i="56" s="1"/>
  <c r="R103" i="56"/>
  <c r="E103" i="56"/>
  <c r="R52" i="56"/>
  <c r="E52" i="56"/>
  <c r="H52" i="56" s="1"/>
  <c r="K20" i="56"/>
  <c r="E211" i="56"/>
  <c r="P287" i="56"/>
  <c r="O76" i="56"/>
  <c r="P134" i="56"/>
  <c r="P78" i="56"/>
  <c r="P74" i="56"/>
  <c r="P82" i="56"/>
  <c r="P59" i="56"/>
  <c r="P88" i="56"/>
  <c r="P118" i="56"/>
  <c r="P73" i="56"/>
  <c r="P135" i="56"/>
  <c r="P110" i="56"/>
  <c r="P56" i="56"/>
  <c r="P50" i="56"/>
  <c r="P63" i="56" s="1"/>
  <c r="P72" i="56" s="1"/>
  <c r="P90" i="56" s="1"/>
  <c r="P100" i="56" s="1"/>
  <c r="P120" i="56" s="1"/>
  <c r="P129" i="56" s="1"/>
  <c r="P149" i="56" s="1"/>
  <c r="P158" i="56" s="1"/>
  <c r="P178" i="56" s="1"/>
  <c r="P48" i="56"/>
  <c r="P76" i="56"/>
  <c r="K191" i="56"/>
  <c r="I191" i="56" s="1"/>
  <c r="K208" i="56"/>
  <c r="I208" i="56" s="1"/>
  <c r="K199" i="56"/>
  <c r="I199" i="56" s="1"/>
  <c r="K202" i="56"/>
  <c r="I202" i="56" s="1"/>
  <c r="K190" i="56"/>
  <c r="I190" i="56" s="1"/>
  <c r="K196" i="56"/>
  <c r="I196" i="56" s="1"/>
  <c r="K207" i="56"/>
  <c r="I207" i="56" s="1"/>
  <c r="K204" i="56"/>
  <c r="I204" i="56" s="1"/>
  <c r="K201" i="56"/>
  <c r="I201" i="56" s="1"/>
  <c r="K203" i="56"/>
  <c r="I203" i="56" s="1"/>
  <c r="K194" i="56"/>
  <c r="I194" i="56" s="1"/>
  <c r="F211" i="56"/>
  <c r="G211" i="56"/>
  <c r="J211" i="56"/>
  <c r="M211" i="56"/>
  <c r="O211" i="56"/>
  <c r="P211" i="56"/>
  <c r="Q211" i="56"/>
  <c r="R211" i="56"/>
  <c r="K174" i="56"/>
  <c r="I174" i="56" s="1"/>
  <c r="K173" i="56"/>
  <c r="I173" i="56" s="1"/>
  <c r="K171" i="56"/>
  <c r="I171" i="56" s="1"/>
  <c r="K170" i="56"/>
  <c r="I170" i="56" s="1"/>
  <c r="K168" i="56"/>
  <c r="I168" i="56" s="1"/>
  <c r="K166" i="56"/>
  <c r="I166" i="56" s="1"/>
  <c r="K164" i="56"/>
  <c r="K162" i="56"/>
  <c r="I162" i="56" s="1"/>
  <c r="AN162" i="56" s="1"/>
  <c r="AO162" i="56" s="1"/>
  <c r="K148" i="56"/>
  <c r="I148" i="56" s="1"/>
  <c r="K147" i="56"/>
  <c r="I147" i="56" s="1"/>
  <c r="K146" i="56"/>
  <c r="K145" i="56"/>
  <c r="K141" i="56"/>
  <c r="I141" i="56" s="1"/>
  <c r="K140" i="56"/>
  <c r="I140" i="56" s="1"/>
  <c r="K139" i="56"/>
  <c r="I139" i="56" s="1"/>
  <c r="K137" i="56"/>
  <c r="I137" i="56" s="1"/>
  <c r="K136" i="56"/>
  <c r="I136" i="56" s="1"/>
  <c r="K130" i="56"/>
  <c r="I130" i="56" s="1"/>
  <c r="K131" i="56"/>
  <c r="I131" i="56" s="1"/>
  <c r="K112" i="56"/>
  <c r="I112" i="56" s="1"/>
  <c r="K111" i="56"/>
  <c r="I111" i="56" s="1"/>
  <c r="K109" i="56"/>
  <c r="I109" i="56" s="1"/>
  <c r="K106" i="56"/>
  <c r="I106" i="56" s="1"/>
  <c r="AN106" i="56" s="1"/>
  <c r="AO106" i="56" s="1"/>
  <c r="K105" i="56"/>
  <c r="I105" i="56" s="1"/>
  <c r="K103" i="56"/>
  <c r="K102" i="56"/>
  <c r="I102" i="56" s="1"/>
  <c r="K86" i="56"/>
  <c r="I86" i="56" s="1"/>
  <c r="K84" i="56"/>
  <c r="K80" i="56"/>
  <c r="K78" i="56"/>
  <c r="I78" i="56" s="1"/>
  <c r="K76" i="56"/>
  <c r="K62" i="56"/>
  <c r="K60" i="56"/>
  <c r="I60" i="56" s="1"/>
  <c r="K54" i="56"/>
  <c r="I54" i="56" s="1"/>
  <c r="K53" i="56"/>
  <c r="Q63" i="56"/>
  <c r="Q72" i="56" s="1"/>
  <c r="Q90" i="56" s="1"/>
  <c r="Q100" i="56" s="1"/>
  <c r="Q120" i="56" s="1"/>
  <c r="Q129" i="56" s="1"/>
  <c r="Q149" i="56" s="1"/>
  <c r="Q158" i="56" s="1"/>
  <c r="Q178" i="56" s="1"/>
  <c r="Q187" i="56" s="1"/>
  <c r="F63" i="56"/>
  <c r="F72" i="56" s="1"/>
  <c r="F90" i="56" s="1"/>
  <c r="F100" i="56" s="1"/>
  <c r="F120" i="56" s="1"/>
  <c r="F129" i="56" s="1"/>
  <c r="F149" i="56" s="1"/>
  <c r="F158" i="56" s="1"/>
  <c r="G63" i="56"/>
  <c r="G72" i="56" s="1"/>
  <c r="G90" i="56" s="1"/>
  <c r="G100" i="56" s="1"/>
  <c r="G120" i="56" s="1"/>
  <c r="G129" i="56" s="1"/>
  <c r="G149" i="56" s="1"/>
  <c r="G158" i="56" s="1"/>
  <c r="G178" i="56" s="1"/>
  <c r="J63" i="56"/>
  <c r="J72" i="56" s="1"/>
  <c r="J90" i="56" s="1"/>
  <c r="J100" i="56" s="1"/>
  <c r="J120" i="56" s="1"/>
  <c r="J129" i="56" s="1"/>
  <c r="J149" i="56" s="1"/>
  <c r="J158" i="56" s="1"/>
  <c r="J178" i="56" s="1"/>
  <c r="M63" i="56"/>
  <c r="M72" i="56" s="1"/>
  <c r="M90" i="56" s="1"/>
  <c r="M100" i="56" s="1"/>
  <c r="M120" i="56" s="1"/>
  <c r="M129" i="56" s="1"/>
  <c r="M149" i="56" s="1"/>
  <c r="M158" i="56" s="1"/>
  <c r="M178" i="56" s="1"/>
  <c r="M187" i="56" s="1"/>
  <c r="H177" i="56"/>
  <c r="H166" i="56"/>
  <c r="H167" i="56"/>
  <c r="H168" i="56"/>
  <c r="H169" i="56"/>
  <c r="H170" i="56"/>
  <c r="H171" i="56"/>
  <c r="H172" i="56"/>
  <c r="H173" i="56"/>
  <c r="H174" i="56"/>
  <c r="H165" i="56"/>
  <c r="H109" i="56"/>
  <c r="H111" i="56"/>
  <c r="H112" i="56"/>
  <c r="H113" i="56"/>
  <c r="H116" i="56"/>
  <c r="H117" i="56"/>
  <c r="H118" i="56"/>
  <c r="H119" i="56"/>
  <c r="H130" i="56"/>
  <c r="H133" i="56"/>
  <c r="H134" i="56"/>
  <c r="H135" i="56"/>
  <c r="H138" i="56"/>
  <c r="H139" i="56"/>
  <c r="H140" i="56"/>
  <c r="H141" i="56"/>
  <c r="H143" i="56"/>
  <c r="H144" i="56"/>
  <c r="H145" i="56"/>
  <c r="H146" i="56"/>
  <c r="H147" i="56"/>
  <c r="H148" i="56"/>
  <c r="H159" i="56"/>
  <c r="H160" i="56"/>
  <c r="H161" i="56"/>
  <c r="H162" i="56"/>
  <c r="H163" i="56"/>
  <c r="H164" i="56"/>
  <c r="H107" i="56"/>
  <c r="H106" i="56"/>
  <c r="H51" i="56"/>
  <c r="H53" i="56"/>
  <c r="H54" i="56"/>
  <c r="H55" i="56"/>
  <c r="H57" i="56"/>
  <c r="H58" i="56"/>
  <c r="H59" i="56"/>
  <c r="H60" i="56"/>
  <c r="H61" i="56"/>
  <c r="H62" i="56"/>
  <c r="H74" i="56"/>
  <c r="H75" i="56"/>
  <c r="H76" i="56"/>
  <c r="H77" i="56"/>
  <c r="H78" i="56"/>
  <c r="H79" i="56"/>
  <c r="H82" i="56"/>
  <c r="H83" i="56"/>
  <c r="H84" i="56"/>
  <c r="H85" i="56"/>
  <c r="H86" i="56"/>
  <c r="H89" i="56"/>
  <c r="H101" i="56"/>
  <c r="H102" i="56"/>
  <c r="H103" i="56"/>
  <c r="H104" i="56"/>
  <c r="H105" i="56"/>
  <c r="N165" i="56"/>
  <c r="L165" i="56" s="1"/>
  <c r="N104" i="56"/>
  <c r="L104" i="56" s="1"/>
  <c r="AN121" i="56"/>
  <c r="AO121" i="56" s="1"/>
  <c r="AN122" i="56"/>
  <c r="AO122" i="56" s="1"/>
  <c r="AN123" i="56"/>
  <c r="AO123" i="56" s="1"/>
  <c r="AN124" i="56"/>
  <c r="AO124" i="56" s="1"/>
  <c r="AN125" i="56"/>
  <c r="AO125" i="56" s="1"/>
  <c r="AN126" i="56"/>
  <c r="AO126" i="56" s="1"/>
  <c r="AN127" i="56"/>
  <c r="AO127" i="56" s="1"/>
  <c r="AN128" i="56"/>
  <c r="AO128" i="56" s="1"/>
  <c r="AN150" i="56"/>
  <c r="AO150" i="56" s="1"/>
  <c r="AN151" i="56"/>
  <c r="AO151" i="56" s="1"/>
  <c r="AN152" i="56"/>
  <c r="AO152" i="56" s="1"/>
  <c r="AN153" i="56"/>
  <c r="AO153" i="56" s="1"/>
  <c r="AN154" i="56"/>
  <c r="AO154" i="56" s="1"/>
  <c r="AN155" i="56"/>
  <c r="AO155" i="56" s="1"/>
  <c r="AN156" i="56"/>
  <c r="AO156" i="56" s="1"/>
  <c r="AN157" i="56"/>
  <c r="AO157" i="56" s="1"/>
  <c r="AN179" i="56"/>
  <c r="AO179" i="56" s="1"/>
  <c r="AN180" i="56"/>
  <c r="AO180" i="56" s="1"/>
  <c r="AN181" i="56"/>
  <c r="AO181" i="56" s="1"/>
  <c r="AN182" i="56"/>
  <c r="AO182" i="56" s="1"/>
  <c r="AN183" i="56"/>
  <c r="AO183" i="56" s="1"/>
  <c r="AN184" i="56"/>
  <c r="AO184" i="56" s="1"/>
  <c r="AN185" i="56"/>
  <c r="AO185" i="56" s="1"/>
  <c r="AN186" i="56"/>
  <c r="AO186" i="56" s="1"/>
  <c r="AO213" i="56"/>
  <c r="AN214" i="56"/>
  <c r="AO214" i="56" s="1"/>
  <c r="AN215" i="56"/>
  <c r="AO215" i="56" s="1"/>
  <c r="AN217" i="56"/>
  <c r="AO217" i="56" s="1"/>
  <c r="AN218" i="56"/>
  <c r="AO218" i="56" s="1"/>
  <c r="AN219" i="56"/>
  <c r="AO219" i="56" s="1"/>
  <c r="AN220" i="56"/>
  <c r="AO220" i="56" s="1"/>
  <c r="AN221" i="56"/>
  <c r="AO221" i="56" s="1"/>
  <c r="AN222" i="56"/>
  <c r="AO222" i="56" s="1"/>
  <c r="AN225" i="56"/>
  <c r="AO225" i="56" s="1"/>
  <c r="AN226" i="56"/>
  <c r="AO226" i="56" s="1"/>
  <c r="AN227" i="56"/>
  <c r="AO227" i="56" s="1"/>
  <c r="AN228" i="56"/>
  <c r="AO228" i="56" s="1"/>
  <c r="AN229" i="56"/>
  <c r="AO229" i="56" s="1"/>
  <c r="AN230" i="56"/>
  <c r="AO230" i="56" s="1"/>
  <c r="AN232" i="56"/>
  <c r="AO232" i="56" s="1"/>
  <c r="AN233" i="56"/>
  <c r="AO233" i="56" s="1"/>
  <c r="AN234" i="56"/>
  <c r="AO234" i="56" s="1"/>
  <c r="AN235" i="56"/>
  <c r="AO235" i="56" s="1"/>
  <c r="AN236" i="56"/>
  <c r="AO236" i="56" s="1"/>
  <c r="AN237" i="56"/>
  <c r="AO237" i="56" s="1"/>
  <c r="AN238" i="56"/>
  <c r="AO238" i="56" s="1"/>
  <c r="AN239" i="56"/>
  <c r="AO239" i="56" s="1"/>
  <c r="AN240" i="56"/>
  <c r="AO240" i="56" s="1"/>
  <c r="AN242" i="56"/>
  <c r="AO242" i="56" s="1"/>
  <c r="AN243" i="56"/>
  <c r="AO243" i="56" s="1"/>
  <c r="AN244" i="56"/>
  <c r="AO244" i="56" s="1"/>
  <c r="AN245" i="56"/>
  <c r="AO245" i="56" s="1"/>
  <c r="AN246" i="56"/>
  <c r="AO246" i="56" s="1"/>
  <c r="AN247" i="56"/>
  <c r="AO247" i="56" s="1"/>
  <c r="AN248" i="56"/>
  <c r="AO248" i="56" s="1"/>
  <c r="AN249" i="56"/>
  <c r="AO249" i="56" s="1"/>
  <c r="AN250" i="56"/>
  <c r="AO250" i="56" s="1"/>
  <c r="AN251" i="56"/>
  <c r="AO251" i="56" s="1"/>
  <c r="AN252" i="56"/>
  <c r="AO252" i="56" s="1"/>
  <c r="AN253" i="56"/>
  <c r="AO253" i="56" s="1"/>
  <c r="AN254" i="56"/>
  <c r="AO254" i="56" s="1"/>
  <c r="AN255" i="56"/>
  <c r="AO255" i="56" s="1"/>
  <c r="AN256" i="56"/>
  <c r="AO256" i="56" s="1"/>
  <c r="AN257" i="56"/>
  <c r="AO257" i="56" s="1"/>
  <c r="AN258" i="56"/>
  <c r="AO258" i="56" s="1"/>
  <c r="AN259" i="56"/>
  <c r="AO259" i="56" s="1"/>
  <c r="AN260" i="56"/>
  <c r="AO260" i="56" s="1"/>
  <c r="AN261" i="56"/>
  <c r="AO261" i="56" s="1"/>
  <c r="AN262" i="56"/>
  <c r="AO262" i="56" s="1"/>
  <c r="AN263" i="56"/>
  <c r="AO263" i="56" s="1"/>
  <c r="AN264" i="56"/>
  <c r="AO264" i="56" s="1"/>
  <c r="AN265" i="56"/>
  <c r="AO265" i="56" s="1"/>
  <c r="AN266" i="56"/>
  <c r="AO266" i="56" s="1"/>
  <c r="AN267" i="56"/>
  <c r="AN268" i="56"/>
  <c r="AO268" i="56" s="1"/>
  <c r="AN269" i="56"/>
  <c r="AO269" i="56" s="1"/>
  <c r="AN270" i="56"/>
  <c r="AO270" i="56" s="1"/>
  <c r="AN271" i="56"/>
  <c r="AO271" i="56" s="1"/>
  <c r="AN272" i="56"/>
  <c r="AO272" i="56" s="1"/>
  <c r="AN273" i="56"/>
  <c r="AO273" i="56" s="1"/>
  <c r="AN274" i="56"/>
  <c r="AO274" i="56" s="1"/>
  <c r="AN275" i="56"/>
  <c r="AO275" i="56" s="1"/>
  <c r="AN276" i="56"/>
  <c r="AO276" i="56" s="1"/>
  <c r="AN277" i="56"/>
  <c r="AO277" i="56" s="1"/>
  <c r="AN278" i="56"/>
  <c r="AO278" i="56" s="1"/>
  <c r="AN279" i="56"/>
  <c r="AO279" i="56" s="1"/>
  <c r="AN280" i="56"/>
  <c r="AO280" i="56" s="1"/>
  <c r="AN281" i="56"/>
  <c r="AO281" i="56" s="1"/>
  <c r="AN282" i="56"/>
  <c r="AO282" i="56" s="1"/>
  <c r="AN283" i="56"/>
  <c r="AO283" i="56" s="1"/>
  <c r="AN284" i="56"/>
  <c r="AO284" i="56" s="1"/>
  <c r="AN285" i="56"/>
  <c r="AN286" i="56"/>
  <c r="L166" i="56"/>
  <c r="L167" i="56"/>
  <c r="L168" i="56"/>
  <c r="L169" i="56"/>
  <c r="L170" i="56"/>
  <c r="L171" i="56"/>
  <c r="L173" i="56"/>
  <c r="L109" i="56"/>
  <c r="L136" i="56"/>
  <c r="L137" i="56"/>
  <c r="L140" i="56"/>
  <c r="L141" i="56"/>
  <c r="L143" i="56"/>
  <c r="L146" i="56"/>
  <c r="L148" i="56"/>
  <c r="L160" i="56"/>
  <c r="L162" i="56"/>
  <c r="L164" i="56"/>
  <c r="N107" i="56"/>
  <c r="L107" i="56" s="1"/>
  <c r="I143" i="56"/>
  <c r="I145" i="56"/>
  <c r="I146" i="56"/>
  <c r="I160" i="56"/>
  <c r="I164" i="56"/>
  <c r="AN164" i="56" s="1"/>
  <c r="AO164" i="56" s="1"/>
  <c r="L50" i="56"/>
  <c r="I62" i="56"/>
  <c r="I84" i="56"/>
  <c r="N174" i="56"/>
  <c r="L174" i="56" s="1"/>
  <c r="R15" i="73" s="1"/>
  <c r="N172" i="56"/>
  <c r="L172" i="56" s="1"/>
  <c r="N163" i="56"/>
  <c r="L163" i="56" s="1"/>
  <c r="N161" i="56"/>
  <c r="L161" i="56" s="1"/>
  <c r="N159" i="56"/>
  <c r="L159" i="56" s="1"/>
  <c r="N147" i="56"/>
  <c r="L147" i="56" s="1"/>
  <c r="R133" i="73" s="1"/>
  <c r="N145" i="56"/>
  <c r="L145" i="56" s="1"/>
  <c r="R128" i="73" s="1"/>
  <c r="N128" i="73" s="1"/>
  <c r="N144" i="56"/>
  <c r="L144" i="56" s="1"/>
  <c r="N142" i="56"/>
  <c r="L142" i="56" s="1"/>
  <c r="N139" i="56"/>
  <c r="L139" i="56" s="1"/>
  <c r="R110" i="73" s="1"/>
  <c r="N138" i="56"/>
  <c r="L138" i="56" s="1"/>
  <c r="N135" i="56"/>
  <c r="L135" i="56" s="1"/>
  <c r="N134" i="56"/>
  <c r="L134" i="56" s="1"/>
  <c r="N133" i="56"/>
  <c r="L133" i="56" s="1"/>
  <c r="N132" i="56"/>
  <c r="L132" i="56" s="1"/>
  <c r="N131" i="56"/>
  <c r="L131" i="56" s="1"/>
  <c r="N130" i="56"/>
  <c r="L130" i="56" s="1"/>
  <c r="R134" i="73" s="1"/>
  <c r="N119" i="56"/>
  <c r="L119" i="56" s="1"/>
  <c r="R137" i="73" s="1"/>
  <c r="N137" i="73" s="1"/>
  <c r="N118" i="56"/>
  <c r="L118" i="56" s="1"/>
  <c r="N117" i="56"/>
  <c r="L117" i="56" s="1"/>
  <c r="N116" i="56"/>
  <c r="L116" i="56" s="1"/>
  <c r="N115" i="56"/>
  <c r="L115" i="56" s="1"/>
  <c r="N114" i="56"/>
  <c r="L114" i="56" s="1"/>
  <c r="N113" i="56"/>
  <c r="L113" i="56" s="1"/>
  <c r="N112" i="56"/>
  <c r="L112" i="56" s="1"/>
  <c r="N111" i="56"/>
  <c r="L111" i="56" s="1"/>
  <c r="R135" i="73" s="1"/>
  <c r="N135" i="73" s="1"/>
  <c r="N110" i="56"/>
  <c r="L110" i="56" s="1"/>
  <c r="N108" i="56"/>
  <c r="L108" i="56" s="1"/>
  <c r="N106" i="56"/>
  <c r="L106" i="56" s="1"/>
  <c r="R127" i="73" s="1"/>
  <c r="N105" i="56"/>
  <c r="L105" i="56" s="1"/>
  <c r="R108" i="73" s="1"/>
  <c r="N108" i="73" s="1"/>
  <c r="N103" i="56"/>
  <c r="L103" i="56" s="1"/>
  <c r="N102" i="56"/>
  <c r="L102" i="56" s="1"/>
  <c r="R140" i="73" s="1"/>
  <c r="N101" i="56"/>
  <c r="L101" i="56" s="1"/>
  <c r="N89" i="56"/>
  <c r="L89" i="56" s="1"/>
  <c r="N88" i="56"/>
  <c r="L88" i="56" s="1"/>
  <c r="N87" i="56"/>
  <c r="L87" i="56" s="1"/>
  <c r="N86" i="56"/>
  <c r="L86" i="56" s="1"/>
  <c r="R130" i="73" s="1"/>
  <c r="N130" i="73" s="1"/>
  <c r="N85" i="56"/>
  <c r="L85" i="56" s="1"/>
  <c r="R139" i="73" s="1"/>
  <c r="N84" i="56"/>
  <c r="L84" i="56" s="1"/>
  <c r="R132" i="73" s="1"/>
  <c r="N132" i="73" s="1"/>
  <c r="N83" i="56"/>
  <c r="L83" i="56" s="1"/>
  <c r="R131" i="73" s="1"/>
  <c r="N82" i="56"/>
  <c r="L82" i="56" s="1"/>
  <c r="L80" i="56"/>
  <c r="N81" i="56"/>
  <c r="L81" i="56" s="1"/>
  <c r="N79" i="56"/>
  <c r="L79" i="56" s="1"/>
  <c r="N78" i="56"/>
  <c r="L78" i="56" s="1"/>
  <c r="N77" i="56"/>
  <c r="L77" i="56" s="1"/>
  <c r="N76" i="56"/>
  <c r="L76" i="56" s="1"/>
  <c r="N75" i="56"/>
  <c r="L75" i="56" s="1"/>
  <c r="N74" i="56"/>
  <c r="L74" i="56" s="1"/>
  <c r="N73" i="56"/>
  <c r="L73" i="56" s="1"/>
  <c r="N62" i="56"/>
  <c r="L62" i="56" s="1"/>
  <c r="R136" i="73" s="1"/>
  <c r="N136" i="73" s="1"/>
  <c r="N61" i="56"/>
  <c r="L61" i="56" s="1"/>
  <c r="N60" i="56"/>
  <c r="L60" i="56" s="1"/>
  <c r="N59" i="56"/>
  <c r="L59" i="56" s="1"/>
  <c r="N58" i="56"/>
  <c r="L58" i="56" s="1"/>
  <c r="R126" i="73" s="1"/>
  <c r="N126" i="73" s="1"/>
  <c r="N57" i="56"/>
  <c r="L57" i="56" s="1"/>
  <c r="R26" i="73" s="1"/>
  <c r="H137" i="56"/>
  <c r="E136" i="56"/>
  <c r="H136" i="56" s="1"/>
  <c r="E131" i="56"/>
  <c r="H131" i="56" s="1"/>
  <c r="H114" i="56"/>
  <c r="H80" i="56"/>
  <c r="N56" i="56"/>
  <c r="L56" i="56" s="1"/>
  <c r="N55" i="56"/>
  <c r="L55" i="56" s="1"/>
  <c r="R138" i="73" s="1"/>
  <c r="N138" i="73" s="1"/>
  <c r="N54" i="56"/>
  <c r="L54" i="56" s="1"/>
  <c r="R129" i="73" s="1"/>
  <c r="N53" i="56"/>
  <c r="L53" i="56" s="1"/>
  <c r="N52" i="56"/>
  <c r="L52" i="56" s="1"/>
  <c r="R11" i="73" s="1"/>
  <c r="N51" i="56"/>
  <c r="L51" i="56" s="1"/>
  <c r="N49" i="56"/>
  <c r="L49" i="56" s="1"/>
  <c r="H48" i="56"/>
  <c r="N48" i="56"/>
  <c r="L48" i="56" s="1"/>
  <c r="AH133" i="73" l="1"/>
  <c r="AB71" i="73"/>
  <c r="Q71" i="73"/>
  <c r="W71" i="73"/>
  <c r="N127" i="73"/>
  <c r="AH135" i="73"/>
  <c r="N26" i="73"/>
  <c r="AH136" i="73"/>
  <c r="AN136" i="73" s="1"/>
  <c r="AG44" i="73"/>
  <c r="AD143" i="73"/>
  <c r="AD153" i="73" s="1"/>
  <c r="N134" i="73"/>
  <c r="N15" i="73"/>
  <c r="AH139" i="73"/>
  <c r="AN139" i="73" s="1"/>
  <c r="N129" i="73"/>
  <c r="AH132" i="73"/>
  <c r="AN132" i="73" s="1"/>
  <c r="AG49" i="73"/>
  <c r="AG101" i="73"/>
  <c r="AC101" i="73" s="1"/>
  <c r="AE101" i="73" s="1"/>
  <c r="AH140" i="73"/>
  <c r="AN140" i="73" s="1"/>
  <c r="W28" i="73"/>
  <c r="AB28" i="73"/>
  <c r="AF189" i="73"/>
  <c r="AG189" i="73" s="1"/>
  <c r="AC189" i="73" s="1"/>
  <c r="AE189" i="73" s="1"/>
  <c r="AN129" i="73"/>
  <c r="W174" i="73"/>
  <c r="AF174" i="73" s="1"/>
  <c r="X193" i="73"/>
  <c r="AF167" i="73"/>
  <c r="AH26" i="73"/>
  <c r="AN26" i="73" s="1"/>
  <c r="N140" i="73"/>
  <c r="AF27" i="73"/>
  <c r="AN108" i="73"/>
  <c r="G11" i="4"/>
  <c r="Y168" i="73"/>
  <c r="AF168" i="73" s="1"/>
  <c r="Z193" i="73"/>
  <c r="AN133" i="73"/>
  <c r="AN137" i="73"/>
  <c r="AG178" i="73"/>
  <c r="AH110" i="73"/>
  <c r="AN110" i="73" s="1"/>
  <c r="N110" i="73"/>
  <c r="N133" i="73"/>
  <c r="AH138" i="73"/>
  <c r="AN138" i="73" s="1"/>
  <c r="AN131" i="73"/>
  <c r="AN127" i="73"/>
  <c r="AN135" i="73"/>
  <c r="AD19" i="32"/>
  <c r="I11" i="4"/>
  <c r="N11" i="73"/>
  <c r="AG181" i="73"/>
  <c r="AG169" i="73"/>
  <c r="AF166" i="73"/>
  <c r="X28" i="73"/>
  <c r="AN27" i="73"/>
  <c r="AG46" i="73"/>
  <c r="L178" i="56"/>
  <c r="Q28" i="73"/>
  <c r="AN23" i="73"/>
  <c r="AN126" i="73"/>
  <c r="AN130" i="73"/>
  <c r="AN134" i="73"/>
  <c r="N139" i="73"/>
  <c r="N131" i="73"/>
  <c r="F187" i="56"/>
  <c r="AN173" i="56"/>
  <c r="AO173" i="56" s="1"/>
  <c r="AN171" i="56"/>
  <c r="AO171" i="56" s="1"/>
  <c r="L63" i="56"/>
  <c r="L72" i="56" s="1"/>
  <c r="J187" i="56"/>
  <c r="J212" i="56"/>
  <c r="G187" i="56"/>
  <c r="G212" i="56"/>
  <c r="M212" i="56"/>
  <c r="AN112" i="56"/>
  <c r="AO112" i="56" s="1"/>
  <c r="AN168" i="56"/>
  <c r="AO168" i="56" s="1"/>
  <c r="R141" i="73"/>
  <c r="N63" i="56"/>
  <c r="N72" i="56" s="1"/>
  <c r="AN109" i="56"/>
  <c r="AO109" i="56" s="1"/>
  <c r="L90" i="56"/>
  <c r="L100" i="56" s="1"/>
  <c r="L120" i="56" s="1"/>
  <c r="L129" i="56" s="1"/>
  <c r="L149" i="56" s="1"/>
  <c r="L158" i="56" s="1"/>
  <c r="AN111" i="56"/>
  <c r="AO111" i="56" s="1"/>
  <c r="AN160" i="56"/>
  <c r="AO160" i="56" s="1"/>
  <c r="AN166" i="56"/>
  <c r="AO166" i="56" s="1"/>
  <c r="AN170" i="56"/>
  <c r="AO170" i="56" s="1"/>
  <c r="AN174" i="56"/>
  <c r="AO174" i="56" s="1"/>
  <c r="F212" i="56"/>
  <c r="AN199" i="56"/>
  <c r="N90" i="56"/>
  <c r="N100" i="56" s="1"/>
  <c r="N120" i="56" s="1"/>
  <c r="N129" i="56" s="1"/>
  <c r="N149" i="56" s="1"/>
  <c r="N158" i="56" s="1"/>
  <c r="N187" i="56" s="1"/>
  <c r="Q212" i="56"/>
  <c r="K211" i="56"/>
  <c r="I210" i="56"/>
  <c r="E63" i="56"/>
  <c r="E72" i="56" s="1"/>
  <c r="E90" i="56" s="1"/>
  <c r="E100" i="56" s="1"/>
  <c r="E120" i="56" s="1"/>
  <c r="H56" i="56"/>
  <c r="H63" i="56" s="1"/>
  <c r="H72" i="56" s="1"/>
  <c r="H90" i="56" s="1"/>
  <c r="H100" i="56" s="1"/>
  <c r="H120" i="56" s="1"/>
  <c r="H129" i="56" s="1"/>
  <c r="H149" i="56" s="1"/>
  <c r="H158" i="56" s="1"/>
  <c r="P212" i="56"/>
  <c r="P288" i="56" s="1"/>
  <c r="P187" i="56"/>
  <c r="AN140" i="56"/>
  <c r="AO140" i="56" s="1"/>
  <c r="AN143" i="56"/>
  <c r="AO143" i="56" s="1"/>
  <c r="AN137" i="56"/>
  <c r="AO137" i="56" s="1"/>
  <c r="AN139" i="56"/>
  <c r="AO139" i="56" s="1"/>
  <c r="AN131" i="56"/>
  <c r="AO131" i="56" s="1"/>
  <c r="AN86" i="56"/>
  <c r="AO86" i="56" s="1"/>
  <c r="AN148" i="56"/>
  <c r="AO148" i="56" s="1"/>
  <c r="AN62" i="56"/>
  <c r="AO62" i="56" s="1"/>
  <c r="AN105" i="56"/>
  <c r="AO105" i="56" s="1"/>
  <c r="AN78" i="56"/>
  <c r="AO78" i="56" s="1"/>
  <c r="AN54" i="56"/>
  <c r="AN136" i="56"/>
  <c r="AO136" i="56" s="1"/>
  <c r="AN147" i="56"/>
  <c r="AO147" i="56" s="1"/>
  <c r="AN146" i="56"/>
  <c r="AO146" i="56" s="1"/>
  <c r="AN130" i="56"/>
  <c r="AO130" i="56" s="1"/>
  <c r="AN60" i="56"/>
  <c r="AO60" i="56" s="1"/>
  <c r="AN84" i="56"/>
  <c r="AO84" i="56" s="1"/>
  <c r="AN102" i="56"/>
  <c r="AO102" i="56" s="1"/>
  <c r="AN145" i="56"/>
  <c r="AO145" i="56" s="1"/>
  <c r="AN141" i="56"/>
  <c r="AO141" i="56" s="1"/>
  <c r="R55" i="56"/>
  <c r="R54" i="56"/>
  <c r="R53" i="56"/>
  <c r="H349" i="56"/>
  <c r="H350" i="56"/>
  <c r="H351" i="56"/>
  <c r="H352" i="56"/>
  <c r="H353" i="56"/>
  <c r="H354" i="56"/>
  <c r="H355" i="56"/>
  <c r="P89" i="16"/>
  <c r="E260" i="16"/>
  <c r="F312" i="16"/>
  <c r="G312" i="16"/>
  <c r="H312" i="16"/>
  <c r="I312" i="16"/>
  <c r="J312" i="16"/>
  <c r="E233" i="16"/>
  <c r="E234" i="16"/>
  <c r="E235" i="16"/>
  <c r="E236" i="16"/>
  <c r="E237" i="16"/>
  <c r="E238" i="16"/>
  <c r="E239" i="16"/>
  <c r="E240" i="16"/>
  <c r="E241" i="16"/>
  <c r="E242" i="16"/>
  <c r="E243" i="16"/>
  <c r="E244" i="16"/>
  <c r="E245" i="16"/>
  <c r="E246" i="16"/>
  <c r="E247" i="16"/>
  <c r="E248" i="16"/>
  <c r="E249" i="16"/>
  <c r="E250" i="16"/>
  <c r="E251" i="16"/>
  <c r="E252" i="16"/>
  <c r="E253" i="16"/>
  <c r="E254" i="16"/>
  <c r="E255" i="16"/>
  <c r="E256" i="16"/>
  <c r="E257" i="16"/>
  <c r="E258" i="16"/>
  <c r="E259" i="16"/>
  <c r="E277" i="16"/>
  <c r="E278" i="16"/>
  <c r="E279" i="16"/>
  <c r="E280" i="16"/>
  <c r="E281" i="16"/>
  <c r="E282" i="16"/>
  <c r="E283" i="16"/>
  <c r="E284" i="16"/>
  <c r="E285" i="16"/>
  <c r="E286" i="16"/>
  <c r="E287" i="16"/>
  <c r="E288" i="16"/>
  <c r="E289" i="16"/>
  <c r="E290" i="16"/>
  <c r="E291" i="16"/>
  <c r="E292" i="16"/>
  <c r="E293" i="16"/>
  <c r="E294" i="16"/>
  <c r="E295" i="16"/>
  <c r="E296" i="16"/>
  <c r="E297" i="16"/>
  <c r="E298" i="16"/>
  <c r="E299" i="16"/>
  <c r="E300" i="16"/>
  <c r="E301" i="16"/>
  <c r="E302" i="16"/>
  <c r="E303" i="16"/>
  <c r="E304" i="16"/>
  <c r="E305" i="16"/>
  <c r="E306" i="16"/>
  <c r="E307" i="16"/>
  <c r="E308" i="16"/>
  <c r="E309" i="16"/>
  <c r="E310" i="16"/>
  <c r="E311" i="16"/>
  <c r="E232" i="16"/>
  <c r="E216" i="16"/>
  <c r="E181" i="16"/>
  <c r="E182" i="16"/>
  <c r="E183" i="16"/>
  <c r="E184" i="16"/>
  <c r="E185" i="16"/>
  <c r="E186" i="16"/>
  <c r="E187" i="16"/>
  <c r="E188" i="16"/>
  <c r="E189" i="16"/>
  <c r="E190" i="16"/>
  <c r="E191" i="16"/>
  <c r="E192" i="16"/>
  <c r="E193" i="16"/>
  <c r="E194" i="16"/>
  <c r="E195" i="16"/>
  <c r="E196" i="16"/>
  <c r="E197" i="16"/>
  <c r="E198" i="16"/>
  <c r="E199" i="16"/>
  <c r="E200" i="16"/>
  <c r="E201" i="16"/>
  <c r="E202" i="16"/>
  <c r="E203" i="16"/>
  <c r="E204" i="16"/>
  <c r="E205" i="16"/>
  <c r="E206" i="16"/>
  <c r="E207" i="16"/>
  <c r="E208" i="16"/>
  <c r="E209" i="16"/>
  <c r="E210" i="16"/>
  <c r="E211" i="16"/>
  <c r="E212" i="16"/>
  <c r="E213" i="16"/>
  <c r="E214" i="16"/>
  <c r="E215" i="16"/>
  <c r="E217" i="16"/>
  <c r="E218" i="16"/>
  <c r="E180" i="16"/>
  <c r="E122" i="16"/>
  <c r="E123" i="16"/>
  <c r="E124" i="16"/>
  <c r="E125" i="16"/>
  <c r="E126" i="16"/>
  <c r="E127" i="16"/>
  <c r="E128" i="16"/>
  <c r="E129" i="16"/>
  <c r="E130" i="16"/>
  <c r="E131" i="16"/>
  <c r="E132" i="16"/>
  <c r="E133" i="16"/>
  <c r="E134" i="16"/>
  <c r="E135" i="16"/>
  <c r="E136" i="16"/>
  <c r="E137" i="16"/>
  <c r="E138" i="16"/>
  <c r="E139" i="16"/>
  <c r="E140" i="16"/>
  <c r="E141" i="16"/>
  <c r="E142" i="16"/>
  <c r="E143" i="16"/>
  <c r="E144" i="16"/>
  <c r="E145" i="16"/>
  <c r="E146" i="16"/>
  <c r="E147" i="16"/>
  <c r="E148" i="16"/>
  <c r="E149" i="16"/>
  <c r="E150" i="16"/>
  <c r="E151" i="16"/>
  <c r="E152" i="16"/>
  <c r="E153" i="16"/>
  <c r="E154" i="16"/>
  <c r="E155" i="16"/>
  <c r="E156" i="16"/>
  <c r="E157" i="16"/>
  <c r="E158" i="16"/>
  <c r="E159" i="16"/>
  <c r="E160" i="16"/>
  <c r="E161" i="16"/>
  <c r="E162" i="16"/>
  <c r="E163" i="16"/>
  <c r="E164" i="16"/>
  <c r="E165" i="16"/>
  <c r="E166" i="16"/>
  <c r="E167" i="16"/>
  <c r="E121" i="16"/>
  <c r="E68" i="16"/>
  <c r="E69" i="16"/>
  <c r="E70" i="16"/>
  <c r="E71" i="16"/>
  <c r="E72" i="16"/>
  <c r="E73" i="16"/>
  <c r="E74" i="16"/>
  <c r="E75" i="16"/>
  <c r="E76" i="16"/>
  <c r="E77" i="16"/>
  <c r="E78" i="16"/>
  <c r="E79" i="16"/>
  <c r="E80" i="16"/>
  <c r="E81" i="16"/>
  <c r="E82" i="16"/>
  <c r="E83" i="16"/>
  <c r="E84" i="16"/>
  <c r="E85" i="16"/>
  <c r="E86" i="16"/>
  <c r="E87" i="16"/>
  <c r="E88" i="16"/>
  <c r="E89" i="16"/>
  <c r="E90" i="16"/>
  <c r="E91" i="16"/>
  <c r="E92" i="16"/>
  <c r="E93" i="16"/>
  <c r="E94" i="16"/>
  <c r="E95" i="16"/>
  <c r="E96" i="16"/>
  <c r="E97" i="16"/>
  <c r="E98" i="16"/>
  <c r="E99" i="16"/>
  <c r="E100" i="16"/>
  <c r="E101" i="16"/>
  <c r="E102" i="16"/>
  <c r="E103" i="16"/>
  <c r="E104" i="16"/>
  <c r="E105" i="16"/>
  <c r="E106" i="16"/>
  <c r="E107" i="16"/>
  <c r="E108" i="16"/>
  <c r="E109" i="16"/>
  <c r="E67"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E50" i="16"/>
  <c r="E51" i="16"/>
  <c r="E52" i="16"/>
  <c r="E53" i="16"/>
  <c r="E54" i="16"/>
  <c r="E12" i="16"/>
  <c r="D47" i="16"/>
  <c r="O99" i="98"/>
  <c r="J96" i="98"/>
  <c r="E69" i="98"/>
  <c r="E70" i="98"/>
  <c r="E71" i="98"/>
  <c r="E72" i="98"/>
  <c r="E73" i="98"/>
  <c r="E74" i="98"/>
  <c r="E75" i="98"/>
  <c r="E76" i="98"/>
  <c r="E77" i="98"/>
  <c r="E78" i="98"/>
  <c r="E79" i="98"/>
  <c r="E80" i="98"/>
  <c r="E81" i="98"/>
  <c r="E82" i="98"/>
  <c r="E83" i="98"/>
  <c r="E84" i="98"/>
  <c r="E85" i="98"/>
  <c r="E86" i="98"/>
  <c r="E68" i="98"/>
  <c r="J56" i="98"/>
  <c r="J67" i="98" s="1"/>
  <c r="J87" i="98" s="1"/>
  <c r="I56" i="98"/>
  <c r="I67" i="98" s="1"/>
  <c r="I87" i="98" s="1"/>
  <c r="F56" i="98"/>
  <c r="F67" i="98" s="1"/>
  <c r="F87" i="98" s="1"/>
  <c r="E89" i="98"/>
  <c r="G56" i="98"/>
  <c r="G67" i="98" s="1"/>
  <c r="G87" i="98" s="1"/>
  <c r="H56" i="98"/>
  <c r="H67" i="98" s="1"/>
  <c r="H87" i="98" s="1"/>
  <c r="E55" i="98"/>
  <c r="E13" i="98"/>
  <c r="E14" i="98"/>
  <c r="E15" i="98"/>
  <c r="E16" i="98"/>
  <c r="E17" i="98"/>
  <c r="E18" i="98"/>
  <c r="E19" i="98"/>
  <c r="E20" i="98"/>
  <c r="E21" i="98"/>
  <c r="E22" i="98"/>
  <c r="E23" i="98"/>
  <c r="E24" i="98"/>
  <c r="E25" i="98"/>
  <c r="E26" i="98"/>
  <c r="E27" i="98"/>
  <c r="E28" i="98"/>
  <c r="E29" i="98"/>
  <c r="E30" i="98"/>
  <c r="E31" i="98"/>
  <c r="E32" i="98"/>
  <c r="E33" i="98"/>
  <c r="E34" i="98"/>
  <c r="E35" i="98"/>
  <c r="E36" i="98"/>
  <c r="E37" i="98"/>
  <c r="E38" i="98"/>
  <c r="E39" i="98"/>
  <c r="E40" i="98"/>
  <c r="E41" i="98"/>
  <c r="E42" i="98"/>
  <c r="E43" i="98"/>
  <c r="E44" i="98"/>
  <c r="E45" i="98"/>
  <c r="E46" i="98"/>
  <c r="E47" i="98"/>
  <c r="E48" i="98"/>
  <c r="E49" i="98"/>
  <c r="E50" i="98"/>
  <c r="E51" i="98"/>
  <c r="E52" i="98"/>
  <c r="E53" i="98"/>
  <c r="E54" i="98"/>
  <c r="E12" i="98"/>
  <c r="W350" i="55"/>
  <c r="K142" i="56" s="1"/>
  <c r="I142" i="56" s="1"/>
  <c r="AN142" i="56" s="1"/>
  <c r="AO142" i="56" s="1"/>
  <c r="W351" i="55"/>
  <c r="K117" i="56" s="1"/>
  <c r="I117" i="56" s="1"/>
  <c r="AN117" i="56" s="1"/>
  <c r="AO117" i="56" s="1"/>
  <c r="W42" i="55"/>
  <c r="K144" i="56" s="1"/>
  <c r="I144" i="56" s="1"/>
  <c r="AN144" i="56" s="1"/>
  <c r="AO144" i="56" s="1"/>
  <c r="W20" i="55"/>
  <c r="K48" i="56" s="1"/>
  <c r="W54" i="55"/>
  <c r="K75" i="56" s="1"/>
  <c r="I75" i="56" s="1"/>
  <c r="AN75" i="56" s="1"/>
  <c r="AO75" i="56" s="1"/>
  <c r="W149" i="55"/>
  <c r="K104" i="56" s="1"/>
  <c r="I104" i="56" s="1"/>
  <c r="AN104" i="56" s="1"/>
  <c r="AO104" i="56" s="1"/>
  <c r="W47" i="55"/>
  <c r="K138" i="56" s="1"/>
  <c r="I138" i="56" s="1"/>
  <c r="AN138" i="56" s="1"/>
  <c r="AO138" i="56" s="1"/>
  <c r="W166" i="55"/>
  <c r="X42" i="55"/>
  <c r="E312" i="16" l="1"/>
  <c r="W193" i="73"/>
  <c r="AF193" i="73"/>
  <c r="Y193" i="73"/>
  <c r="AB166" i="55"/>
  <c r="K50" i="56"/>
  <c r="R63" i="56"/>
  <c r="R72" i="56" s="1"/>
  <c r="R90" i="56" s="1"/>
  <c r="R100" i="56" s="1"/>
  <c r="R120" i="56" s="1"/>
  <c r="R129" i="56" s="1"/>
  <c r="R149" i="56" s="1"/>
  <c r="R158" i="56" s="1"/>
  <c r="R178" i="56" s="1"/>
  <c r="N212" i="56"/>
  <c r="E129" i="56"/>
  <c r="E149" i="56" s="1"/>
  <c r="E158" i="56" s="1"/>
  <c r="AO54" i="56"/>
  <c r="E56" i="98"/>
  <c r="E67" i="98" s="1"/>
  <c r="E87" i="98" s="1"/>
  <c r="J97" i="98"/>
  <c r="R212" i="56" l="1"/>
  <c r="K19" i="56" s="1"/>
  <c r="R187" i="56"/>
  <c r="E187" i="56"/>
  <c r="AB147" i="55"/>
  <c r="J485" i="55"/>
  <c r="X488" i="55"/>
  <c r="E488" i="55"/>
  <c r="F485" i="55"/>
  <c r="G485" i="55"/>
  <c r="H485" i="55"/>
  <c r="I485" i="55"/>
  <c r="K485" i="55"/>
  <c r="L485" i="55"/>
  <c r="M485" i="55"/>
  <c r="N485" i="55"/>
  <c r="O485" i="55"/>
  <c r="P485" i="55"/>
  <c r="Q485" i="55"/>
  <c r="R485" i="55"/>
  <c r="S485" i="55"/>
  <c r="T485" i="55"/>
  <c r="U485" i="55"/>
  <c r="V485" i="55"/>
  <c r="W485" i="55"/>
  <c r="X485" i="55"/>
  <c r="E485" i="55"/>
  <c r="AO152" i="55"/>
  <c r="AN428" i="55"/>
  <c r="X427" i="55"/>
  <c r="J427" i="55" s="1"/>
  <c r="I167" i="73" s="1"/>
  <c r="U167" i="73" s="1"/>
  <c r="AG167" i="73" s="1"/>
  <c r="AN427" i="55"/>
  <c r="AB146" i="55"/>
  <c r="W177" i="55"/>
  <c r="K82" i="56" s="1"/>
  <c r="I82" i="56" s="1"/>
  <c r="AN82" i="56" s="1"/>
  <c r="AO82" i="56" s="1"/>
  <c r="W176" i="55"/>
  <c r="K59" i="56" s="1"/>
  <c r="I59" i="56" s="1"/>
  <c r="AN59" i="56" s="1"/>
  <c r="AO59" i="56" s="1"/>
  <c r="W175" i="55"/>
  <c r="K88" i="56" s="1"/>
  <c r="I88" i="56" s="1"/>
  <c r="AN88" i="56" s="1"/>
  <c r="AO88" i="56" s="1"/>
  <c r="W174" i="55"/>
  <c r="K118" i="56" s="1"/>
  <c r="I118" i="56" s="1"/>
  <c r="AN118" i="56" s="1"/>
  <c r="AO118" i="56" s="1"/>
  <c r="W173" i="55"/>
  <c r="K134" i="56" s="1"/>
  <c r="I134" i="56" s="1"/>
  <c r="AN134" i="56" s="1"/>
  <c r="AO134" i="56" s="1"/>
  <c r="W172" i="55"/>
  <c r="K73" i="56" s="1"/>
  <c r="I73" i="56" s="1"/>
  <c r="AN73" i="56" s="1"/>
  <c r="AO73" i="56" s="1"/>
  <c r="W171" i="55"/>
  <c r="K135" i="56" s="1"/>
  <c r="I135" i="56" s="1"/>
  <c r="AN135" i="56" s="1"/>
  <c r="AO135" i="56" s="1"/>
  <c r="W170" i="55"/>
  <c r="K110" i="56" s="1"/>
  <c r="I110" i="56" s="1"/>
  <c r="AN110" i="56" s="1"/>
  <c r="AO110" i="56" s="1"/>
  <c r="W151" i="55"/>
  <c r="K101" i="56" s="1"/>
  <c r="I101" i="56" s="1"/>
  <c r="AN101" i="56" s="1"/>
  <c r="AO101" i="56" s="1"/>
  <c r="W323" i="55"/>
  <c r="K81" i="56" s="1"/>
  <c r="I81" i="56" s="1"/>
  <c r="AN81" i="56" s="1"/>
  <c r="AO81" i="56" s="1"/>
  <c r="W152" i="55"/>
  <c r="K161" i="56" s="1"/>
  <c r="I161" i="56" s="1"/>
  <c r="AN161" i="56" s="1"/>
  <c r="AO161" i="56" s="1"/>
  <c r="W21" i="55"/>
  <c r="K49" i="56" s="1"/>
  <c r="W357" i="55"/>
  <c r="X147" i="55"/>
  <c r="AO147" i="55" s="1"/>
  <c r="AO149" i="55" s="1"/>
  <c r="E212" i="56" l="1"/>
  <c r="AN147" i="55"/>
  <c r="W110" i="55" l="1"/>
  <c r="K132" i="56" s="1"/>
  <c r="I132" i="56" s="1"/>
  <c r="AN132" i="56" s="1"/>
  <c r="AO132" i="56" s="1"/>
  <c r="AB477" i="55"/>
  <c r="W167" i="55"/>
  <c r="K56" i="56" s="1"/>
  <c r="I56" i="56" s="1"/>
  <c r="AN56" i="56" s="1"/>
  <c r="AO56" i="56" s="1"/>
  <c r="X345" i="55" l="1"/>
  <c r="W73" i="55"/>
  <c r="O148" i="55"/>
  <c r="J424" i="55"/>
  <c r="W178" i="55"/>
  <c r="K115" i="56" s="1"/>
  <c r="I115" i="56" s="1"/>
  <c r="AN115" i="56" s="1"/>
  <c r="AO115" i="56" s="1"/>
  <c r="W111" i="55"/>
  <c r="K116" i="56" s="1"/>
  <c r="I116" i="56" s="1"/>
  <c r="AN116" i="56" s="1"/>
  <c r="AO116" i="56" s="1"/>
  <c r="W19" i="55"/>
  <c r="K52" i="56" s="1"/>
  <c r="W142" i="55"/>
  <c r="K133" i="56" s="1"/>
  <c r="I133" i="56" s="1"/>
  <c r="AN133" i="56" s="1"/>
  <c r="AO133" i="56" s="1"/>
  <c r="W113" i="55"/>
  <c r="W15" i="55"/>
  <c r="K113" i="56" s="1"/>
  <c r="I113" i="56" s="1"/>
  <c r="AN113" i="56" s="1"/>
  <c r="AO113" i="56" s="1"/>
  <c r="W45" i="55"/>
  <c r="W43" i="55"/>
  <c r="W84" i="55"/>
  <c r="AN19" i="55"/>
  <c r="W144" i="55"/>
  <c r="K159" i="56" s="1"/>
  <c r="I159" i="56" s="1"/>
  <c r="AN159" i="56" s="1"/>
  <c r="AO159" i="56" s="1"/>
  <c r="W141" i="55"/>
  <c r="W382" i="55"/>
  <c r="K58" i="56" s="1"/>
  <c r="I58" i="56" s="1"/>
  <c r="AN58" i="56" s="1"/>
  <c r="AO58" i="56" s="1"/>
  <c r="AB172" i="55"/>
  <c r="AN148" i="55"/>
  <c r="Q147" i="55"/>
  <c r="W148" i="55"/>
  <c r="W114" i="55"/>
  <c r="W392" i="55"/>
  <c r="W386" i="55"/>
  <c r="K83" i="56" s="1"/>
  <c r="I83" i="56" s="1"/>
  <c r="AN83" i="56" s="1"/>
  <c r="AO83" i="56" s="1"/>
  <c r="W381" i="55"/>
  <c r="K107" i="56" s="1"/>
  <c r="I107" i="56" s="1"/>
  <c r="AN107" i="56" s="1"/>
  <c r="AO107" i="56" s="1"/>
  <c r="W366" i="55"/>
  <c r="K85" i="56" s="1"/>
  <c r="I85" i="56" s="1"/>
  <c r="AN85" i="56" s="1"/>
  <c r="AO85" i="56" s="1"/>
  <c r="W348" i="55"/>
  <c r="W201" i="55"/>
  <c r="W380" i="55"/>
  <c r="W363" i="55"/>
  <c r="K77" i="56" s="1"/>
  <c r="I77" i="56" s="1"/>
  <c r="AN77" i="56" s="1"/>
  <c r="AO77" i="56" s="1"/>
  <c r="W179" i="55"/>
  <c r="K74" i="56" s="1"/>
  <c r="I74" i="56" s="1"/>
  <c r="AN74" i="56" s="1"/>
  <c r="AO74" i="56" s="1"/>
  <c r="W191" i="55"/>
  <c r="K172" i="56" s="1"/>
  <c r="I172" i="56" s="1"/>
  <c r="AN172" i="56" s="1"/>
  <c r="AO172" i="56" s="1"/>
  <c r="W194" i="55"/>
  <c r="W195" i="55"/>
  <c r="K165" i="56" s="1"/>
  <c r="I165" i="56" s="1"/>
  <c r="AN165" i="56" s="1"/>
  <c r="AO165" i="56" s="1"/>
  <c r="W388" i="55"/>
  <c r="K119" i="56" s="1"/>
  <c r="I119" i="56" s="1"/>
  <c r="AN119" i="56" s="1"/>
  <c r="AO119" i="56" s="1"/>
  <c r="W362" i="55"/>
  <c r="K114" i="56" s="1"/>
  <c r="I114" i="56" s="1"/>
  <c r="AN114" i="56" s="1"/>
  <c r="AO114" i="56" s="1"/>
  <c r="W233" i="55"/>
  <c r="K163" i="56" s="1"/>
  <c r="I163" i="56" s="1"/>
  <c r="AN163" i="56" s="1"/>
  <c r="AO163" i="56" s="1"/>
  <c r="W169" i="55"/>
  <c r="W258" i="55"/>
  <c r="W259" i="55"/>
  <c r="X146" i="55"/>
  <c r="X322" i="55"/>
  <c r="J322" i="55" s="1"/>
  <c r="W430" i="55"/>
  <c r="AB173" i="55"/>
  <c r="F430" i="55"/>
  <c r="G430" i="55"/>
  <c r="I430" i="55"/>
  <c r="K430" i="55"/>
  <c r="L430" i="55"/>
  <c r="M430" i="55"/>
  <c r="P430" i="55"/>
  <c r="Q430" i="55"/>
  <c r="R430" i="55"/>
  <c r="S430" i="55"/>
  <c r="T430" i="55"/>
  <c r="U430" i="55"/>
  <c r="V430" i="55"/>
  <c r="E439" i="55"/>
  <c r="E456" i="55" s="1"/>
  <c r="X191" i="55"/>
  <c r="W389" i="55"/>
  <c r="K55" i="56" s="1"/>
  <c r="I55" i="56" s="1"/>
  <c r="AN55" i="56" s="1"/>
  <c r="AO55" i="56" s="1"/>
  <c r="W349" i="55"/>
  <c r="K79" i="56" s="1"/>
  <c r="I79" i="56" s="1"/>
  <c r="AN79" i="56" s="1"/>
  <c r="AO79" i="56" s="1"/>
  <c r="W325" i="55"/>
  <c r="W345" i="55"/>
  <c r="K169" i="56" s="1"/>
  <c r="I169" i="56" s="1"/>
  <c r="AN169" i="56" s="1"/>
  <c r="AO169" i="56" s="1"/>
  <c r="W25" i="55"/>
  <c r="K61" i="56" s="1"/>
  <c r="I61" i="56" s="1"/>
  <c r="AN61" i="56" s="1"/>
  <c r="AO61" i="56" s="1"/>
  <c r="W23" i="55"/>
  <c r="K51" i="56" s="1"/>
  <c r="W199" i="55"/>
  <c r="K167" i="56" s="1"/>
  <c r="I167" i="56" s="1"/>
  <c r="AN167" i="56" s="1"/>
  <c r="AO167" i="56" s="1"/>
  <c r="X442" i="55"/>
  <c r="X172" i="55" s="1"/>
  <c r="X409" i="55"/>
  <c r="X166" i="55" s="1"/>
  <c r="X453" i="55"/>
  <c r="X175" i="55" s="1"/>
  <c r="X423" i="55"/>
  <c r="X323" i="55" s="1"/>
  <c r="X410" i="55"/>
  <c r="X20" i="55" s="1"/>
  <c r="X414" i="55"/>
  <c r="X19" i="55" s="1"/>
  <c r="X428" i="55"/>
  <c r="X23" i="55" s="1"/>
  <c r="X394" i="55"/>
  <c r="J411" i="55"/>
  <c r="I188" i="73" s="1"/>
  <c r="U188" i="73" s="1"/>
  <c r="AG188" i="73" s="1"/>
  <c r="AC188" i="73" s="1"/>
  <c r="AE188" i="73" s="1"/>
  <c r="X451" i="55"/>
  <c r="X177" i="55" s="1"/>
  <c r="X450" i="55"/>
  <c r="X176" i="55" s="1"/>
  <c r="X452" i="55"/>
  <c r="X173" i="55" s="1"/>
  <c r="X385" i="55"/>
  <c r="J454" i="55"/>
  <c r="I190" i="73" s="1"/>
  <c r="U190" i="73" s="1"/>
  <c r="AG190" i="73" s="1"/>
  <c r="AC190" i="73" s="1"/>
  <c r="AE190" i="73" s="1"/>
  <c r="X170" i="55"/>
  <c r="I576" i="23"/>
  <c r="K11" i="56"/>
  <c r="J18" i="108"/>
  <c r="F11" i="108" s="1"/>
  <c r="J15" i="108"/>
  <c r="X167" i="55"/>
  <c r="X41" i="55"/>
  <c r="J391" i="55"/>
  <c r="I134" i="73" s="1"/>
  <c r="U134" i="73" s="1"/>
  <c r="AG134" i="73" s="1"/>
  <c r="AC134" i="73" s="1"/>
  <c r="AE134" i="73" s="1"/>
  <c r="J393" i="55"/>
  <c r="I135" i="73" s="1"/>
  <c r="U135" i="73" s="1"/>
  <c r="AG135" i="73" s="1"/>
  <c r="AC135" i="73" s="1"/>
  <c r="AE135" i="73" s="1"/>
  <c r="J395" i="55"/>
  <c r="I109" i="73" s="1"/>
  <c r="U109" i="73" s="1"/>
  <c r="AG109" i="73" s="1"/>
  <c r="AC109" i="73" s="1"/>
  <c r="AE109" i="73" s="1"/>
  <c r="J387" i="55"/>
  <c r="I133" i="73" s="1"/>
  <c r="U133" i="73" s="1"/>
  <c r="AG133" i="73" s="1"/>
  <c r="AC133" i="73" s="1"/>
  <c r="AE133" i="73" s="1"/>
  <c r="J384" i="55"/>
  <c r="I127" i="73" s="1"/>
  <c r="U127" i="73" s="1"/>
  <c r="AG127" i="73" s="1"/>
  <c r="AC127" i="73" s="1"/>
  <c r="AE127" i="73" s="1"/>
  <c r="J383" i="55"/>
  <c r="I110" i="73" s="1"/>
  <c r="U110" i="73" s="1"/>
  <c r="AG110" i="73" s="1"/>
  <c r="AC110" i="73" s="1"/>
  <c r="AE110" i="73" s="1"/>
  <c r="J381" i="55"/>
  <c r="I125" i="73" s="1"/>
  <c r="U125" i="73" s="1"/>
  <c r="AG125" i="73" s="1"/>
  <c r="AC125" i="73" s="1"/>
  <c r="AE125" i="73" s="1"/>
  <c r="J388" i="55"/>
  <c r="I137" i="73" s="1"/>
  <c r="U137" i="73" s="1"/>
  <c r="AG137" i="73" s="1"/>
  <c r="AC137" i="73" s="1"/>
  <c r="AE137" i="73" s="1"/>
  <c r="J367" i="55"/>
  <c r="I140" i="73" s="1"/>
  <c r="U140" i="73" s="1"/>
  <c r="AG140" i="73" s="1"/>
  <c r="AC140" i="73" s="1"/>
  <c r="AE140" i="73" s="1"/>
  <c r="J360" i="55"/>
  <c r="X356" i="55"/>
  <c r="X351" i="55"/>
  <c r="X350" i="55"/>
  <c r="X201" i="55"/>
  <c r="X193" i="55"/>
  <c r="X192" i="55"/>
  <c r="X179" i="55"/>
  <c r="X178" i="55"/>
  <c r="X174" i="55"/>
  <c r="X171" i="55"/>
  <c r="X168" i="55"/>
  <c r="X149" i="55"/>
  <c r="X148" i="55"/>
  <c r="X199" i="55"/>
  <c r="X110" i="55"/>
  <c r="X111" i="55"/>
  <c r="X112" i="55"/>
  <c r="X136" i="55"/>
  <c r="X141" i="55"/>
  <c r="X142" i="55"/>
  <c r="X152" i="55"/>
  <c r="X15" i="55"/>
  <c r="X47" i="55"/>
  <c r="X54" i="55"/>
  <c r="X24" i="55"/>
  <c r="X22" i="55"/>
  <c r="X21" i="55"/>
  <c r="G27" i="87"/>
  <c r="K66" i="87"/>
  <c r="K67" i="87"/>
  <c r="K65" i="87"/>
  <c r="V20" i="55"/>
  <c r="O48" i="56" s="1"/>
  <c r="V19" i="55"/>
  <c r="O52" i="56" s="1"/>
  <c r="V166" i="55"/>
  <c r="V382" i="55"/>
  <c r="V21" i="55"/>
  <c r="V23" i="55"/>
  <c r="O51" i="56" s="1"/>
  <c r="O61" i="50"/>
  <c r="O410" i="55"/>
  <c r="O419" i="55"/>
  <c r="O450" i="55"/>
  <c r="O141" i="55"/>
  <c r="O396" i="55"/>
  <c r="O356" i="55"/>
  <c r="O351" i="55"/>
  <c r="O193" i="55"/>
  <c r="O179" i="55"/>
  <c r="O350" i="55"/>
  <c r="O201" i="55"/>
  <c r="O177" i="55"/>
  <c r="O176" i="55"/>
  <c r="O174" i="55"/>
  <c r="O173" i="55"/>
  <c r="O172" i="55"/>
  <c r="O171" i="55"/>
  <c r="O170" i="55"/>
  <c r="O168" i="55"/>
  <c r="O167" i="55"/>
  <c r="O323" i="55"/>
  <c r="O54" i="55"/>
  <c r="O23" i="55"/>
  <c r="O21" i="55"/>
  <c r="H131" i="50"/>
  <c r="E131" i="50"/>
  <c r="N442" i="55"/>
  <c r="N394" i="55"/>
  <c r="J394" i="55" s="1"/>
  <c r="I136" i="73" s="1"/>
  <c r="U136" i="73" s="1"/>
  <c r="AG136" i="73" s="1"/>
  <c r="AC136" i="73" s="1"/>
  <c r="AE136" i="73" s="1"/>
  <c r="N365" i="55"/>
  <c r="N386" i="55"/>
  <c r="Q151" i="55"/>
  <c r="P392" i="55"/>
  <c r="P390" i="55"/>
  <c r="J390" i="55" s="1"/>
  <c r="I128" i="73" s="1"/>
  <c r="U128" i="73" s="1"/>
  <c r="AG128" i="73" s="1"/>
  <c r="AC128" i="73" s="1"/>
  <c r="AE128" i="73" s="1"/>
  <c r="P389" i="55"/>
  <c r="P386" i="55"/>
  <c r="P385" i="55"/>
  <c r="P382" i="55"/>
  <c r="P380" i="55"/>
  <c r="P379" i="55"/>
  <c r="J379" i="55" s="1"/>
  <c r="I123" i="73" s="1"/>
  <c r="U123" i="73" s="1"/>
  <c r="AG123" i="73" s="1"/>
  <c r="AC123" i="73" s="1"/>
  <c r="AE123" i="73" s="1"/>
  <c r="P366" i="55"/>
  <c r="P365" i="55"/>
  <c r="P364" i="55"/>
  <c r="J364" i="55" s="1"/>
  <c r="I132" i="73" s="1"/>
  <c r="U132" i="73" s="1"/>
  <c r="AG132" i="73" s="1"/>
  <c r="AC132" i="73" s="1"/>
  <c r="AE132" i="73" s="1"/>
  <c r="P363" i="55"/>
  <c r="J363" i="55" s="1"/>
  <c r="I122" i="73" s="1"/>
  <c r="U122" i="73" s="1"/>
  <c r="AG122" i="73" s="1"/>
  <c r="AC122" i="73" s="1"/>
  <c r="AE122" i="73" s="1"/>
  <c r="P361" i="55"/>
  <c r="J361" i="55" s="1"/>
  <c r="I27" i="73" s="1"/>
  <c r="U27" i="73" s="1"/>
  <c r="AG27" i="73" s="1"/>
  <c r="AC27" i="73" s="1"/>
  <c r="AE27" i="73" s="1"/>
  <c r="P175" i="55"/>
  <c r="L162" i="51"/>
  <c r="I128" i="50"/>
  <c r="T128" i="50" s="1"/>
  <c r="T104" i="50"/>
  <c r="U104" i="50" s="1"/>
  <c r="P90" i="50"/>
  <c r="P88" i="50"/>
  <c r="P84" i="50"/>
  <c r="P83" i="50"/>
  <c r="P81" i="50"/>
  <c r="P80" i="50"/>
  <c r="G48" i="19"/>
  <c r="H48" i="19"/>
  <c r="G46" i="19"/>
  <c r="H46" i="19"/>
  <c r="I46" i="19"/>
  <c r="F46" i="19"/>
  <c r="F47" i="19" s="1"/>
  <c r="F38" i="19" s="1"/>
  <c r="F48" i="19" s="1"/>
  <c r="F45" i="19"/>
  <c r="J362" i="55" l="1"/>
  <c r="I96" i="73" s="1"/>
  <c r="J392" i="55"/>
  <c r="I26" i="73" s="1"/>
  <c r="U26" i="73" s="1"/>
  <c r="AG26" i="73" s="1"/>
  <c r="AC26" i="73" s="1"/>
  <c r="AE26" i="73" s="1"/>
  <c r="J385" i="55"/>
  <c r="I130" i="73" s="1"/>
  <c r="U130" i="73" s="1"/>
  <c r="AG130" i="73" s="1"/>
  <c r="AC130" i="73" s="1"/>
  <c r="AE130" i="73" s="1"/>
  <c r="J389" i="55"/>
  <c r="I138" i="73" s="1"/>
  <c r="U138" i="73" s="1"/>
  <c r="AG138" i="73" s="1"/>
  <c r="AC138" i="73" s="1"/>
  <c r="AE138" i="73" s="1"/>
  <c r="K177" i="56"/>
  <c r="I177" i="56" s="1"/>
  <c r="AN177" i="56" s="1"/>
  <c r="AO177" i="56" s="1"/>
  <c r="K57" i="56"/>
  <c r="I57" i="56" s="1"/>
  <c r="AN57" i="56" s="1"/>
  <c r="AO57" i="56" s="1"/>
  <c r="D473" i="55"/>
  <c r="I52" i="56"/>
  <c r="AN52" i="56" s="1"/>
  <c r="AO52" i="56" s="1"/>
  <c r="E475" i="55"/>
  <c r="O50" i="56"/>
  <c r="O63" i="56" s="1"/>
  <c r="O72" i="56" s="1"/>
  <c r="O90" i="56" s="1"/>
  <c r="O100" i="56" s="1"/>
  <c r="O120" i="56" s="1"/>
  <c r="O129" i="56" s="1"/>
  <c r="O149" i="56" s="1"/>
  <c r="O158" i="56" s="1"/>
  <c r="O178" i="56" s="1"/>
  <c r="K89" i="56"/>
  <c r="I89" i="56" s="1"/>
  <c r="AN89" i="56" s="1"/>
  <c r="AO89" i="56" s="1"/>
  <c r="D472" i="55"/>
  <c r="O430" i="55"/>
  <c r="X430" i="55"/>
  <c r="J396" i="55"/>
  <c r="I108" i="73" s="1"/>
  <c r="U108" i="73" s="1"/>
  <c r="AG108" i="73" s="1"/>
  <c r="AC108" i="73" s="1"/>
  <c r="AE108" i="73" s="1"/>
  <c r="J366" i="55"/>
  <c r="I139" i="73" s="1"/>
  <c r="U139" i="73" s="1"/>
  <c r="AG139" i="73" s="1"/>
  <c r="AC139" i="73" s="1"/>
  <c r="AE139" i="73" s="1"/>
  <c r="W29" i="55"/>
  <c r="W40" i="55" s="1"/>
  <c r="W56" i="55" s="1"/>
  <c r="W69" i="55" s="1"/>
  <c r="W86" i="55" s="1"/>
  <c r="J380" i="55"/>
  <c r="I124" i="73" s="1"/>
  <c r="U124" i="73" s="1"/>
  <c r="AG124" i="73" s="1"/>
  <c r="AC124" i="73" s="1"/>
  <c r="AE124" i="73" s="1"/>
  <c r="J382" i="55"/>
  <c r="I126" i="73" s="1"/>
  <c r="U126" i="73" s="1"/>
  <c r="AG126" i="73" s="1"/>
  <c r="AC126" i="73" s="1"/>
  <c r="AE126" i="73" s="1"/>
  <c r="J386" i="55"/>
  <c r="I131" i="73" s="1"/>
  <c r="U131" i="73" s="1"/>
  <c r="AG131" i="73" s="1"/>
  <c r="AC131" i="73" s="1"/>
  <c r="AE131" i="73" s="1"/>
  <c r="J365" i="55"/>
  <c r="I129" i="73" s="1"/>
  <c r="U129" i="73" s="1"/>
  <c r="AG129" i="73" s="1"/>
  <c r="AC129" i="73" s="1"/>
  <c r="AE129" i="73" s="1"/>
  <c r="P79" i="50"/>
  <c r="I79" i="50" s="1"/>
  <c r="T79" i="50" s="1"/>
  <c r="U79" i="50" s="1"/>
  <c r="P67" i="50"/>
  <c r="P66" i="50"/>
  <c r="P63" i="50"/>
  <c r="P61" i="50"/>
  <c r="P82" i="50"/>
  <c r="P10" i="50"/>
  <c r="I10" i="50" s="1"/>
  <c r="P27" i="50"/>
  <c r="O27" i="50"/>
  <c r="I105" i="50"/>
  <c r="T105" i="50" s="1"/>
  <c r="U105" i="50" s="1"/>
  <c r="Q63" i="50"/>
  <c r="Q87" i="50"/>
  <c r="Q64" i="50"/>
  <c r="Q83" i="50"/>
  <c r="Q44" i="50"/>
  <c r="Q12" i="50"/>
  <c r="Q9" i="50"/>
  <c r="I9" i="50" s="1"/>
  <c r="I122" i="50"/>
  <c r="T122" i="50" s="1"/>
  <c r="U122" i="50" s="1"/>
  <c r="I123" i="50"/>
  <c r="T123" i="50" s="1"/>
  <c r="I124" i="50"/>
  <c r="Q125" i="50"/>
  <c r="Q130" i="50"/>
  <c r="Q27" i="50" s="1"/>
  <c r="H87" i="50"/>
  <c r="H63" i="50"/>
  <c r="H61" i="50"/>
  <c r="Q84" i="50"/>
  <c r="I545" i="23"/>
  <c r="I546" i="23"/>
  <c r="I547" i="23"/>
  <c r="I548" i="23"/>
  <c r="I549" i="23"/>
  <c r="I550" i="23"/>
  <c r="I551" i="23"/>
  <c r="I552" i="23"/>
  <c r="I553" i="23"/>
  <c r="I554" i="23"/>
  <c r="I555" i="23"/>
  <c r="I556" i="23"/>
  <c r="I557" i="23"/>
  <c r="I558" i="23"/>
  <c r="I559" i="23"/>
  <c r="I560" i="23"/>
  <c r="I561" i="23"/>
  <c r="I562" i="23"/>
  <c r="I563" i="23"/>
  <c r="I544" i="23"/>
  <c r="AB545" i="23"/>
  <c r="AB546" i="23"/>
  <c r="AB547" i="23"/>
  <c r="AB548" i="23"/>
  <c r="AB549" i="23"/>
  <c r="AB550" i="23"/>
  <c r="AB551" i="23"/>
  <c r="AB552" i="23"/>
  <c r="AB553" i="23"/>
  <c r="AB554" i="23"/>
  <c r="AB555" i="23"/>
  <c r="AB556" i="23"/>
  <c r="AB557" i="23"/>
  <c r="AB558" i="23"/>
  <c r="AB559" i="23"/>
  <c r="AB560" i="23"/>
  <c r="AB561" i="23"/>
  <c r="AB562" i="23"/>
  <c r="AB563" i="23"/>
  <c r="AB544" i="23"/>
  <c r="F541" i="23"/>
  <c r="G541" i="23"/>
  <c r="H541" i="23"/>
  <c r="H564" i="23" s="1"/>
  <c r="I541" i="23"/>
  <c r="J541" i="23"/>
  <c r="K541" i="23"/>
  <c r="L541" i="23"/>
  <c r="L564" i="23" s="1"/>
  <c r="M541" i="23"/>
  <c r="M564" i="23" s="1"/>
  <c r="N541" i="23"/>
  <c r="O541" i="23"/>
  <c r="P541" i="23"/>
  <c r="P564" i="23" s="1"/>
  <c r="Q541" i="23"/>
  <c r="Q564" i="23" s="1"/>
  <c r="R541" i="23"/>
  <c r="S541" i="23"/>
  <c r="T541" i="23"/>
  <c r="T564" i="23" s="1"/>
  <c r="U541" i="23"/>
  <c r="U564" i="23" s="1"/>
  <c r="V541" i="23"/>
  <c r="W541" i="23"/>
  <c r="X541" i="23"/>
  <c r="X564" i="23" s="1"/>
  <c r="Y541" i="23"/>
  <c r="Y564" i="23" s="1"/>
  <c r="Z541" i="23"/>
  <c r="AA541" i="23"/>
  <c r="AB541" i="23"/>
  <c r="E541" i="23"/>
  <c r="AB529" i="23"/>
  <c r="AB513" i="23"/>
  <c r="AB514" i="23"/>
  <c r="AB515" i="23"/>
  <c r="AB516" i="23"/>
  <c r="AB517" i="23"/>
  <c r="AB518" i="23"/>
  <c r="AB519" i="23"/>
  <c r="AB520" i="23"/>
  <c r="AB521" i="23"/>
  <c r="AB522" i="23"/>
  <c r="AB512" i="23"/>
  <c r="AE512" i="23"/>
  <c r="AB250" i="23"/>
  <c r="AB251" i="23"/>
  <c r="AB252" i="23"/>
  <c r="AB253" i="23"/>
  <c r="AB254" i="23"/>
  <c r="AB256" i="23"/>
  <c r="AB257" i="23"/>
  <c r="AB258" i="23"/>
  <c r="AB259" i="23"/>
  <c r="AB260" i="23"/>
  <c r="AB261" i="23"/>
  <c r="AB262" i="23"/>
  <c r="AB263" i="23"/>
  <c r="AB264" i="23"/>
  <c r="AB265" i="23"/>
  <c r="AB266" i="23"/>
  <c r="AB267" i="23"/>
  <c r="AB249" i="23"/>
  <c r="I221" i="23"/>
  <c r="I222" i="23"/>
  <c r="I223" i="23"/>
  <c r="I224" i="23"/>
  <c r="I225" i="23"/>
  <c r="I226" i="23"/>
  <c r="I227" i="23"/>
  <c r="I228" i="23"/>
  <c r="I229" i="23"/>
  <c r="I230" i="23"/>
  <c r="I231" i="23"/>
  <c r="I232" i="23"/>
  <c r="I233" i="23"/>
  <c r="I220" i="23"/>
  <c r="AE236" i="23"/>
  <c r="I234" i="23"/>
  <c r="E234" i="23"/>
  <c r="AB230" i="23"/>
  <c r="AB231" i="23"/>
  <c r="AB232" i="23"/>
  <c r="F234" i="23"/>
  <c r="G234" i="23"/>
  <c r="H234" i="23"/>
  <c r="J234" i="23"/>
  <c r="K234" i="23"/>
  <c r="L234" i="23"/>
  <c r="M234" i="23"/>
  <c r="N234" i="23"/>
  <c r="O234" i="23"/>
  <c r="Q234" i="23"/>
  <c r="R234" i="23"/>
  <c r="S234" i="23"/>
  <c r="W234" i="23"/>
  <c r="E204" i="23"/>
  <c r="AB158" i="23"/>
  <c r="AB159" i="23"/>
  <c r="AB160" i="23"/>
  <c r="AB161" i="23"/>
  <c r="AB162" i="23"/>
  <c r="AB163" i="23"/>
  <c r="AB164" i="23"/>
  <c r="AB165" i="23"/>
  <c r="AB166" i="23"/>
  <c r="AB167" i="23"/>
  <c r="AB168" i="23"/>
  <c r="AB169" i="23"/>
  <c r="AB170" i="23"/>
  <c r="AB171" i="23"/>
  <c r="AB172" i="23"/>
  <c r="AB173" i="23"/>
  <c r="AB174" i="23"/>
  <c r="AB157" i="23"/>
  <c r="I158" i="23"/>
  <c r="I159" i="23"/>
  <c r="I160" i="23"/>
  <c r="I161" i="23"/>
  <c r="I162" i="23"/>
  <c r="I163" i="23"/>
  <c r="I164" i="23"/>
  <c r="I165" i="23"/>
  <c r="I166" i="23"/>
  <c r="I167" i="23"/>
  <c r="I168" i="23"/>
  <c r="I169" i="23"/>
  <c r="I170" i="23"/>
  <c r="I171" i="23"/>
  <c r="I172" i="23"/>
  <c r="I173" i="23"/>
  <c r="I174" i="23"/>
  <c r="I157" i="23"/>
  <c r="AB59" i="23"/>
  <c r="AB60" i="23"/>
  <c r="AB61" i="23"/>
  <c r="AB62" i="23"/>
  <c r="AB63" i="23"/>
  <c r="AB64" i="23"/>
  <c r="AB65" i="23"/>
  <c r="AB66" i="23"/>
  <c r="AB67" i="23"/>
  <c r="AB68" i="23"/>
  <c r="AB69" i="23"/>
  <c r="AB70" i="23"/>
  <c r="AB71" i="23"/>
  <c r="AB72" i="23"/>
  <c r="AB73" i="23"/>
  <c r="AB74" i="23"/>
  <c r="AB58" i="23"/>
  <c r="G564" i="23"/>
  <c r="J564" i="23"/>
  <c r="K564" i="23"/>
  <c r="N564" i="23"/>
  <c r="O564" i="23"/>
  <c r="R564" i="23"/>
  <c r="S564" i="23"/>
  <c r="V564" i="23"/>
  <c r="W564" i="23"/>
  <c r="Z564" i="23"/>
  <c r="AA564" i="23"/>
  <c r="E564" i="23"/>
  <c r="I496" i="23"/>
  <c r="I497" i="23"/>
  <c r="I498" i="23"/>
  <c r="I499" i="23"/>
  <c r="I500" i="23"/>
  <c r="I501" i="23"/>
  <c r="I502" i="23"/>
  <c r="I503" i="23"/>
  <c r="I504" i="23"/>
  <c r="I505" i="23"/>
  <c r="I506" i="23"/>
  <c r="I507" i="23"/>
  <c r="I508" i="23"/>
  <c r="I509" i="23"/>
  <c r="I510" i="23"/>
  <c r="I495" i="23"/>
  <c r="I475" i="23"/>
  <c r="I476" i="23"/>
  <c r="I477" i="23"/>
  <c r="I478" i="23"/>
  <c r="I479" i="23"/>
  <c r="I480" i="23"/>
  <c r="I481" i="23"/>
  <c r="I144" i="23"/>
  <c r="E144" i="23"/>
  <c r="I112" i="23"/>
  <c r="E112" i="23"/>
  <c r="AB94" i="23"/>
  <c r="AB95" i="23"/>
  <c r="AB96" i="23"/>
  <c r="AB97" i="23"/>
  <c r="AB98" i="23"/>
  <c r="AB99" i="23"/>
  <c r="AB100" i="23"/>
  <c r="AB101" i="23"/>
  <c r="AB102" i="23"/>
  <c r="AB103" i="23"/>
  <c r="AB104" i="23"/>
  <c r="AB105" i="23"/>
  <c r="AB106" i="23"/>
  <c r="AB107" i="23"/>
  <c r="AB108" i="23"/>
  <c r="AB109" i="23"/>
  <c r="AB110" i="23"/>
  <c r="AB111" i="23"/>
  <c r="AB93" i="23"/>
  <c r="I75" i="23"/>
  <c r="E75" i="23"/>
  <c r="E92" i="23" s="1"/>
  <c r="I43" i="23"/>
  <c r="AB13" i="23"/>
  <c r="AB24" i="23"/>
  <c r="AB28" i="23"/>
  <c r="AB29" i="23"/>
  <c r="AB30" i="23"/>
  <c r="AB31" i="23"/>
  <c r="AB32" i="23"/>
  <c r="AB33" i="23"/>
  <c r="AB34" i="23"/>
  <c r="AB35" i="23"/>
  <c r="AB36" i="23"/>
  <c r="AB37" i="23"/>
  <c r="AB38" i="23"/>
  <c r="AB39" i="23"/>
  <c r="AB40" i="23"/>
  <c r="AB41" i="23"/>
  <c r="AB4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12" i="23"/>
  <c r="E43" i="23"/>
  <c r="X482" i="23"/>
  <c r="Z482" i="23"/>
  <c r="AA482" i="23"/>
  <c r="X464" i="23"/>
  <c r="Z464" i="23"/>
  <c r="AA464" i="23"/>
  <c r="X451" i="23"/>
  <c r="Z451" i="23"/>
  <c r="AA451" i="23"/>
  <c r="X434" i="23"/>
  <c r="Z434" i="23"/>
  <c r="AA434" i="23"/>
  <c r="X421" i="23"/>
  <c r="Z421" i="23"/>
  <c r="AA421" i="23"/>
  <c r="X405" i="23"/>
  <c r="Z405" i="23"/>
  <c r="AA405" i="23"/>
  <c r="X392" i="23"/>
  <c r="Z392" i="23"/>
  <c r="AA392" i="23"/>
  <c r="X377" i="23"/>
  <c r="Z377" i="23"/>
  <c r="AA377" i="23"/>
  <c r="X363" i="23"/>
  <c r="Z363" i="23"/>
  <c r="AA363" i="23"/>
  <c r="X349" i="23"/>
  <c r="Z349" i="23"/>
  <c r="AA349" i="23"/>
  <c r="X337" i="23"/>
  <c r="Z337" i="23"/>
  <c r="AA337" i="23"/>
  <c r="X320" i="23"/>
  <c r="Z320" i="23"/>
  <c r="AA320" i="23"/>
  <c r="X305" i="23"/>
  <c r="Z305" i="23"/>
  <c r="AA305" i="23"/>
  <c r="X282" i="23"/>
  <c r="Z282" i="23"/>
  <c r="AA282" i="23"/>
  <c r="X268" i="23"/>
  <c r="Z268" i="23"/>
  <c r="AA268" i="23"/>
  <c r="F248" i="23"/>
  <c r="F268" i="23" s="1"/>
  <c r="F282" i="23" s="1"/>
  <c r="F305" i="23" s="1"/>
  <c r="F320" i="23" s="1"/>
  <c r="F337" i="23" s="1"/>
  <c r="F349" i="23" s="1"/>
  <c r="F363" i="23" s="1"/>
  <c r="F377" i="23" s="1"/>
  <c r="F392" i="23" s="1"/>
  <c r="F405" i="23" s="1"/>
  <c r="F421" i="23" s="1"/>
  <c r="F434" i="23" s="1"/>
  <c r="F451" i="23" s="1"/>
  <c r="F464" i="23" s="1"/>
  <c r="F482" i="23" s="1"/>
  <c r="G248" i="23"/>
  <c r="G268" i="23" s="1"/>
  <c r="G282" i="23" s="1"/>
  <c r="G305" i="23" s="1"/>
  <c r="G320" i="23" s="1"/>
  <c r="G337" i="23" s="1"/>
  <c r="G349" i="23" s="1"/>
  <c r="G363" i="23" s="1"/>
  <c r="G377" i="23" s="1"/>
  <c r="G392" i="23" s="1"/>
  <c r="G405" i="23" s="1"/>
  <c r="G421" i="23" s="1"/>
  <c r="G434" i="23" s="1"/>
  <c r="G451" i="23" s="1"/>
  <c r="G464" i="23" s="1"/>
  <c r="G482" i="23" s="1"/>
  <c r="H248" i="23"/>
  <c r="H268" i="23" s="1"/>
  <c r="H282" i="23" s="1"/>
  <c r="H305" i="23" s="1"/>
  <c r="H320" i="23" s="1"/>
  <c r="H337" i="23" s="1"/>
  <c r="H349" i="23" s="1"/>
  <c r="H363" i="23" s="1"/>
  <c r="H377" i="23" s="1"/>
  <c r="H392" i="23" s="1"/>
  <c r="H405" i="23" s="1"/>
  <c r="H421" i="23" s="1"/>
  <c r="H434" i="23" s="1"/>
  <c r="H451" i="23" s="1"/>
  <c r="H464" i="23" s="1"/>
  <c r="H482" i="23" s="1"/>
  <c r="J248" i="23"/>
  <c r="J268" i="23" s="1"/>
  <c r="J282" i="23" s="1"/>
  <c r="J305" i="23" s="1"/>
  <c r="J320" i="23" s="1"/>
  <c r="J337" i="23" s="1"/>
  <c r="J349" i="23" s="1"/>
  <c r="J363" i="23" s="1"/>
  <c r="J377" i="23" s="1"/>
  <c r="J392" i="23" s="1"/>
  <c r="J405" i="23" s="1"/>
  <c r="J421" i="23" s="1"/>
  <c r="J434" i="23" s="1"/>
  <c r="J451" i="23" s="1"/>
  <c r="J464" i="23" s="1"/>
  <c r="J482" i="23" s="1"/>
  <c r="K248" i="23"/>
  <c r="K268" i="23" s="1"/>
  <c r="K282" i="23" s="1"/>
  <c r="K305" i="23" s="1"/>
  <c r="K320" i="23" s="1"/>
  <c r="K337" i="23" s="1"/>
  <c r="K349" i="23" s="1"/>
  <c r="K363" i="23" s="1"/>
  <c r="K377" i="23" s="1"/>
  <c r="K392" i="23" s="1"/>
  <c r="K405" i="23" s="1"/>
  <c r="K421" i="23" s="1"/>
  <c r="K434" i="23" s="1"/>
  <c r="K451" i="23" s="1"/>
  <c r="K464" i="23" s="1"/>
  <c r="K482" i="23" s="1"/>
  <c r="L248" i="23"/>
  <c r="L268" i="23" s="1"/>
  <c r="L282" i="23" s="1"/>
  <c r="L305" i="23" s="1"/>
  <c r="L320" i="23" s="1"/>
  <c r="L337" i="23" s="1"/>
  <c r="L349" i="23" s="1"/>
  <c r="L363" i="23" s="1"/>
  <c r="L377" i="23" s="1"/>
  <c r="L392" i="23" s="1"/>
  <c r="L405" i="23" s="1"/>
  <c r="L421" i="23" s="1"/>
  <c r="L434" i="23" s="1"/>
  <c r="L451" i="23" s="1"/>
  <c r="L464" i="23" s="1"/>
  <c r="L482" i="23" s="1"/>
  <c r="M248" i="23"/>
  <c r="M268" i="23" s="1"/>
  <c r="M282" i="23" s="1"/>
  <c r="M305" i="23" s="1"/>
  <c r="M320" i="23" s="1"/>
  <c r="M337" i="23" s="1"/>
  <c r="M349" i="23" s="1"/>
  <c r="M363" i="23" s="1"/>
  <c r="M377" i="23" s="1"/>
  <c r="M392" i="23" s="1"/>
  <c r="M405" i="23" s="1"/>
  <c r="M421" i="23" s="1"/>
  <c r="M434" i="23" s="1"/>
  <c r="M451" i="23" s="1"/>
  <c r="M464" i="23" s="1"/>
  <c r="M482" i="23" s="1"/>
  <c r="N248" i="23"/>
  <c r="N268" i="23" s="1"/>
  <c r="N282" i="23" s="1"/>
  <c r="N305" i="23" s="1"/>
  <c r="N320" i="23" s="1"/>
  <c r="N337" i="23" s="1"/>
  <c r="N349" i="23" s="1"/>
  <c r="N363" i="23" s="1"/>
  <c r="N377" i="23" s="1"/>
  <c r="N392" i="23" s="1"/>
  <c r="N405" i="23" s="1"/>
  <c r="N421" i="23" s="1"/>
  <c r="N434" i="23" s="1"/>
  <c r="N451" i="23" s="1"/>
  <c r="N464" i="23" s="1"/>
  <c r="N482" i="23" s="1"/>
  <c r="O248" i="23"/>
  <c r="O268" i="23" s="1"/>
  <c r="O282" i="23" s="1"/>
  <c r="O305" i="23" s="1"/>
  <c r="O320" i="23" s="1"/>
  <c r="O337" i="23" s="1"/>
  <c r="O349" i="23" s="1"/>
  <c r="O363" i="23" s="1"/>
  <c r="O377" i="23" s="1"/>
  <c r="O392" i="23" s="1"/>
  <c r="O405" i="23" s="1"/>
  <c r="O421" i="23" s="1"/>
  <c r="O434" i="23" s="1"/>
  <c r="O451" i="23" s="1"/>
  <c r="O464" i="23" s="1"/>
  <c r="O482" i="23" s="1"/>
  <c r="Q248" i="23"/>
  <c r="Q268" i="23" s="1"/>
  <c r="Q282" i="23" s="1"/>
  <c r="Q305" i="23" s="1"/>
  <c r="Q320" i="23" s="1"/>
  <c r="Q337" i="23" s="1"/>
  <c r="Q349" i="23" s="1"/>
  <c r="Q363" i="23" s="1"/>
  <c r="Q377" i="23" s="1"/>
  <c r="Q392" i="23" s="1"/>
  <c r="Q405" i="23" s="1"/>
  <c r="Q421" i="23" s="1"/>
  <c r="Q434" i="23" s="1"/>
  <c r="Q451" i="23" s="1"/>
  <c r="Q464" i="23" s="1"/>
  <c r="Q482" i="23" s="1"/>
  <c r="R248" i="23"/>
  <c r="R268" i="23" s="1"/>
  <c r="R282" i="23" s="1"/>
  <c r="R305" i="23" s="1"/>
  <c r="R320" i="23" s="1"/>
  <c r="R337" i="23" s="1"/>
  <c r="R349" i="23" s="1"/>
  <c r="R363" i="23" s="1"/>
  <c r="R377" i="23" s="1"/>
  <c r="R392" i="23" s="1"/>
  <c r="R405" i="23" s="1"/>
  <c r="R421" i="23" s="1"/>
  <c r="R434" i="23" s="1"/>
  <c r="R451" i="23" s="1"/>
  <c r="R464" i="23" s="1"/>
  <c r="R482" i="23" s="1"/>
  <c r="S248" i="23"/>
  <c r="S268" i="23" s="1"/>
  <c r="S282" i="23" s="1"/>
  <c r="S305" i="23" s="1"/>
  <c r="S320" i="23" s="1"/>
  <c r="S337" i="23" s="1"/>
  <c r="S349" i="23" s="1"/>
  <c r="S363" i="23" s="1"/>
  <c r="S377" i="23" s="1"/>
  <c r="S392" i="23" s="1"/>
  <c r="S405" i="23" s="1"/>
  <c r="S421" i="23" s="1"/>
  <c r="S434" i="23" s="1"/>
  <c r="S451" i="23" s="1"/>
  <c r="S464" i="23" s="1"/>
  <c r="S482" i="23" s="1"/>
  <c r="W248" i="23"/>
  <c r="W268" i="23" s="1"/>
  <c r="W282" i="23" s="1"/>
  <c r="W305" i="23" s="1"/>
  <c r="W320" i="23" s="1"/>
  <c r="W337" i="23" s="1"/>
  <c r="W349" i="23" s="1"/>
  <c r="W363" i="23" s="1"/>
  <c r="W377" i="23" s="1"/>
  <c r="W392" i="23" s="1"/>
  <c r="W405" i="23" s="1"/>
  <c r="W421" i="23" s="1"/>
  <c r="W434" i="23" s="1"/>
  <c r="W451" i="23" s="1"/>
  <c r="W464" i="23" s="1"/>
  <c r="W482" i="23" s="1"/>
  <c r="X248" i="23"/>
  <c r="Z248" i="23"/>
  <c r="AA248" i="23"/>
  <c r="X234" i="23"/>
  <c r="Z234" i="23"/>
  <c r="AA234" i="23"/>
  <c r="F219" i="23"/>
  <c r="G219" i="23"/>
  <c r="H219" i="23"/>
  <c r="J219" i="23"/>
  <c r="K219" i="23"/>
  <c r="L219" i="23"/>
  <c r="M219" i="23"/>
  <c r="N219" i="23"/>
  <c r="O219" i="23"/>
  <c r="Q219" i="23"/>
  <c r="R219" i="23"/>
  <c r="S219" i="23"/>
  <c r="W219" i="23"/>
  <c r="X219" i="23"/>
  <c r="Z219" i="23"/>
  <c r="AA219" i="23"/>
  <c r="F204" i="23"/>
  <c r="G204" i="23"/>
  <c r="H204" i="23"/>
  <c r="J204" i="23"/>
  <c r="K204" i="23"/>
  <c r="L204" i="23"/>
  <c r="M204" i="23"/>
  <c r="N204" i="23"/>
  <c r="O204" i="23"/>
  <c r="Q204" i="23"/>
  <c r="R204" i="23"/>
  <c r="S204" i="23"/>
  <c r="W204" i="23"/>
  <c r="X204" i="23"/>
  <c r="Z204" i="23"/>
  <c r="AA204" i="23"/>
  <c r="F189" i="23"/>
  <c r="G189" i="23"/>
  <c r="H189" i="23"/>
  <c r="J189" i="23"/>
  <c r="K189" i="23"/>
  <c r="L189" i="23"/>
  <c r="M189" i="23"/>
  <c r="N189" i="23"/>
  <c r="O189" i="23"/>
  <c r="Q189" i="23"/>
  <c r="R189" i="23"/>
  <c r="S189" i="23"/>
  <c r="W189" i="23"/>
  <c r="X189" i="23"/>
  <c r="Z189" i="23"/>
  <c r="AA189" i="23"/>
  <c r="F175" i="23"/>
  <c r="G175" i="23"/>
  <c r="H175" i="23"/>
  <c r="J175" i="23"/>
  <c r="K175" i="23"/>
  <c r="L175" i="23"/>
  <c r="M175" i="23"/>
  <c r="N175" i="23"/>
  <c r="O175" i="23"/>
  <c r="Q175" i="23"/>
  <c r="R175" i="23"/>
  <c r="S175" i="23"/>
  <c r="W175" i="23"/>
  <c r="X175" i="23"/>
  <c r="Z175" i="23"/>
  <c r="AA175" i="23"/>
  <c r="F156" i="23"/>
  <c r="G156" i="23"/>
  <c r="H156" i="23"/>
  <c r="J156" i="23"/>
  <c r="K156" i="23"/>
  <c r="L156" i="23"/>
  <c r="M156" i="23"/>
  <c r="N156" i="23"/>
  <c r="O156" i="23"/>
  <c r="Q156" i="23"/>
  <c r="R156" i="23"/>
  <c r="S156" i="23"/>
  <c r="W156" i="23"/>
  <c r="X156" i="23"/>
  <c r="Z156" i="23"/>
  <c r="AA156" i="23"/>
  <c r="F144" i="23"/>
  <c r="G144" i="23"/>
  <c r="H144" i="23"/>
  <c r="J144" i="23"/>
  <c r="K144" i="23"/>
  <c r="L144" i="23"/>
  <c r="M144" i="23"/>
  <c r="N144" i="23"/>
  <c r="O144" i="23"/>
  <c r="Q144" i="23"/>
  <c r="R144" i="23"/>
  <c r="S144" i="23"/>
  <c r="W144" i="23"/>
  <c r="X144" i="23"/>
  <c r="Z144" i="23"/>
  <c r="AA144" i="23"/>
  <c r="F127" i="23"/>
  <c r="G127" i="23"/>
  <c r="H127" i="23"/>
  <c r="J127" i="23"/>
  <c r="K127" i="23"/>
  <c r="L127" i="23"/>
  <c r="M127" i="23"/>
  <c r="N127" i="23"/>
  <c r="O127" i="23"/>
  <c r="Q127" i="23"/>
  <c r="R127" i="23"/>
  <c r="S127" i="23"/>
  <c r="W127" i="23"/>
  <c r="X127" i="23"/>
  <c r="Z127" i="23"/>
  <c r="AA127" i="23"/>
  <c r="F112" i="23"/>
  <c r="G112" i="23"/>
  <c r="H112" i="23"/>
  <c r="J112" i="23"/>
  <c r="K112" i="23"/>
  <c r="L112" i="23"/>
  <c r="M112" i="23"/>
  <c r="N112" i="23"/>
  <c r="O112" i="23"/>
  <c r="Q112" i="23"/>
  <c r="R112" i="23"/>
  <c r="S112" i="23"/>
  <c r="W112" i="23"/>
  <c r="X112" i="23"/>
  <c r="Z112" i="23"/>
  <c r="AA112" i="23"/>
  <c r="F92" i="23"/>
  <c r="G92" i="23"/>
  <c r="H92" i="23"/>
  <c r="J92" i="23"/>
  <c r="K92" i="23"/>
  <c r="L92" i="23"/>
  <c r="M92" i="23"/>
  <c r="N92" i="23"/>
  <c r="O92" i="23"/>
  <c r="Q92" i="23"/>
  <c r="R92" i="23"/>
  <c r="S92" i="23"/>
  <c r="W92" i="23"/>
  <c r="X92" i="23"/>
  <c r="Z92" i="23"/>
  <c r="AA92" i="23"/>
  <c r="F75" i="23"/>
  <c r="G75" i="23"/>
  <c r="H75" i="23"/>
  <c r="J75" i="23"/>
  <c r="K75" i="23"/>
  <c r="L75" i="23"/>
  <c r="M75" i="23"/>
  <c r="N75" i="23"/>
  <c r="O75" i="23"/>
  <c r="Q75" i="23"/>
  <c r="R75" i="23"/>
  <c r="S75" i="23"/>
  <c r="W75" i="23"/>
  <c r="X75" i="23"/>
  <c r="Z75" i="23"/>
  <c r="AA75" i="23"/>
  <c r="E57" i="23"/>
  <c r="F43" i="23"/>
  <c r="G43" i="23"/>
  <c r="H43" i="23"/>
  <c r="J43" i="23"/>
  <c r="K43" i="23"/>
  <c r="L43" i="23"/>
  <c r="M43" i="23"/>
  <c r="N43" i="23"/>
  <c r="O43" i="23"/>
  <c r="Q43" i="23"/>
  <c r="R43" i="23"/>
  <c r="S43" i="23"/>
  <c r="W43" i="23"/>
  <c r="X43" i="23"/>
  <c r="Y43" i="23"/>
  <c r="Z43" i="23"/>
  <c r="AA43" i="23"/>
  <c r="E63" i="23"/>
  <c r="E22" i="23"/>
  <c r="E21" i="23"/>
  <c r="E255" i="23"/>
  <c r="E14" i="23"/>
  <c r="E31" i="23"/>
  <c r="E225" i="23"/>
  <c r="E223" i="23"/>
  <c r="E222" i="23"/>
  <c r="E220" i="23"/>
  <c r="E251" i="23"/>
  <c r="E226" i="23"/>
  <c r="E228" i="23"/>
  <c r="E231" i="23"/>
  <c r="E168" i="23"/>
  <c r="E194" i="23"/>
  <c r="E195" i="23"/>
  <c r="E23" i="23"/>
  <c r="E25" i="23"/>
  <c r="AF419" i="23"/>
  <c r="I474" i="23"/>
  <c r="W27" i="23"/>
  <c r="W255" i="23"/>
  <c r="W224" i="23"/>
  <c r="W220" i="23"/>
  <c r="W25" i="23"/>
  <c r="W17" i="23"/>
  <c r="V473" i="23"/>
  <c r="AB473" i="23" s="1"/>
  <c r="P15" i="23"/>
  <c r="F40" i="88" a="1"/>
  <c r="F40" i="88" s="1"/>
  <c r="O554" i="23"/>
  <c r="N514" i="23"/>
  <c r="N562" i="23"/>
  <c r="N561" i="23"/>
  <c r="N516" i="23"/>
  <c r="N548" i="23"/>
  <c r="N551" i="23"/>
  <c r="N560" i="23"/>
  <c r="N558" i="23"/>
  <c r="N544" i="23"/>
  <c r="E529" i="23"/>
  <c r="AB496" i="23"/>
  <c r="AB497" i="23"/>
  <c r="AB498" i="23"/>
  <c r="AB499" i="23"/>
  <c r="AB500" i="23"/>
  <c r="AB501" i="23"/>
  <c r="AB502" i="23"/>
  <c r="AB503" i="23"/>
  <c r="AB504" i="23"/>
  <c r="AB505" i="23"/>
  <c r="AB506" i="23"/>
  <c r="AB507" i="23"/>
  <c r="AB508" i="23"/>
  <c r="AB509" i="23"/>
  <c r="AB510" i="23"/>
  <c r="AB495" i="23"/>
  <c r="O226" i="23"/>
  <c r="O227" i="23"/>
  <c r="AB476" i="23"/>
  <c r="AB477" i="23"/>
  <c r="AB478" i="23"/>
  <c r="AB479" i="23"/>
  <c r="AB480" i="23"/>
  <c r="AB481" i="23"/>
  <c r="N471" i="23"/>
  <c r="N255" i="23"/>
  <c r="N220" i="23"/>
  <c r="N203" i="23"/>
  <c r="N195" i="23"/>
  <c r="AB23" i="24"/>
  <c r="AD19" i="45"/>
  <c r="AE31" i="45"/>
  <c r="H22" i="45"/>
  <c r="H21" i="45"/>
  <c r="J21" i="45" s="1"/>
  <c r="H20" i="45"/>
  <c r="H31" i="45" s="1"/>
  <c r="K26" i="45"/>
  <c r="K24" i="45"/>
  <c r="O24" i="45" s="1"/>
  <c r="K19" i="45"/>
  <c r="K18" i="45"/>
  <c r="O18" i="45" s="1"/>
  <c r="K17" i="45"/>
  <c r="O17" i="45" s="1"/>
  <c r="AE17" i="45" s="1"/>
  <c r="K28" i="45"/>
  <c r="K27" i="45"/>
  <c r="L20" i="45"/>
  <c r="K20" i="45" s="1"/>
  <c r="L21" i="45"/>
  <c r="K21" i="45" s="1"/>
  <c r="AB28" i="24"/>
  <c r="AB27" i="24"/>
  <c r="N31" i="45"/>
  <c r="M31" i="45"/>
  <c r="O27" i="23"/>
  <c r="I158" i="22"/>
  <c r="Q141" i="73" s="1"/>
  <c r="N141" i="73" s="1"/>
  <c r="H38" i="22"/>
  <c r="H50" i="22" s="1"/>
  <c r="H81" i="22" s="1"/>
  <c r="E38" i="22"/>
  <c r="E50" i="22" s="1"/>
  <c r="E81" i="22" s="1"/>
  <c r="F38" i="22"/>
  <c r="F50" i="22" s="1"/>
  <c r="F81" i="22" s="1"/>
  <c r="G38" i="22"/>
  <c r="G50" i="22" s="1"/>
  <c r="G81" i="22" s="1"/>
  <c r="I38" i="22"/>
  <c r="I50" i="22" s="1"/>
  <c r="I81" i="22" s="1"/>
  <c r="L38" i="22"/>
  <c r="L50" i="22" s="1"/>
  <c r="L81" i="22" s="1"/>
  <c r="D38" i="22"/>
  <c r="D50" i="22" s="1"/>
  <c r="D81" i="22" s="1"/>
  <c r="M137" i="22"/>
  <c r="K141" i="22"/>
  <c r="M141" i="22" s="1"/>
  <c r="K137" i="22"/>
  <c r="K138" i="22"/>
  <c r="M138" i="22" s="1"/>
  <c r="K139" i="22"/>
  <c r="M139" i="22" s="1"/>
  <c r="K140" i="22"/>
  <c r="M140" i="22" s="1"/>
  <c r="K142" i="22"/>
  <c r="M142" i="22" s="1"/>
  <c r="K143" i="22"/>
  <c r="M143" i="22" s="1"/>
  <c r="K144" i="22"/>
  <c r="M144" i="22" s="1"/>
  <c r="K145" i="22"/>
  <c r="M145" i="22" s="1"/>
  <c r="K146" i="22"/>
  <c r="M146" i="22" s="1"/>
  <c r="K147" i="22"/>
  <c r="M147" i="22" s="1"/>
  <c r="K148" i="22"/>
  <c r="M148" i="22" s="1"/>
  <c r="K149" i="22"/>
  <c r="M149" i="22" s="1"/>
  <c r="K150" i="22"/>
  <c r="M150" i="22" s="1"/>
  <c r="K151" i="22"/>
  <c r="M151" i="22" s="1"/>
  <c r="K152" i="22"/>
  <c r="M152" i="22" s="1"/>
  <c r="K153" i="22"/>
  <c r="M153" i="22" s="1"/>
  <c r="K154" i="22"/>
  <c r="M154" i="22" s="1"/>
  <c r="K155" i="22"/>
  <c r="M155" i="22" s="1"/>
  <c r="K156" i="22"/>
  <c r="M156" i="22" s="1"/>
  <c r="K157" i="22"/>
  <c r="M157" i="22" s="1"/>
  <c r="K136" i="22"/>
  <c r="M136" i="22" s="1"/>
  <c r="G124" i="22"/>
  <c r="G135" i="22" s="1"/>
  <c r="G159" i="22" s="1"/>
  <c r="O212" i="56" l="1"/>
  <c r="O287" i="56" s="1"/>
  <c r="O288" i="56" s="1"/>
  <c r="O187" i="56"/>
  <c r="K63" i="56"/>
  <c r="K72" i="56" s="1"/>
  <c r="D474" i="55"/>
  <c r="K24" i="56"/>
  <c r="T10" i="50"/>
  <c r="U10" i="50" s="1"/>
  <c r="O22" i="55"/>
  <c r="Q131" i="50"/>
  <c r="Q61" i="50"/>
  <c r="I61" i="50" s="1"/>
  <c r="P43" i="23"/>
  <c r="I564" i="23"/>
  <c r="E127" i="23"/>
  <c r="E156" i="23" s="1"/>
  <c r="E175" i="23" s="1"/>
  <c r="E189" i="23" s="1"/>
  <c r="E219" i="23" s="1"/>
  <c r="E248" i="23" s="1"/>
  <c r="E268" i="23" s="1"/>
  <c r="E282" i="23" s="1"/>
  <c r="E305" i="23" s="1"/>
  <c r="E320" i="23" s="1"/>
  <c r="E337" i="23" s="1"/>
  <c r="E349" i="23" s="1"/>
  <c r="E363" i="23" s="1"/>
  <c r="E377" i="23" s="1"/>
  <c r="E392" i="23" s="1"/>
  <c r="E405" i="23" s="1"/>
  <c r="E421" i="23" s="1"/>
  <c r="E434" i="23" s="1"/>
  <c r="AE18" i="45"/>
  <c r="N16" i="23"/>
  <c r="N15" i="23"/>
  <c r="K158" i="22"/>
  <c r="H92" i="22"/>
  <c r="T61" i="50" l="1"/>
  <c r="U61" i="50" s="1"/>
  <c r="E451" i="23"/>
  <c r="E464" i="23" s="1"/>
  <c r="E482" i="23" s="1"/>
  <c r="H124" i="22"/>
  <c r="H135" i="22" s="1"/>
  <c r="H159" i="22" s="1"/>
  <c r="H165" i="22" s="1"/>
  <c r="H164" i="22" l="1"/>
  <c r="K20" i="22"/>
  <c r="I41" i="63" l="1"/>
  <c r="I47" i="63" s="1"/>
  <c r="J41" i="63"/>
  <c r="K41" i="63"/>
  <c r="L41" i="63"/>
  <c r="M41" i="63"/>
  <c r="N41" i="63"/>
  <c r="O41" i="63"/>
  <c r="Q41" i="63"/>
  <c r="P40" i="63"/>
  <c r="P33" i="63"/>
  <c r="P30" i="63" l="1"/>
  <c r="P26" i="63"/>
  <c r="P25" i="63"/>
  <c r="P15" i="63"/>
  <c r="P16" i="63"/>
  <c r="P17" i="63"/>
  <c r="H54" i="14"/>
  <c r="H66" i="14"/>
  <c r="AL60" i="14" s="1"/>
  <c r="AL64" i="14" s="1"/>
  <c r="AL55" i="14"/>
  <c r="AL53" i="14"/>
  <c r="AI61" i="14"/>
  <c r="AI53" i="14"/>
  <c r="AK69" i="14"/>
  <c r="AJ66" i="14"/>
  <c r="I66" i="14"/>
  <c r="AL69" i="14" s="1"/>
  <c r="I62" i="50"/>
  <c r="T62" i="50" s="1"/>
  <c r="U62" i="50" s="1"/>
  <c r="E30" i="50" l="1"/>
  <c r="E42" i="50" s="1"/>
  <c r="H29" i="14"/>
  <c r="H13" i="14"/>
  <c r="H17" i="14"/>
  <c r="H15" i="14"/>
  <c r="H12" i="14"/>
  <c r="G14" i="28"/>
  <c r="G171" i="28"/>
  <c r="G9" i="28" s="1"/>
  <c r="I171" i="28"/>
  <c r="I14" i="28"/>
  <c r="H71" i="54"/>
  <c r="F71" i="54"/>
  <c r="D71" i="54"/>
  <c r="W53" i="54"/>
  <c r="H13" i="54"/>
  <c r="H14" i="54"/>
  <c r="H15" i="54"/>
  <c r="H16" i="54"/>
  <c r="H17" i="54"/>
  <c r="H18" i="54"/>
  <c r="H19" i="54"/>
  <c r="H20" i="54"/>
  <c r="H21" i="54"/>
  <c r="H22" i="54"/>
  <c r="H23" i="54"/>
  <c r="H24" i="54"/>
  <c r="H25" i="54"/>
  <c r="H26" i="54"/>
  <c r="H27" i="54"/>
  <c r="H28" i="54"/>
  <c r="H29" i="54"/>
  <c r="H30" i="54"/>
  <c r="H31" i="54"/>
  <c r="H32" i="54"/>
  <c r="H33" i="54"/>
  <c r="H34" i="54"/>
  <c r="H35" i="54"/>
  <c r="H36" i="54"/>
  <c r="H37" i="54"/>
  <c r="H38" i="54"/>
  <c r="H39" i="54"/>
  <c r="H40" i="54"/>
  <c r="H41" i="54"/>
  <c r="H42" i="54"/>
  <c r="H43" i="54"/>
  <c r="H44" i="54"/>
  <c r="H45" i="54"/>
  <c r="H46" i="54"/>
  <c r="H47" i="54"/>
  <c r="H48" i="54"/>
  <c r="H49" i="54"/>
  <c r="H12" i="54"/>
  <c r="E49" i="54"/>
  <c r="E13" i="54"/>
  <c r="E14" i="54"/>
  <c r="E15" i="54"/>
  <c r="E16" i="54"/>
  <c r="E17" i="54"/>
  <c r="E18" i="54"/>
  <c r="E19" i="54"/>
  <c r="E20" i="54"/>
  <c r="E21" i="54"/>
  <c r="E22" i="54"/>
  <c r="E23" i="54"/>
  <c r="E24" i="54"/>
  <c r="E25" i="54"/>
  <c r="E26" i="54"/>
  <c r="E27" i="54"/>
  <c r="E28" i="54"/>
  <c r="E29" i="54"/>
  <c r="E30" i="54"/>
  <c r="E31" i="54"/>
  <c r="E32" i="54"/>
  <c r="E33" i="54"/>
  <c r="E34" i="54"/>
  <c r="E35" i="54"/>
  <c r="E36" i="54"/>
  <c r="E37" i="54"/>
  <c r="E38" i="54"/>
  <c r="E39" i="54"/>
  <c r="E40" i="54"/>
  <c r="E41" i="54"/>
  <c r="E42" i="54"/>
  <c r="E43" i="54"/>
  <c r="E44" i="54"/>
  <c r="E45" i="54"/>
  <c r="E46" i="54"/>
  <c r="E47" i="54"/>
  <c r="E48" i="54"/>
  <c r="E12" i="54"/>
  <c r="W55" i="54"/>
  <c r="T55" i="54"/>
  <c r="T51" i="54"/>
  <c r="T53" i="54" s="1"/>
  <c r="T54" i="54" s="1"/>
  <c r="U51" i="54"/>
  <c r="W51" i="54"/>
  <c r="X51" i="54"/>
  <c r="Y51" i="54"/>
  <c r="L136" i="51"/>
  <c r="L137" i="51"/>
  <c r="L138" i="51"/>
  <c r="L139" i="51"/>
  <c r="L144" i="51"/>
  <c r="G145" i="51"/>
  <c r="G139" i="51"/>
  <c r="G137" i="51"/>
  <c r="L131" i="51"/>
  <c r="G132" i="51"/>
  <c r="L132" i="51" s="1"/>
  <c r="L128" i="51"/>
  <c r="G129" i="51"/>
  <c r="L129" i="51" s="1"/>
  <c r="L125" i="51"/>
  <c r="G126" i="51"/>
  <c r="E68" i="50" l="1"/>
  <c r="E78" i="50" s="1"/>
  <c r="U55" i="54"/>
  <c r="V51" i="54"/>
  <c r="Q68" i="12"/>
  <c r="K41" i="12"/>
  <c r="F41" i="12"/>
  <c r="T67" i="12"/>
  <c r="I151" i="72"/>
  <c r="J133" i="72"/>
  <c r="I133" i="72"/>
  <c r="I132" i="72"/>
  <c r="I128" i="72"/>
  <c r="I126" i="72"/>
  <c r="I122" i="72"/>
  <c r="M122" i="72" s="1"/>
  <c r="M119" i="72"/>
  <c r="J118" i="72"/>
  <c r="I118" i="72"/>
  <c r="L32" i="52"/>
  <c r="L17" i="52"/>
  <c r="L13" i="52"/>
  <c r="L12" i="52"/>
  <c r="L11" i="52"/>
  <c r="V14" i="73" l="1"/>
  <c r="V17" i="23"/>
  <c r="V11" i="73"/>
  <c r="V12" i="23"/>
  <c r="V13" i="73"/>
  <c r="V16" i="23"/>
  <c r="V84" i="73"/>
  <c r="AF84" i="73" s="1"/>
  <c r="V221" i="23"/>
  <c r="AB221" i="23" s="1"/>
  <c r="V22" i="73"/>
  <c r="V23" i="23"/>
  <c r="E110" i="50"/>
  <c r="N119" i="72"/>
  <c r="E132" i="50" l="1"/>
  <c r="I67" i="14" s="1"/>
  <c r="E120" i="50"/>
  <c r="I54" i="14"/>
  <c r="AI57" i="14" s="1"/>
  <c r="L22" i="52"/>
  <c r="L55" i="52"/>
  <c r="L54" i="52"/>
  <c r="L30" i="52"/>
  <c r="L51" i="52"/>
  <c r="L37" i="52"/>
  <c r="L36" i="52"/>
  <c r="L35" i="52"/>
  <c r="L34" i="52"/>
  <c r="L33" i="52"/>
  <c r="L26" i="52"/>
  <c r="L25" i="52"/>
  <c r="L16" i="52"/>
  <c r="L10" i="52"/>
  <c r="L56" i="52"/>
  <c r="L50" i="52"/>
  <c r="L52" i="52"/>
  <c r="L38" i="52"/>
  <c r="L31" i="52"/>
  <c r="L53" i="52"/>
  <c r="L28" i="52"/>
  <c r="L27" i="52"/>
  <c r="L29" i="52"/>
  <c r="L21" i="52"/>
  <c r="L20" i="52"/>
  <c r="L18" i="52"/>
  <c r="L15" i="52"/>
  <c r="V10" i="52"/>
  <c r="V11" i="52"/>
  <c r="U16" i="23" s="1"/>
  <c r="V12" i="52"/>
  <c r="U17" i="23" s="1"/>
  <c r="V13" i="52"/>
  <c r="U12" i="23" s="1"/>
  <c r="V14" i="52"/>
  <c r="U18" i="23" s="1"/>
  <c r="V15" i="52"/>
  <c r="U19" i="23" s="1"/>
  <c r="V16" i="52"/>
  <c r="U14" i="23" s="1"/>
  <c r="V17" i="52"/>
  <c r="U23" i="23" s="1"/>
  <c r="V18" i="52"/>
  <c r="U21" i="23" s="1"/>
  <c r="V19" i="52"/>
  <c r="U20" i="23" s="1"/>
  <c r="V20" i="52"/>
  <c r="V21" i="52"/>
  <c r="U22" i="23" s="1"/>
  <c r="V22" i="52"/>
  <c r="V23" i="52"/>
  <c r="U27" i="23" s="1"/>
  <c r="P11" i="52"/>
  <c r="T16" i="23" s="1"/>
  <c r="AB16" i="23" s="1"/>
  <c r="P12" i="52"/>
  <c r="T17" i="23" s="1"/>
  <c r="AB17" i="23" s="1"/>
  <c r="P13" i="52"/>
  <c r="P14" i="52"/>
  <c r="T18" i="23" s="1"/>
  <c r="AB18" i="23" s="1"/>
  <c r="P15" i="52"/>
  <c r="T19" i="23" s="1"/>
  <c r="P16" i="52"/>
  <c r="T14" i="23" s="1"/>
  <c r="P17" i="52"/>
  <c r="P18" i="52"/>
  <c r="T21" i="23" s="1"/>
  <c r="P19" i="52"/>
  <c r="T20" i="23" s="1"/>
  <c r="AB20" i="23" s="1"/>
  <c r="P20" i="52"/>
  <c r="P21" i="52"/>
  <c r="P22" i="52"/>
  <c r="P23" i="52"/>
  <c r="P10" i="52"/>
  <c r="Q24" i="52"/>
  <c r="R24" i="52"/>
  <c r="S24" i="52"/>
  <c r="T24" i="52"/>
  <c r="H17" i="90"/>
  <c r="I17" i="90"/>
  <c r="M16" i="90"/>
  <c r="M15" i="90"/>
  <c r="I12" i="90"/>
  <c r="I13" i="90"/>
  <c r="I14" i="90"/>
  <c r="I15" i="90"/>
  <c r="I16" i="90"/>
  <c r="I11" i="90"/>
  <c r="G17" i="90"/>
  <c r="F17" i="90"/>
  <c r="M14" i="90"/>
  <c r="M17" i="90" s="1"/>
  <c r="M13" i="90"/>
  <c r="E13" i="62"/>
  <c r="L22" i="45"/>
  <c r="L29" i="45"/>
  <c r="K29" i="45" s="1"/>
  <c r="L25" i="45"/>
  <c r="K25" i="45" s="1"/>
  <c r="K23" i="45"/>
  <c r="J18" i="45"/>
  <c r="J19" i="45"/>
  <c r="J20" i="45"/>
  <c r="J22" i="45"/>
  <c r="J23" i="45"/>
  <c r="J24" i="45"/>
  <c r="J25" i="45"/>
  <c r="J26" i="45"/>
  <c r="J27" i="45"/>
  <c r="J28" i="45"/>
  <c r="J29" i="45"/>
  <c r="J30" i="45"/>
  <c r="K30" i="45" s="1"/>
  <c r="J17" i="45"/>
  <c r="V67" i="73" l="1"/>
  <c r="AF67" i="73" s="1"/>
  <c r="V389" i="23"/>
  <c r="V98" i="73"/>
  <c r="AF98" i="73" s="1"/>
  <c r="V471" i="23"/>
  <c r="V88" i="73"/>
  <c r="V225" i="23"/>
  <c r="AB225" i="23" s="1"/>
  <c r="T27" i="23"/>
  <c r="AB27" i="23" s="1"/>
  <c r="X23" i="52"/>
  <c r="V18" i="73"/>
  <c r="V21" i="23"/>
  <c r="V61" i="73"/>
  <c r="AF61" i="73" s="1"/>
  <c r="V195" i="23"/>
  <c r="V90" i="73"/>
  <c r="AF90" i="73" s="1"/>
  <c r="V227" i="23"/>
  <c r="AB227" i="23" s="1"/>
  <c r="V12" i="73"/>
  <c r="V15" i="23"/>
  <c r="V85" i="73"/>
  <c r="AF85" i="73" s="1"/>
  <c r="V222" i="23"/>
  <c r="V89" i="73"/>
  <c r="V226" i="23"/>
  <c r="V99" i="73"/>
  <c r="V472" i="23"/>
  <c r="V16" i="73"/>
  <c r="V19" i="23"/>
  <c r="AB19" i="23" s="1"/>
  <c r="V64" i="73"/>
  <c r="V197" i="23"/>
  <c r="AB21" i="23"/>
  <c r="V23" i="73"/>
  <c r="AF23" i="73" s="1"/>
  <c r="V25" i="23"/>
  <c r="AB25" i="23" s="1"/>
  <c r="V62" i="73"/>
  <c r="AF62" i="73" s="1"/>
  <c r="V196" i="23"/>
  <c r="V93" i="73"/>
  <c r="AF93" i="73" s="1"/>
  <c r="V229" i="23"/>
  <c r="AB229" i="23" s="1"/>
  <c r="V17" i="73"/>
  <c r="V14" i="23"/>
  <c r="AB14" i="23" s="1"/>
  <c r="V86" i="73"/>
  <c r="V223" i="23"/>
  <c r="V92" i="73"/>
  <c r="V228" i="23"/>
  <c r="AB228" i="23" s="1"/>
  <c r="V24" i="73"/>
  <c r="AF24" i="73" s="1"/>
  <c r="V26" i="23"/>
  <c r="AB26" i="23" s="1"/>
  <c r="P24" i="52"/>
  <c r="T15" i="23"/>
  <c r="V83" i="73"/>
  <c r="AF83" i="73" s="1"/>
  <c r="V220" i="23"/>
  <c r="V97" i="73"/>
  <c r="V470" i="23"/>
  <c r="T22" i="23"/>
  <c r="AB22" i="23" s="1"/>
  <c r="T23" i="23"/>
  <c r="AB23" i="23" s="1"/>
  <c r="T12" i="23"/>
  <c r="V24" i="52"/>
  <c r="U15" i="23"/>
  <c r="U43" i="23" s="1"/>
  <c r="V20" i="73"/>
  <c r="V22" i="23"/>
  <c r="V69" i="73"/>
  <c r="AF69" i="73" s="1"/>
  <c r="V203" i="23"/>
  <c r="V91" i="73"/>
  <c r="AF91" i="73" s="1"/>
  <c r="V255" i="23"/>
  <c r="L39" i="52"/>
  <c r="V60" i="73"/>
  <c r="V71" i="73" s="1"/>
  <c r="V194" i="23"/>
  <c r="V87" i="73"/>
  <c r="V224" i="23"/>
  <c r="AB224" i="23" s="1"/>
  <c r="V95" i="73"/>
  <c r="V233" i="23"/>
  <c r="AB233" i="23" s="1"/>
  <c r="J31" i="45"/>
  <c r="K22" i="45"/>
  <c r="L31" i="45"/>
  <c r="L24" i="52"/>
  <c r="AC21" i="45"/>
  <c r="V28" i="73" l="1"/>
  <c r="T43" i="23"/>
  <c r="AB12" i="23"/>
  <c r="AB15" i="23"/>
  <c r="V43" i="23"/>
  <c r="AE33" i="45"/>
  <c r="AD31" i="45"/>
  <c r="AE38" i="45"/>
  <c r="AE40" i="45" s="1"/>
  <c r="K31" i="45"/>
  <c r="AC43" i="45"/>
  <c r="I13" i="62"/>
  <c r="K54" i="24"/>
  <c r="L54" i="24"/>
  <c r="M54" i="24"/>
  <c r="N54" i="24"/>
  <c r="O54" i="24"/>
  <c r="P54" i="24"/>
  <c r="Q54" i="24"/>
  <c r="R54" i="24"/>
  <c r="S54" i="24"/>
  <c r="T54" i="24"/>
  <c r="U54" i="24"/>
  <c r="V54" i="24"/>
  <c r="W54" i="24"/>
  <c r="X54" i="24"/>
  <c r="Y54" i="24"/>
  <c r="AC54" i="24"/>
  <c r="AD54" i="24"/>
  <c r="AE54" i="24"/>
  <c r="J54" i="24"/>
  <c r="AE90" i="24"/>
  <c r="V31" i="24"/>
  <c r="AB31" i="24" s="1"/>
  <c r="J22" i="24"/>
  <c r="Q22" i="24" s="1"/>
  <c r="Y51" i="45"/>
  <c r="Y30" i="45" s="1"/>
  <c r="Y31" i="45" s="1"/>
  <c r="S50" i="45"/>
  <c r="W50" i="45" s="1"/>
  <c r="K50" i="45"/>
  <c r="O50" i="45" s="1"/>
  <c r="S49" i="45"/>
  <c r="R49" i="45"/>
  <c r="K49" i="45"/>
  <c r="O49" i="45" s="1"/>
  <c r="S48" i="45"/>
  <c r="W48" i="45" s="1"/>
  <c r="K48" i="45"/>
  <c r="O48" i="45" s="1"/>
  <c r="S47" i="45"/>
  <c r="W47" i="45" s="1"/>
  <c r="K47" i="45"/>
  <c r="O47" i="45" s="1"/>
  <c r="P20" i="45"/>
  <c r="AB43" i="23" l="1"/>
  <c r="AD43" i="23"/>
  <c r="O31" i="45"/>
  <c r="AE35" i="45"/>
  <c r="X50" i="45"/>
  <c r="X47" i="45"/>
  <c r="W49" i="45"/>
  <c r="X49" i="45" s="1"/>
  <c r="X48" i="45"/>
  <c r="M44" i="45"/>
  <c r="O28" i="45" l="1"/>
  <c r="O29" i="45"/>
  <c r="O30" i="45"/>
  <c r="AE30" i="45" s="1"/>
  <c r="V45" i="24"/>
  <c r="AA45" i="24" s="1"/>
  <c r="V44" i="24"/>
  <c r="AB44" i="24" s="1"/>
  <c r="V43" i="24"/>
  <c r="AB43" i="24" s="1"/>
  <c r="V42" i="24"/>
  <c r="AA42" i="24" s="1"/>
  <c r="V38" i="24"/>
  <c r="AB38" i="24" s="1"/>
  <c r="V36" i="24"/>
  <c r="AA36" i="24" s="1"/>
  <c r="AA31" i="24"/>
  <c r="Q31" i="45"/>
  <c r="P22" i="45"/>
  <c r="AB32" i="24"/>
  <c r="AB33" i="24"/>
  <c r="AB34" i="24"/>
  <c r="AB35" i="24"/>
  <c r="AB37" i="24"/>
  <c r="AB39" i="24"/>
  <c r="AB40" i="24"/>
  <c r="AB41" i="24"/>
  <c r="AB46" i="24"/>
  <c r="AB47" i="24"/>
  <c r="AB48" i="24"/>
  <c r="AB49" i="24"/>
  <c r="AB50" i="24"/>
  <c r="AB51" i="24"/>
  <c r="AB52" i="24"/>
  <c r="AA22" i="24"/>
  <c r="AA75" i="24"/>
  <c r="AA76" i="24"/>
  <c r="AA77" i="24"/>
  <c r="AA24" i="24"/>
  <c r="AA78" i="24"/>
  <c r="AA25" i="24"/>
  <c r="AA26" i="24"/>
  <c r="AA79" i="24"/>
  <c r="AA80" i="24"/>
  <c r="AA82" i="24"/>
  <c r="AA83" i="24"/>
  <c r="AA84" i="24"/>
  <c r="AA85" i="24"/>
  <c r="AA86" i="24"/>
  <c r="AA29" i="24"/>
  <c r="AA30" i="24"/>
  <c r="AA87" i="24"/>
  <c r="AA88" i="24"/>
  <c r="AA89" i="24"/>
  <c r="AA32" i="24"/>
  <c r="AA33" i="24"/>
  <c r="AA34" i="24"/>
  <c r="AA35" i="24"/>
  <c r="AA37" i="24"/>
  <c r="AA39" i="24"/>
  <c r="AA40" i="24"/>
  <c r="AA41" i="24"/>
  <c r="AA46" i="24"/>
  <c r="AA47" i="24"/>
  <c r="AA48" i="24"/>
  <c r="AA49" i="24"/>
  <c r="AA50" i="24"/>
  <c r="AA51" i="24"/>
  <c r="AA52" i="24"/>
  <c r="AA74" i="24"/>
  <c r="Q31" i="24"/>
  <c r="Q32" i="24"/>
  <c r="Q33" i="24"/>
  <c r="Q34" i="24"/>
  <c r="Q35" i="24"/>
  <c r="Q36" i="24"/>
  <c r="Q37" i="24"/>
  <c r="Q38" i="24"/>
  <c r="Q39" i="24"/>
  <c r="Q40" i="24"/>
  <c r="Q41" i="24"/>
  <c r="Q42" i="24"/>
  <c r="Q43" i="24"/>
  <c r="Q44" i="24"/>
  <c r="Q45" i="24"/>
  <c r="Q46" i="24"/>
  <c r="Q47" i="24"/>
  <c r="Q48" i="24"/>
  <c r="Q49" i="24"/>
  <c r="Q50" i="24"/>
  <c r="Q51" i="24"/>
  <c r="Q52" i="24"/>
  <c r="O23" i="45"/>
  <c r="AE23" i="45" s="1"/>
  <c r="W23" i="45"/>
  <c r="O28" i="23" s="1"/>
  <c r="G31" i="45"/>
  <c r="J74" i="24"/>
  <c r="Q74" i="24" s="1"/>
  <c r="D81" i="21"/>
  <c r="E81" i="21"/>
  <c r="F81" i="21"/>
  <c r="C81" i="21"/>
  <c r="C79" i="21"/>
  <c r="C67" i="21"/>
  <c r="C68" i="21" s="1"/>
  <c r="D68" i="21"/>
  <c r="D67" i="21"/>
  <c r="E67" i="21"/>
  <c r="F67" i="21"/>
  <c r="C52" i="21"/>
  <c r="I49" i="21"/>
  <c r="I50" i="21"/>
  <c r="H9" i="21"/>
  <c r="I9" i="21" s="1"/>
  <c r="D52" i="21"/>
  <c r="F102" i="20"/>
  <c r="E11" i="20"/>
  <c r="F11" i="20"/>
  <c r="F101" i="20"/>
  <c r="E98" i="20"/>
  <c r="H74" i="20"/>
  <c r="H73" i="20"/>
  <c r="E58" i="20"/>
  <c r="E62" i="20"/>
  <c r="H62" i="20" s="1"/>
  <c r="H71" i="20"/>
  <c r="E33" i="20"/>
  <c r="H69" i="20"/>
  <c r="E30" i="20"/>
  <c r="F30" i="20"/>
  <c r="E21" i="20"/>
  <c r="H64" i="20"/>
  <c r="E27" i="20"/>
  <c r="E22" i="20"/>
  <c r="H63" i="20"/>
  <c r="H56" i="20"/>
  <c r="H55" i="20"/>
  <c r="G41" i="20"/>
  <c r="D41" i="20"/>
  <c r="D54" i="20" s="1"/>
  <c r="D91" i="20" s="1"/>
  <c r="D92" i="20" s="1"/>
  <c r="E14" i="20"/>
  <c r="AI37" i="20"/>
  <c r="N27" i="23" l="1"/>
  <c r="AE29" i="45"/>
  <c r="AE28" i="45"/>
  <c r="N22" i="23"/>
  <c r="AA44" i="24"/>
  <c r="AB45" i="24"/>
  <c r="AB42" i="24"/>
  <c r="AB36" i="24"/>
  <c r="AA38" i="24"/>
  <c r="X23" i="45"/>
  <c r="O42" i="45"/>
  <c r="AA43" i="24"/>
  <c r="F41" i="20"/>
  <c r="D90" i="20"/>
  <c r="V62" i="24" l="1"/>
  <c r="E37" i="20" l="1"/>
  <c r="E15" i="20"/>
  <c r="H36" i="20"/>
  <c r="H38" i="20"/>
  <c r="H34" i="20"/>
  <c r="H32" i="20"/>
  <c r="H31" i="20"/>
  <c r="H13" i="20"/>
  <c r="H11" i="20"/>
  <c r="AH54" i="14"/>
  <c r="AH56" i="14" s="1"/>
  <c r="H27" i="87"/>
  <c r="N27" i="87" s="1"/>
  <c r="N66" i="87"/>
  <c r="K53" i="87"/>
  <c r="K54" i="87"/>
  <c r="K55" i="87"/>
  <c r="K56" i="87"/>
  <c r="K57" i="87"/>
  <c r="K58" i="87"/>
  <c r="K59" i="87"/>
  <c r="K60" i="87"/>
  <c r="K61" i="87"/>
  <c r="K62" i="87"/>
  <c r="K63" i="87"/>
  <c r="K64" i="87"/>
  <c r="K68" i="87"/>
  <c r="K69" i="87"/>
  <c r="K70" i="87"/>
  <c r="K71" i="87"/>
  <c r="K72" i="87"/>
  <c r="K73" i="87"/>
  <c r="K74" i="87"/>
  <c r="K75" i="87"/>
  <c r="K76" i="87"/>
  <c r="K77" i="87"/>
  <c r="K78" i="87"/>
  <c r="K79" i="87"/>
  <c r="K80" i="87"/>
  <c r="K81" i="87"/>
  <c r="K82" i="87"/>
  <c r="K83" i="87"/>
  <c r="K84" i="87"/>
  <c r="K85" i="87"/>
  <c r="K86" i="87"/>
  <c r="K87" i="87"/>
  <c r="K88" i="87"/>
  <c r="K89" i="87"/>
  <c r="K52" i="87"/>
  <c r="K13" i="87"/>
  <c r="K14" i="87"/>
  <c r="K15" i="87"/>
  <c r="K16" i="87"/>
  <c r="K17" i="87"/>
  <c r="K18" i="87"/>
  <c r="K19" i="87"/>
  <c r="K20" i="87"/>
  <c r="K21" i="87"/>
  <c r="K22" i="87"/>
  <c r="K23" i="87"/>
  <c r="K24" i="87"/>
  <c r="K25" i="87"/>
  <c r="K26" i="87"/>
  <c r="K28" i="87"/>
  <c r="K29" i="87"/>
  <c r="K30" i="87"/>
  <c r="K31" i="87"/>
  <c r="K33" i="87"/>
  <c r="K34" i="87"/>
  <c r="K35" i="87"/>
  <c r="K36" i="87"/>
  <c r="K37" i="87"/>
  <c r="K38" i="87"/>
  <c r="K39" i="87"/>
  <c r="K12" i="87"/>
  <c r="I32" i="87"/>
  <c r="K32" i="87" s="1"/>
  <c r="J66" i="51"/>
  <c r="L66" i="51" s="1"/>
  <c r="K137" i="51"/>
  <c r="K168" i="51" s="1"/>
  <c r="I40" i="87"/>
  <c r="G40" i="87"/>
  <c r="L163" i="51"/>
  <c r="L164" i="51"/>
  <c r="L165" i="51"/>
  <c r="L166" i="51"/>
  <c r="L167" i="51"/>
  <c r="L156" i="51"/>
  <c r="L161" i="51"/>
  <c r="L145" i="51"/>
  <c r="G133" i="51"/>
  <c r="L133" i="51" s="1"/>
  <c r="L122" i="51"/>
  <c r="L123" i="51"/>
  <c r="L124" i="51"/>
  <c r="L126" i="51"/>
  <c r="L127" i="51"/>
  <c r="L130" i="51"/>
  <c r="L134" i="51"/>
  <c r="L135" i="51"/>
  <c r="L140" i="51"/>
  <c r="L141" i="51"/>
  <c r="L142" i="51"/>
  <c r="L143" i="51"/>
  <c r="L146" i="51"/>
  <c r="L147" i="51"/>
  <c r="L148" i="51"/>
  <c r="L149" i="51"/>
  <c r="L150" i="51"/>
  <c r="L151" i="51"/>
  <c r="L152" i="51"/>
  <c r="L153" i="51"/>
  <c r="L154" i="51"/>
  <c r="L155" i="51"/>
  <c r="L121" i="51"/>
  <c r="L84" i="51"/>
  <c r="L85" i="51"/>
  <c r="L86" i="51"/>
  <c r="L87" i="51"/>
  <c r="L88" i="51"/>
  <c r="L89" i="51"/>
  <c r="L90" i="51"/>
  <c r="L91" i="51"/>
  <c r="L92" i="51"/>
  <c r="L93" i="51"/>
  <c r="L94" i="51"/>
  <c r="L95" i="51"/>
  <c r="L96" i="51"/>
  <c r="L97" i="51"/>
  <c r="L98" i="51"/>
  <c r="L99" i="51"/>
  <c r="L100" i="51"/>
  <c r="L101" i="51"/>
  <c r="L102" i="51"/>
  <c r="L103" i="51"/>
  <c r="L104" i="51"/>
  <c r="L105" i="51"/>
  <c r="L106" i="51"/>
  <c r="L107" i="51"/>
  <c r="L108" i="51"/>
  <c r="L83" i="51"/>
  <c r="L46" i="51"/>
  <c r="L47" i="51"/>
  <c r="L48" i="51"/>
  <c r="L49" i="51"/>
  <c r="L50" i="51"/>
  <c r="L51" i="51"/>
  <c r="L52" i="51"/>
  <c r="L53" i="51"/>
  <c r="L54" i="51"/>
  <c r="L55" i="51"/>
  <c r="L56" i="51"/>
  <c r="L57" i="51"/>
  <c r="L58" i="51"/>
  <c r="L59" i="51"/>
  <c r="L60" i="51"/>
  <c r="L61" i="51"/>
  <c r="L62" i="51"/>
  <c r="L63" i="51"/>
  <c r="L64" i="51"/>
  <c r="L65" i="51"/>
  <c r="L67" i="51"/>
  <c r="L68" i="51"/>
  <c r="L69" i="51"/>
  <c r="L70" i="51"/>
  <c r="L71" i="51"/>
  <c r="L45" i="51"/>
  <c r="L13" i="51"/>
  <c r="L14" i="51"/>
  <c r="L15" i="51"/>
  <c r="L16" i="51"/>
  <c r="L17" i="51"/>
  <c r="L18" i="51"/>
  <c r="L19" i="51"/>
  <c r="L20" i="51"/>
  <c r="L21" i="51"/>
  <c r="L22" i="51"/>
  <c r="L23" i="51"/>
  <c r="L24" i="51"/>
  <c r="L25" i="51"/>
  <c r="L26" i="51"/>
  <c r="L27" i="51"/>
  <c r="L28" i="51"/>
  <c r="L29" i="51"/>
  <c r="L30" i="51"/>
  <c r="L31" i="51"/>
  <c r="L32" i="51"/>
  <c r="L33" i="51"/>
  <c r="L12" i="51"/>
  <c r="N78" i="55"/>
  <c r="N16" i="55"/>
  <c r="Q15" i="50"/>
  <c r="H30" i="50"/>
  <c r="H42" i="50" s="1"/>
  <c r="K110" i="50"/>
  <c r="K120" i="50" s="1"/>
  <c r="L110" i="50"/>
  <c r="L120" i="50" s="1"/>
  <c r="I99" i="50"/>
  <c r="T99" i="50" s="1"/>
  <c r="U99" i="50" s="1"/>
  <c r="I100" i="50"/>
  <c r="T100" i="50" s="1"/>
  <c r="U100" i="50" s="1"/>
  <c r="I101" i="50"/>
  <c r="T101" i="50" s="1"/>
  <c r="U101" i="50" s="1"/>
  <c r="I102" i="50"/>
  <c r="T102" i="50" s="1"/>
  <c r="U102" i="50" s="1"/>
  <c r="I103" i="50"/>
  <c r="T103" i="50" s="1"/>
  <c r="U103" i="50" s="1"/>
  <c r="I106" i="50"/>
  <c r="T106" i="50" s="1"/>
  <c r="U106" i="50" s="1"/>
  <c r="I107" i="50"/>
  <c r="T107" i="50" s="1"/>
  <c r="U107" i="50" s="1"/>
  <c r="I108" i="50"/>
  <c r="T108" i="50" s="1"/>
  <c r="U108" i="50" s="1"/>
  <c r="I109" i="50"/>
  <c r="T109" i="50" s="1"/>
  <c r="U109" i="50" s="1"/>
  <c r="I59" i="50"/>
  <c r="T59" i="50" s="1"/>
  <c r="U59" i="50" s="1"/>
  <c r="I60" i="50"/>
  <c r="T60" i="50" s="1"/>
  <c r="U60" i="50" s="1"/>
  <c r="Q54" i="50"/>
  <c r="I16" i="50"/>
  <c r="T16" i="50" s="1"/>
  <c r="U16" i="50" s="1"/>
  <c r="I17" i="50"/>
  <c r="T17" i="50" s="1"/>
  <c r="U17" i="50" s="1"/>
  <c r="I18" i="50"/>
  <c r="T18" i="50" s="1"/>
  <c r="U18" i="50" s="1"/>
  <c r="I19" i="50"/>
  <c r="T19" i="50" s="1"/>
  <c r="U19" i="50" s="1"/>
  <c r="I20" i="50"/>
  <c r="T20" i="50" s="1"/>
  <c r="U20" i="50" s="1"/>
  <c r="E41" i="20" l="1"/>
  <c r="K27" i="87"/>
  <c r="N69" i="87"/>
  <c r="H40" i="87"/>
  <c r="L34" i="51"/>
  <c r="L65" i="13" l="1"/>
  <c r="O33" i="13"/>
  <c r="O25" i="13"/>
  <c r="O26" i="13"/>
  <c r="O27" i="13"/>
  <c r="O28" i="13"/>
  <c r="O29" i="13"/>
  <c r="O24" i="13"/>
  <c r="Q16" i="12"/>
  <c r="Q40" i="12"/>
  <c r="Q82" i="12"/>
  <c r="Q42" i="12"/>
  <c r="Q47" i="12"/>
  <c r="K48" i="12"/>
  <c r="F48" i="12"/>
  <c r="F82" i="12"/>
  <c r="G82" i="12"/>
  <c r="H82" i="12"/>
  <c r="I82" i="12"/>
  <c r="J82" i="12"/>
  <c r="K82" i="12"/>
  <c r="L82" i="12"/>
  <c r="M82" i="12"/>
  <c r="N82" i="12"/>
  <c r="O82" i="12"/>
  <c r="P82" i="12"/>
  <c r="E82" i="12"/>
  <c r="F68" i="12"/>
  <c r="Q57" i="12"/>
  <c r="F57" i="12"/>
  <c r="F47" i="12"/>
  <c r="T48" i="12" l="1"/>
  <c r="T12" i="12" l="1"/>
  <c r="U12" i="12" s="1"/>
  <c r="V12" i="12" s="1"/>
  <c r="T13" i="12"/>
  <c r="U13" i="12" s="1"/>
  <c r="V13" i="12" s="1"/>
  <c r="T14" i="12"/>
  <c r="U14" i="12" s="1"/>
  <c r="V14" i="12" s="1"/>
  <c r="T15" i="12"/>
  <c r="U15" i="12" s="1"/>
  <c r="V15" i="12" s="1"/>
  <c r="T16" i="12"/>
  <c r="U16" i="12" s="1"/>
  <c r="V16" i="12" s="1"/>
  <c r="T17" i="12"/>
  <c r="U17" i="12" s="1"/>
  <c r="V17" i="12" s="1"/>
  <c r="T18" i="12"/>
  <c r="U18" i="12" s="1"/>
  <c r="V18" i="12" s="1"/>
  <c r="T19" i="12"/>
  <c r="U19" i="12" s="1"/>
  <c r="V19" i="12" s="1"/>
  <c r="T20" i="12"/>
  <c r="U20" i="12" s="1"/>
  <c r="V20" i="12" s="1"/>
  <c r="T21" i="12"/>
  <c r="T22" i="12"/>
  <c r="U22" i="12" s="1"/>
  <c r="V22" i="12" s="1"/>
  <c r="T23" i="12"/>
  <c r="U23" i="12" s="1"/>
  <c r="V23" i="12" s="1"/>
  <c r="T24" i="12"/>
  <c r="U24" i="12" s="1"/>
  <c r="V24" i="12" s="1"/>
  <c r="T25" i="12"/>
  <c r="U25" i="12" s="1"/>
  <c r="V25" i="12" s="1"/>
  <c r="T26" i="12"/>
  <c r="U26" i="12" s="1"/>
  <c r="V26" i="12" s="1"/>
  <c r="T27" i="12"/>
  <c r="U27" i="12" s="1"/>
  <c r="V27" i="12" s="1"/>
  <c r="T28" i="12"/>
  <c r="U28" i="12" s="1"/>
  <c r="V28" i="12" s="1"/>
  <c r="T29" i="12"/>
  <c r="U29" i="12" s="1"/>
  <c r="V29" i="12" s="1"/>
  <c r="T30" i="12"/>
  <c r="U30" i="12" s="1"/>
  <c r="V30" i="12" s="1"/>
  <c r="T31" i="12"/>
  <c r="U31" i="12" s="1"/>
  <c r="V31" i="12" s="1"/>
  <c r="T32" i="12"/>
  <c r="U32" i="12" s="1"/>
  <c r="V32" i="12" s="1"/>
  <c r="T33" i="12"/>
  <c r="U33" i="12" s="1"/>
  <c r="V33" i="12" s="1"/>
  <c r="T34" i="12"/>
  <c r="U34" i="12" s="1"/>
  <c r="V34" i="12" s="1"/>
  <c r="T36" i="12"/>
  <c r="U36" i="12" s="1"/>
  <c r="V36" i="12" s="1"/>
  <c r="T37" i="12"/>
  <c r="U37" i="12" s="1"/>
  <c r="V37" i="12" s="1"/>
  <c r="T38" i="12"/>
  <c r="U38" i="12" s="1"/>
  <c r="V38" i="12" s="1"/>
  <c r="T39" i="12"/>
  <c r="U39" i="12" s="1"/>
  <c r="V39" i="12" s="1"/>
  <c r="T42" i="12"/>
  <c r="U42" i="12" s="1"/>
  <c r="V42" i="12" s="1"/>
  <c r="T43" i="12"/>
  <c r="U43" i="12" s="1"/>
  <c r="V43" i="12" s="1"/>
  <c r="T44" i="12"/>
  <c r="U44" i="12" s="1"/>
  <c r="V44" i="12" s="1"/>
  <c r="T45" i="12"/>
  <c r="U45" i="12" s="1"/>
  <c r="V45" i="12" s="1"/>
  <c r="T46" i="12"/>
  <c r="U46" i="12" s="1"/>
  <c r="V46" i="12" s="1"/>
  <c r="T47" i="12"/>
  <c r="U47" i="12" s="1"/>
  <c r="V47" i="12" s="1"/>
  <c r="U48" i="12"/>
  <c r="V48" i="12" s="1"/>
  <c r="T49" i="12"/>
  <c r="U49" i="12" s="1"/>
  <c r="V49" i="12" s="1"/>
  <c r="T50" i="12"/>
  <c r="U50" i="12" s="1"/>
  <c r="V50" i="12" s="1"/>
  <c r="T51" i="12"/>
  <c r="U51" i="12" s="1"/>
  <c r="V51" i="12" s="1"/>
  <c r="T52" i="12"/>
  <c r="U52" i="12" s="1"/>
  <c r="V52" i="12" s="1"/>
  <c r="T53" i="12"/>
  <c r="U53" i="12" s="1"/>
  <c r="V53" i="12" s="1"/>
  <c r="T54" i="12"/>
  <c r="U54" i="12" s="1"/>
  <c r="V54" i="12" s="1"/>
  <c r="T55" i="12"/>
  <c r="U55" i="12" s="1"/>
  <c r="V55" i="12" s="1"/>
  <c r="T56" i="12"/>
  <c r="U56" i="12" s="1"/>
  <c r="V56" i="12" s="1"/>
  <c r="T57" i="12"/>
  <c r="T58" i="12"/>
  <c r="U58" i="12" s="1"/>
  <c r="V58" i="12" s="1"/>
  <c r="T59" i="12"/>
  <c r="U59" i="12" s="1"/>
  <c r="V59" i="12" s="1"/>
  <c r="T60" i="12"/>
  <c r="U60" i="12" s="1"/>
  <c r="V60" i="12" s="1"/>
  <c r="T61" i="12"/>
  <c r="U61" i="12" s="1"/>
  <c r="V61" i="12" s="1"/>
  <c r="T62" i="12"/>
  <c r="U62" i="12" s="1"/>
  <c r="V62" i="12" s="1"/>
  <c r="T63" i="12"/>
  <c r="U63" i="12" s="1"/>
  <c r="V63" i="12" s="1"/>
  <c r="T64" i="12"/>
  <c r="U64" i="12" s="1"/>
  <c r="V64" i="12" s="1"/>
  <c r="T65" i="12"/>
  <c r="U65" i="12" s="1"/>
  <c r="V65" i="12" s="1"/>
  <c r="T66" i="12"/>
  <c r="U66" i="12" s="1"/>
  <c r="V66" i="12" s="1"/>
  <c r="T68" i="12"/>
  <c r="U68" i="12" s="1"/>
  <c r="V68" i="12" s="1"/>
  <c r="T69" i="12"/>
  <c r="U69" i="12" s="1"/>
  <c r="V69" i="12" s="1"/>
  <c r="T71" i="12"/>
  <c r="U71" i="12" s="1"/>
  <c r="V71" i="12" s="1"/>
  <c r="T72" i="12"/>
  <c r="U72" i="12" s="1"/>
  <c r="V72" i="12" s="1"/>
  <c r="T73" i="12"/>
  <c r="U73" i="12" s="1"/>
  <c r="V73" i="12" s="1"/>
  <c r="T74" i="12"/>
  <c r="U74" i="12" s="1"/>
  <c r="V74" i="12" s="1"/>
  <c r="T75" i="12"/>
  <c r="U75" i="12" s="1"/>
  <c r="V75" i="12" s="1"/>
  <c r="T76" i="12"/>
  <c r="U76" i="12" s="1"/>
  <c r="V76" i="12" s="1"/>
  <c r="T77" i="12"/>
  <c r="U77" i="12" s="1"/>
  <c r="V77" i="12" s="1"/>
  <c r="T78" i="12"/>
  <c r="U78" i="12" s="1"/>
  <c r="V78" i="12" s="1"/>
  <c r="T79" i="12"/>
  <c r="U79" i="12" s="1"/>
  <c r="V79" i="12" s="1"/>
  <c r="T80" i="12"/>
  <c r="U80" i="12" s="1"/>
  <c r="V80" i="12" s="1"/>
  <c r="T81" i="12"/>
  <c r="U81" i="12" s="1"/>
  <c r="V81" i="12" s="1"/>
  <c r="T82" i="12"/>
  <c r="T85" i="12"/>
  <c r="U85" i="12" s="1"/>
  <c r="T86" i="12"/>
  <c r="U86" i="12" s="1"/>
  <c r="T87" i="12"/>
  <c r="F40" i="12"/>
  <c r="F70" i="12" s="1"/>
  <c r="Q35" i="12"/>
  <c r="T41" i="12"/>
  <c r="U41" i="12" s="1"/>
  <c r="V41" i="12" s="1"/>
  <c r="G70" i="12"/>
  <c r="H70" i="12"/>
  <c r="I70" i="12"/>
  <c r="J70" i="12"/>
  <c r="L70" i="12"/>
  <c r="M70" i="12"/>
  <c r="N70" i="12"/>
  <c r="O70" i="12"/>
  <c r="P70" i="12"/>
  <c r="E70" i="12"/>
  <c r="K35" i="12"/>
  <c r="K70" i="12" s="1"/>
  <c r="Q21" i="12"/>
  <c r="U21" i="12" s="1"/>
  <c r="V21" i="12" s="1"/>
  <c r="T11" i="12"/>
  <c r="U11" i="12" s="1"/>
  <c r="V11" i="12" s="1"/>
  <c r="M124" i="72"/>
  <c r="N124" i="72" s="1"/>
  <c r="M129" i="72"/>
  <c r="N129" i="72" s="1"/>
  <c r="M130" i="72"/>
  <c r="N130" i="72" s="1"/>
  <c r="M135" i="72"/>
  <c r="N135" i="72" s="1"/>
  <c r="M136" i="72"/>
  <c r="N136" i="72" s="1"/>
  <c r="M137" i="72"/>
  <c r="N137" i="72" s="1"/>
  <c r="M138" i="72"/>
  <c r="N138" i="72" s="1"/>
  <c r="M140" i="72"/>
  <c r="N140" i="72" s="1"/>
  <c r="M141" i="72"/>
  <c r="N141" i="72" s="1"/>
  <c r="N191" i="72"/>
  <c r="M152" i="72"/>
  <c r="N152" i="72" s="1"/>
  <c r="M154" i="72"/>
  <c r="M155" i="72"/>
  <c r="M156" i="72"/>
  <c r="M157" i="72"/>
  <c r="M158" i="72"/>
  <c r="M159" i="72"/>
  <c r="M160" i="72"/>
  <c r="M161" i="72"/>
  <c r="M162" i="72"/>
  <c r="M163" i="72"/>
  <c r="M164" i="72"/>
  <c r="M165" i="72"/>
  <c r="M166" i="72"/>
  <c r="M167" i="72"/>
  <c r="M168" i="72"/>
  <c r="M169" i="72"/>
  <c r="M170" i="72"/>
  <c r="M171" i="72"/>
  <c r="M172" i="72"/>
  <c r="M173" i="72"/>
  <c r="M174" i="72"/>
  <c r="M175" i="72"/>
  <c r="M177" i="72"/>
  <c r="M178" i="72"/>
  <c r="M179" i="72"/>
  <c r="M180" i="72"/>
  <c r="M181" i="72"/>
  <c r="M182" i="72"/>
  <c r="M183" i="72"/>
  <c r="M184" i="72"/>
  <c r="M185" i="72"/>
  <c r="M186" i="72"/>
  <c r="M187" i="72"/>
  <c r="M100" i="72"/>
  <c r="M116" i="72"/>
  <c r="N116" i="72" s="1"/>
  <c r="M117" i="72"/>
  <c r="N117" i="72" s="1"/>
  <c r="M120" i="72"/>
  <c r="N120" i="72" s="1"/>
  <c r="M121" i="72"/>
  <c r="N121" i="72" s="1"/>
  <c r="J188" i="72"/>
  <c r="I188" i="72"/>
  <c r="I113" i="72"/>
  <c r="M113" i="72" s="1"/>
  <c r="N113" i="72" s="1"/>
  <c r="H153" i="72"/>
  <c r="G153" i="72"/>
  <c r="H97" i="72"/>
  <c r="M21" i="72"/>
  <c r="M22" i="72"/>
  <c r="M20" i="72"/>
  <c r="M15" i="72"/>
  <c r="M16" i="72"/>
  <c r="M17" i="72"/>
  <c r="M18" i="72"/>
  <c r="M19" i="72"/>
  <c r="M23" i="72"/>
  <c r="M24" i="72"/>
  <c r="M25" i="72"/>
  <c r="M26" i="72"/>
  <c r="M27" i="72"/>
  <c r="M28" i="72"/>
  <c r="M29" i="72"/>
  <c r="M30" i="72"/>
  <c r="M31" i="72"/>
  <c r="M32" i="72"/>
  <c r="M33" i="72"/>
  <c r="M34" i="72"/>
  <c r="M35" i="72"/>
  <c r="M36" i="72"/>
  <c r="M37" i="72"/>
  <c r="M38" i="72"/>
  <c r="M39" i="72"/>
  <c r="M41" i="72"/>
  <c r="M42" i="72"/>
  <c r="M43" i="72"/>
  <c r="M44" i="72"/>
  <c r="M45" i="72"/>
  <c r="M46" i="72"/>
  <c r="M47" i="72"/>
  <c r="M48" i="72"/>
  <c r="M49" i="72"/>
  <c r="M50" i="72"/>
  <c r="M51" i="72"/>
  <c r="M53" i="72"/>
  <c r="M54" i="72"/>
  <c r="M55" i="72"/>
  <c r="M56" i="72"/>
  <c r="M57" i="72"/>
  <c r="M58" i="72"/>
  <c r="M59" i="72"/>
  <c r="M60" i="72"/>
  <c r="M61" i="72"/>
  <c r="M62" i="72"/>
  <c r="M63" i="72"/>
  <c r="M64" i="72"/>
  <c r="M65" i="72"/>
  <c r="M66" i="72"/>
  <c r="M67" i="72"/>
  <c r="M68" i="72"/>
  <c r="M69" i="72"/>
  <c r="M70" i="72"/>
  <c r="M71" i="72"/>
  <c r="M72" i="72"/>
  <c r="M73" i="72"/>
  <c r="M74" i="72"/>
  <c r="M75" i="72"/>
  <c r="M76" i="72"/>
  <c r="M77" i="72"/>
  <c r="M78" i="72"/>
  <c r="M80" i="72"/>
  <c r="M81" i="72"/>
  <c r="M82" i="72"/>
  <c r="M83" i="72"/>
  <c r="M84" i="72"/>
  <c r="M85" i="72"/>
  <c r="M86" i="72"/>
  <c r="M87" i="72"/>
  <c r="M88" i="72"/>
  <c r="M89" i="72"/>
  <c r="M90" i="72"/>
  <c r="M92" i="72"/>
  <c r="M93" i="72"/>
  <c r="M94" i="72"/>
  <c r="M95" i="72"/>
  <c r="M96" i="72"/>
  <c r="M98" i="72"/>
  <c r="M99" i="72"/>
  <c r="M101" i="72"/>
  <c r="M102" i="72"/>
  <c r="M103" i="72"/>
  <c r="M104" i="72"/>
  <c r="M105" i="72"/>
  <c r="N105" i="72" s="1"/>
  <c r="M106" i="72"/>
  <c r="N106" i="72" s="1"/>
  <c r="M107" i="72"/>
  <c r="N107" i="72" s="1"/>
  <c r="M108" i="72"/>
  <c r="N108" i="72" s="1"/>
  <c r="M109" i="72"/>
  <c r="N109" i="72" s="1"/>
  <c r="M110" i="72"/>
  <c r="N110" i="72" s="1"/>
  <c r="M111" i="72"/>
  <c r="N111" i="72" s="1"/>
  <c r="M112" i="72"/>
  <c r="N112" i="72" s="1"/>
  <c r="M114" i="72"/>
  <c r="N114" i="72" s="1"/>
  <c r="M115" i="72"/>
  <c r="N115" i="72" s="1"/>
  <c r="M142" i="72"/>
  <c r="N142" i="72" s="1"/>
  <c r="M143" i="72"/>
  <c r="N143" i="72" s="1"/>
  <c r="M144" i="72"/>
  <c r="N144" i="72" s="1"/>
  <c r="M145" i="72"/>
  <c r="N145" i="72" s="1"/>
  <c r="M146" i="72"/>
  <c r="N146" i="72" s="1"/>
  <c r="M147" i="72"/>
  <c r="N147" i="72" s="1"/>
  <c r="M148" i="72"/>
  <c r="N148" i="72" s="1"/>
  <c r="M14" i="72"/>
  <c r="M134" i="72"/>
  <c r="N134" i="72" s="1"/>
  <c r="M132" i="72"/>
  <c r="N132" i="72" s="1"/>
  <c r="M128" i="72"/>
  <c r="N128" i="72" s="1"/>
  <c r="M126" i="72"/>
  <c r="N126" i="72" s="1"/>
  <c r="M123" i="72"/>
  <c r="N123" i="72" s="1"/>
  <c r="M151" i="72"/>
  <c r="N151" i="72" s="1"/>
  <c r="T93" i="12" l="1"/>
  <c r="U57" i="12"/>
  <c r="V57" i="12" s="1"/>
  <c r="T40" i="12"/>
  <c r="U40" i="12" s="1"/>
  <c r="V40" i="12" s="1"/>
  <c r="T70" i="12"/>
  <c r="T35" i="12"/>
  <c r="U35" i="12" s="1"/>
  <c r="V35" i="12" s="1"/>
  <c r="Q70" i="12"/>
  <c r="M153" i="72"/>
  <c r="M97" i="72"/>
  <c r="J241" i="71"/>
  <c r="I241" i="71"/>
  <c r="J305" i="71"/>
  <c r="I305" i="71"/>
  <c r="U70" i="12" l="1"/>
  <c r="V70" i="12" s="1"/>
  <c r="I198" i="71"/>
  <c r="I12" i="71" s="1"/>
  <c r="E20" i="23" l="1"/>
  <c r="S17" i="45" l="1"/>
  <c r="W17" i="45" s="1"/>
  <c r="X17" i="45" s="1"/>
  <c r="O19" i="45"/>
  <c r="O22" i="45"/>
  <c r="I11" i="62"/>
  <c r="M158" i="22"/>
  <c r="K35" i="22"/>
  <c r="F92" i="22"/>
  <c r="E92" i="22"/>
  <c r="D92" i="22"/>
  <c r="I49" i="52"/>
  <c r="I58" i="52" s="1"/>
  <c r="I59" i="52" s="1"/>
  <c r="D58" i="21"/>
  <c r="F52" i="21"/>
  <c r="H65" i="20"/>
  <c r="H30" i="20"/>
  <c r="D40" i="87"/>
  <c r="D51" i="87" s="1"/>
  <c r="G13" i="55"/>
  <c r="G14" i="55"/>
  <c r="G15" i="55"/>
  <c r="G16" i="55"/>
  <c r="G17" i="55"/>
  <c r="G19" i="55"/>
  <c r="G21" i="55"/>
  <c r="G22" i="55"/>
  <c r="G23" i="55"/>
  <c r="F25" i="55"/>
  <c r="G26" i="55"/>
  <c r="L58" i="13"/>
  <c r="N177" i="72"/>
  <c r="F40" i="72"/>
  <c r="J331" i="71"/>
  <c r="K87" i="56"/>
  <c r="I51" i="56"/>
  <c r="AN51" i="56" s="1"/>
  <c r="AO51" i="56" s="1"/>
  <c r="I50" i="56"/>
  <c r="AN50" i="56" s="1"/>
  <c r="AO50" i="56" s="1"/>
  <c r="K108" i="56"/>
  <c r="I80" i="56"/>
  <c r="AN80" i="56" s="1"/>
  <c r="AO80" i="56" s="1"/>
  <c r="I49" i="56"/>
  <c r="AN49" i="56" s="1"/>
  <c r="AO49" i="56" s="1"/>
  <c r="W472" i="55"/>
  <c r="W473" i="55"/>
  <c r="I108" i="56" l="1"/>
  <c r="AN108" i="56" s="1"/>
  <c r="AO108" i="56" s="1"/>
  <c r="E287" i="56"/>
  <c r="I87" i="56"/>
  <c r="AN87" i="56" s="1"/>
  <c r="AO87" i="56" s="1"/>
  <c r="E288" i="56"/>
  <c r="K90" i="56"/>
  <c r="K100" i="56" s="1"/>
  <c r="K120" i="56" s="1"/>
  <c r="K129" i="56" s="1"/>
  <c r="K149" i="56" s="1"/>
  <c r="K158" i="56" s="1"/>
  <c r="K178" i="56" s="1"/>
  <c r="I76" i="56"/>
  <c r="I103" i="56"/>
  <c r="AN103" i="56" s="1"/>
  <c r="AO103" i="56" s="1"/>
  <c r="N12" i="23"/>
  <c r="AE22" i="45"/>
  <c r="N17" i="23"/>
  <c r="AE19" i="45"/>
  <c r="F124" i="22"/>
  <c r="F135" i="22" s="1"/>
  <c r="F159" i="22" s="1"/>
  <c r="D124" i="22"/>
  <c r="D135" i="22" s="1"/>
  <c r="D159" i="22" s="1"/>
  <c r="E124" i="22"/>
  <c r="E135" i="22" s="1"/>
  <c r="E159" i="22" s="1"/>
  <c r="J11" i="62"/>
  <c r="C7" i="100"/>
  <c r="BF199" i="73"/>
  <c r="BF198" i="73"/>
  <c r="BF197" i="73"/>
  <c r="BF196" i="73"/>
  <c r="BF195" i="73"/>
  <c r="BD195" i="73"/>
  <c r="BE195" i="73" s="1"/>
  <c r="Q22" i="32"/>
  <c r="J192" i="73"/>
  <c r="U192" i="73" s="1"/>
  <c r="AG192" i="73" s="1"/>
  <c r="E192" i="73"/>
  <c r="H192" i="73" s="1"/>
  <c r="AH192" i="73" s="1"/>
  <c r="AN192" i="73" s="1"/>
  <c r="I191" i="73"/>
  <c r="U191" i="73" s="1"/>
  <c r="AG191" i="73" s="1"/>
  <c r="H191" i="73"/>
  <c r="K186" i="73"/>
  <c r="J186" i="73"/>
  <c r="H186" i="73"/>
  <c r="AH186" i="73" s="1"/>
  <c r="AN186" i="73" s="1"/>
  <c r="BF185" i="73"/>
  <c r="H185" i="73"/>
  <c r="AH185" i="73" s="1"/>
  <c r="AN185" i="73" s="1"/>
  <c r="J184" i="73"/>
  <c r="U184" i="73" s="1"/>
  <c r="AG184" i="73" s="1"/>
  <c r="H184" i="73"/>
  <c r="AH184" i="73" s="1"/>
  <c r="BF183" i="73"/>
  <c r="H183" i="73"/>
  <c r="AI182" i="73"/>
  <c r="BF182" i="73" s="1"/>
  <c r="H182" i="73"/>
  <c r="BF181" i="73"/>
  <c r="H181" i="73"/>
  <c r="BF180" i="73"/>
  <c r="H180" i="73"/>
  <c r="H179" i="73"/>
  <c r="AH179" i="73" s="1"/>
  <c r="AN179" i="73" s="1"/>
  <c r="AI178" i="73"/>
  <c r="H178" i="73"/>
  <c r="AI177" i="73"/>
  <c r="J177" i="73"/>
  <c r="H177" i="73"/>
  <c r="H176" i="73"/>
  <c r="AH176" i="73" s="1"/>
  <c r="AN176" i="73" s="1"/>
  <c r="BF175" i="73"/>
  <c r="H175" i="73"/>
  <c r="AH175" i="73" s="1"/>
  <c r="AN175" i="73" s="1"/>
  <c r="AI174" i="73"/>
  <c r="H174" i="73"/>
  <c r="BF173" i="73"/>
  <c r="H173" i="73"/>
  <c r="AH173" i="73" s="1"/>
  <c r="AN173" i="73" s="1"/>
  <c r="H172" i="73"/>
  <c r="AH172" i="73" s="1"/>
  <c r="AN172" i="73" s="1"/>
  <c r="BF171" i="73"/>
  <c r="K171" i="73"/>
  <c r="H171" i="73"/>
  <c r="AH171" i="73" s="1"/>
  <c r="AN171" i="73" s="1"/>
  <c r="E170" i="73"/>
  <c r="H170" i="73" s="1"/>
  <c r="AH170" i="73" s="1"/>
  <c r="AN170" i="73" s="1"/>
  <c r="BF169" i="73"/>
  <c r="H169" i="73"/>
  <c r="BF168" i="73"/>
  <c r="K168" i="73"/>
  <c r="E168" i="73"/>
  <c r="H168" i="73" s="1"/>
  <c r="AH168" i="73" s="1"/>
  <c r="AN168" i="73" s="1"/>
  <c r="BF167" i="73"/>
  <c r="H167" i="73"/>
  <c r="K166" i="73"/>
  <c r="J166" i="73"/>
  <c r="E166" i="73"/>
  <c r="BF165" i="73"/>
  <c r="BD165" i="73"/>
  <c r="BE165" i="73" s="1"/>
  <c r="BA165" i="73"/>
  <c r="BB165" i="73" s="1"/>
  <c r="AL164" i="73"/>
  <c r="AK164" i="73"/>
  <c r="AJ164" i="73"/>
  <c r="AI164" i="73"/>
  <c r="BF164" i="73" s="1"/>
  <c r="AD164" i="73"/>
  <c r="AD194" i="73" s="1"/>
  <c r="AB164" i="73"/>
  <c r="AA164" i="73"/>
  <c r="Z164" i="73"/>
  <c r="Y164" i="73"/>
  <c r="X164" i="73"/>
  <c r="W164" i="73"/>
  <c r="V164" i="73"/>
  <c r="T164" i="73"/>
  <c r="S164" i="73"/>
  <c r="R164" i="73"/>
  <c r="Q164" i="73"/>
  <c r="P164" i="73"/>
  <c r="O164" i="73"/>
  <c r="M164" i="73"/>
  <c r="I17" i="32" s="1"/>
  <c r="L164" i="73"/>
  <c r="J17" i="32" s="1"/>
  <c r="K164" i="73"/>
  <c r="J164" i="73"/>
  <c r="I164" i="73"/>
  <c r="G164" i="73"/>
  <c r="BF163" i="73"/>
  <c r="AH163" i="73"/>
  <c r="AF163" i="73"/>
  <c r="AC163" i="73"/>
  <c r="AE163" i="73" s="1"/>
  <c r="N163" i="73"/>
  <c r="U163" i="73" s="1"/>
  <c r="BF162" i="73"/>
  <c r="AF162" i="73"/>
  <c r="N162" i="73"/>
  <c r="U162" i="73" s="1"/>
  <c r="H162" i="73"/>
  <c r="BF161" i="73"/>
  <c r="AF161" i="73"/>
  <c r="N161" i="73"/>
  <c r="U161" i="73" s="1"/>
  <c r="H161" i="73"/>
  <c r="AH161" i="73" s="1"/>
  <c r="AN161" i="73" s="1"/>
  <c r="BF160" i="73"/>
  <c r="AF160" i="73"/>
  <c r="N160" i="73"/>
  <c r="U160" i="73" s="1"/>
  <c r="H160" i="73"/>
  <c r="BF159" i="73"/>
  <c r="AF159" i="73"/>
  <c r="N159" i="73"/>
  <c r="U159" i="73" s="1"/>
  <c r="H159" i="73"/>
  <c r="AH159" i="73" s="1"/>
  <c r="AN159" i="73" s="1"/>
  <c r="BF158" i="73"/>
  <c r="AF158" i="73"/>
  <c r="N158" i="73"/>
  <c r="U158" i="73" s="1"/>
  <c r="H158" i="73"/>
  <c r="BF157" i="73"/>
  <c r="AF157" i="73"/>
  <c r="N157" i="73"/>
  <c r="U157" i="73" s="1"/>
  <c r="E157" i="73"/>
  <c r="BF156" i="73"/>
  <c r="AF156" i="73"/>
  <c r="N156" i="73"/>
  <c r="U156" i="73" s="1"/>
  <c r="H156" i="73"/>
  <c r="AH156" i="73" s="1"/>
  <c r="AN156" i="73" s="1"/>
  <c r="BF155" i="73"/>
  <c r="AH155" i="73"/>
  <c r="AN155" i="73" s="1"/>
  <c r="AF155" i="73"/>
  <c r="N155" i="73"/>
  <c r="U155" i="73" s="1"/>
  <c r="H155" i="73"/>
  <c r="BF154" i="73"/>
  <c r="BD154" i="73"/>
  <c r="BE154" i="73" s="1"/>
  <c r="BA154" i="73"/>
  <c r="BB154" i="73" s="1"/>
  <c r="BF152" i="73"/>
  <c r="BA152" i="73"/>
  <c r="BB152" i="73" s="1"/>
  <c r="BF151" i="73"/>
  <c r="BA151" i="73"/>
  <c r="BB151" i="73" s="1"/>
  <c r="BF150" i="73"/>
  <c r="BD150" i="73"/>
  <c r="BE150" i="73" s="1"/>
  <c r="BA150" i="73"/>
  <c r="BB150" i="73" s="1"/>
  <c r="BF149" i="73"/>
  <c r="BD149" i="73"/>
  <c r="BE149" i="73" s="1"/>
  <c r="BA149" i="73"/>
  <c r="BB149" i="73" s="1"/>
  <c r="BF148" i="73"/>
  <c r="BD148" i="73"/>
  <c r="BE148" i="73" s="1"/>
  <c r="BA148" i="73"/>
  <c r="BB148" i="73" s="1"/>
  <c r="BF147" i="73"/>
  <c r="BD147" i="73"/>
  <c r="BE147" i="73" s="1"/>
  <c r="BA147" i="73"/>
  <c r="BB147" i="73" s="1"/>
  <c r="BF146" i="73"/>
  <c r="BD146" i="73"/>
  <c r="BE146" i="73" s="1"/>
  <c r="BA146" i="73"/>
  <c r="BB146" i="73" s="1"/>
  <c r="BF145" i="73"/>
  <c r="BD145" i="73"/>
  <c r="BE145" i="73" s="1"/>
  <c r="BA145" i="73"/>
  <c r="BB145" i="73" s="1"/>
  <c r="BF144" i="73"/>
  <c r="BD144" i="73"/>
  <c r="BE144" i="73" s="1"/>
  <c r="BA144" i="73"/>
  <c r="BB144" i="73" s="1"/>
  <c r="BF141" i="73"/>
  <c r="H141" i="73"/>
  <c r="AH141" i="73" s="1"/>
  <c r="E107" i="73"/>
  <c r="BF105" i="73"/>
  <c r="BF104" i="73"/>
  <c r="BF103" i="73"/>
  <c r="BF102" i="73"/>
  <c r="BF101" i="73"/>
  <c r="BF100" i="73"/>
  <c r="BF99" i="73"/>
  <c r="S99" i="73"/>
  <c r="L99" i="73"/>
  <c r="J99" i="73"/>
  <c r="BF98" i="73"/>
  <c r="K98" i="73"/>
  <c r="J98" i="73"/>
  <c r="BF97" i="73"/>
  <c r="S97" i="73"/>
  <c r="L97" i="73"/>
  <c r="L96" i="73"/>
  <c r="S95" i="73"/>
  <c r="L95" i="73"/>
  <c r="K95" i="73"/>
  <c r="J95" i="73"/>
  <c r="E95" i="73"/>
  <c r="BF94" i="73"/>
  <c r="AN94" i="73"/>
  <c r="BF93" i="73"/>
  <c r="K93" i="73"/>
  <c r="J93" i="73"/>
  <c r="S92" i="73"/>
  <c r="L92" i="73"/>
  <c r="K92" i="73"/>
  <c r="BF91" i="73"/>
  <c r="K91" i="73"/>
  <c r="L90" i="73"/>
  <c r="K90" i="73"/>
  <c r="J90" i="73"/>
  <c r="BF89" i="73"/>
  <c r="S89" i="73"/>
  <c r="L89" i="73"/>
  <c r="K89" i="73"/>
  <c r="J89" i="73"/>
  <c r="S88" i="73"/>
  <c r="L88" i="73"/>
  <c r="J88" i="73"/>
  <c r="S87" i="73"/>
  <c r="K87" i="73"/>
  <c r="J87" i="73"/>
  <c r="S86" i="73"/>
  <c r="L86" i="73"/>
  <c r="K86" i="73"/>
  <c r="J86" i="73"/>
  <c r="BF85" i="73"/>
  <c r="S85" i="73"/>
  <c r="R85" i="73"/>
  <c r="N85" i="73" s="1"/>
  <c r="L85" i="73"/>
  <c r="K85" i="73"/>
  <c r="J85" i="73"/>
  <c r="BF84" i="73"/>
  <c r="L84" i="73"/>
  <c r="K84" i="73"/>
  <c r="J84" i="73"/>
  <c r="BF83" i="73"/>
  <c r="K83" i="73"/>
  <c r="J83" i="73"/>
  <c r="F83" i="73"/>
  <c r="BF81" i="73"/>
  <c r="BA81" i="73"/>
  <c r="BB81" i="73" s="1"/>
  <c r="BF80" i="73"/>
  <c r="BA80" i="73"/>
  <c r="BB80" i="73" s="1"/>
  <c r="BF79" i="73"/>
  <c r="BA79" i="73"/>
  <c r="BB79" i="73" s="1"/>
  <c r="BF78" i="73"/>
  <c r="BA78" i="73"/>
  <c r="BB78" i="73" s="1"/>
  <c r="BF77" i="73"/>
  <c r="BA77" i="73"/>
  <c r="BB77" i="73" s="1"/>
  <c r="BF76" i="73"/>
  <c r="BA76" i="73"/>
  <c r="BB76" i="73" s="1"/>
  <c r="BF75" i="73"/>
  <c r="BA75" i="73"/>
  <c r="BB75" i="73" s="1"/>
  <c r="BF74" i="73"/>
  <c r="BD74" i="73"/>
  <c r="BE74" i="73" s="1"/>
  <c r="BA74" i="73"/>
  <c r="BB74" i="73" s="1"/>
  <c r="BF73" i="73"/>
  <c r="BD73" i="73"/>
  <c r="BE73" i="73" s="1"/>
  <c r="BA73" i="73"/>
  <c r="BB73" i="73" s="1"/>
  <c r="BF70" i="73"/>
  <c r="H70" i="73"/>
  <c r="AH70" i="73" s="1"/>
  <c r="AN70" i="73" s="1"/>
  <c r="L69" i="73"/>
  <c r="K69" i="73"/>
  <c r="J69" i="73"/>
  <c r="BF68" i="73"/>
  <c r="H68" i="73"/>
  <c r="AH68" i="73" s="1"/>
  <c r="AN68" i="73" s="1"/>
  <c r="J67" i="73"/>
  <c r="E67" i="73"/>
  <c r="H67" i="73" s="1"/>
  <c r="AH67" i="73" s="1"/>
  <c r="AN67" i="73" s="1"/>
  <c r="BF66" i="73"/>
  <c r="H66" i="73"/>
  <c r="BF65" i="73"/>
  <c r="H65" i="73"/>
  <c r="S64" i="73"/>
  <c r="L64" i="73"/>
  <c r="J64" i="73"/>
  <c r="BF63" i="73"/>
  <c r="H63" i="73"/>
  <c r="AH63" i="73" s="1"/>
  <c r="AN63" i="73" s="1"/>
  <c r="BF62" i="73"/>
  <c r="L62" i="73"/>
  <c r="K62" i="73"/>
  <c r="J62" i="73"/>
  <c r="L61" i="73"/>
  <c r="K61" i="73"/>
  <c r="K71" i="73" s="1"/>
  <c r="J61" i="73"/>
  <c r="AA60" i="73"/>
  <c r="S60" i="73"/>
  <c r="R60" i="73"/>
  <c r="N60" i="73" s="1"/>
  <c r="J60" i="73"/>
  <c r="BF59" i="73"/>
  <c r="H59" i="73"/>
  <c r="AH59" i="73" s="1"/>
  <c r="AN59" i="73" s="1"/>
  <c r="BF58" i="73"/>
  <c r="H58" i="73"/>
  <c r="BF57" i="73"/>
  <c r="H57" i="73"/>
  <c r="AH57" i="73" s="1"/>
  <c r="BF56" i="73"/>
  <c r="H56" i="73"/>
  <c r="BF55" i="73"/>
  <c r="H55" i="73"/>
  <c r="BF54" i="73"/>
  <c r="H54" i="73"/>
  <c r="AH54" i="73" s="1"/>
  <c r="BF53" i="73"/>
  <c r="H53" i="73"/>
  <c r="AH53" i="73" s="1"/>
  <c r="AN53" i="73" s="1"/>
  <c r="BF41" i="73"/>
  <c r="AF41" i="73"/>
  <c r="N41" i="73"/>
  <c r="U41" i="73" s="1"/>
  <c r="H41" i="73"/>
  <c r="AH41" i="73" s="1"/>
  <c r="BF40" i="73"/>
  <c r="AF40" i="73"/>
  <c r="N40" i="73"/>
  <c r="H40" i="73"/>
  <c r="BF39" i="73"/>
  <c r="BA39" i="73"/>
  <c r="BB39" i="73" s="1"/>
  <c r="BF38" i="73"/>
  <c r="BA38" i="73"/>
  <c r="BB38" i="73" s="1"/>
  <c r="BF37" i="73"/>
  <c r="BD37" i="73"/>
  <c r="BE37" i="73" s="1"/>
  <c r="BA37" i="73"/>
  <c r="BB37" i="73" s="1"/>
  <c r="BF36" i="73"/>
  <c r="BD36" i="73"/>
  <c r="BE36" i="73" s="1"/>
  <c r="BA36" i="73"/>
  <c r="BB36" i="73" s="1"/>
  <c r="BF35" i="73"/>
  <c r="BD35" i="73"/>
  <c r="BE35" i="73" s="1"/>
  <c r="BA35" i="73"/>
  <c r="BB35" i="73" s="1"/>
  <c r="BF34" i="73"/>
  <c r="BD34" i="73"/>
  <c r="BE34" i="73" s="1"/>
  <c r="BA34" i="73"/>
  <c r="BB34" i="73" s="1"/>
  <c r="BF33" i="73"/>
  <c r="BD33" i="73"/>
  <c r="BE33" i="73" s="1"/>
  <c r="BA33" i="73"/>
  <c r="BB33" i="73" s="1"/>
  <c r="BF32" i="73"/>
  <c r="BD32" i="73"/>
  <c r="BE32" i="73" s="1"/>
  <c r="BA32" i="73"/>
  <c r="BB32" i="73" s="1"/>
  <c r="BF31" i="73"/>
  <c r="BD31" i="73"/>
  <c r="BE31" i="73" s="1"/>
  <c r="BB31" i="73"/>
  <c r="AM82" i="73"/>
  <c r="AL82" i="73"/>
  <c r="AK82" i="73"/>
  <c r="AK111" i="73" s="1"/>
  <c r="AK121" i="73" s="1"/>
  <c r="AK142" i="73" s="1"/>
  <c r="AJ82" i="73"/>
  <c r="AJ111" i="73" s="1"/>
  <c r="AJ121" i="73" s="1"/>
  <c r="AJ142" i="73" s="1"/>
  <c r="AI82" i="73"/>
  <c r="AI111" i="73" s="1"/>
  <c r="AI121" i="73" s="1"/>
  <c r="AI142" i="73" s="1"/>
  <c r="AB82" i="73"/>
  <c r="Z82" i="73"/>
  <c r="Z111" i="73" s="1"/>
  <c r="Z121" i="73" s="1"/>
  <c r="Z142" i="73" s="1"/>
  <c r="Y82" i="73"/>
  <c r="Y111" i="73" s="1"/>
  <c r="Y121" i="73" s="1"/>
  <c r="Y142" i="73" s="1"/>
  <c r="X82" i="73"/>
  <c r="W82" i="73"/>
  <c r="V82" i="73"/>
  <c r="T82" i="73"/>
  <c r="Q82" i="73"/>
  <c r="P82" i="73"/>
  <c r="O82" i="73"/>
  <c r="M82" i="73"/>
  <c r="G82" i="73"/>
  <c r="F82" i="73"/>
  <c r="F111" i="73" s="1"/>
  <c r="F121" i="73" s="1"/>
  <c r="F142" i="73" s="1"/>
  <c r="H52" i="73"/>
  <c r="AH52" i="73" s="1"/>
  <c r="AN52" i="73" s="1"/>
  <c r="H51" i="73"/>
  <c r="AH51" i="73" s="1"/>
  <c r="AN51" i="73" s="1"/>
  <c r="H50" i="73"/>
  <c r="AH50" i="73" s="1"/>
  <c r="AN50" i="73" s="1"/>
  <c r="H49" i="73"/>
  <c r="H48" i="73"/>
  <c r="H47" i="73"/>
  <c r="AH47" i="73" s="1"/>
  <c r="AN47" i="73" s="1"/>
  <c r="H46" i="73"/>
  <c r="H45" i="73"/>
  <c r="AH45" i="73" s="1"/>
  <c r="AN45" i="73" s="1"/>
  <c r="BF30" i="73"/>
  <c r="H44" i="73"/>
  <c r="H43" i="73"/>
  <c r="AH43" i="73" s="1"/>
  <c r="AN43" i="73" s="1"/>
  <c r="BF29" i="73"/>
  <c r="AF42" i="73"/>
  <c r="H42" i="73"/>
  <c r="L25" i="73"/>
  <c r="U25" i="73" s="1"/>
  <c r="AG25" i="73" s="1"/>
  <c r="E25" i="73"/>
  <c r="H25" i="73" s="1"/>
  <c r="AH25" i="73" s="1"/>
  <c r="AN25" i="73" s="1"/>
  <c r="BF24" i="73"/>
  <c r="L24" i="73"/>
  <c r="K24" i="73"/>
  <c r="J24" i="73"/>
  <c r="R23" i="73"/>
  <c r="N23" i="73" s="1"/>
  <c r="J23" i="73"/>
  <c r="AI22" i="73"/>
  <c r="Y22" i="73" a="1"/>
  <c r="Y22" i="73" s="1"/>
  <c r="AF22" i="73" s="1"/>
  <c r="L22" i="73"/>
  <c r="K22" i="73"/>
  <c r="J22" i="73"/>
  <c r="E22" i="73"/>
  <c r="BF21" i="73"/>
  <c r="K21" i="73"/>
  <c r="J21" i="73"/>
  <c r="BF20" i="73"/>
  <c r="Y20" i="73" a="1"/>
  <c r="Y20" i="73" s="1"/>
  <c r="AF20" i="73" s="1"/>
  <c r="J20" i="73"/>
  <c r="E20" i="73"/>
  <c r="H20" i="73" s="1"/>
  <c r="AH20" i="73" s="1"/>
  <c r="AN20" i="73" s="1"/>
  <c r="BF19" i="73"/>
  <c r="Y19" i="73" a="1"/>
  <c r="Y19" i="73" s="1"/>
  <c r="AF19" i="73" s="1"/>
  <c r="J19" i="73"/>
  <c r="E19" i="73"/>
  <c r="H19" i="73" s="1"/>
  <c r="BF18" i="73"/>
  <c r="Y18" i="73" a="1"/>
  <c r="Y18" i="73" s="1"/>
  <c r="AF18" i="73" s="1"/>
  <c r="K18" i="73"/>
  <c r="J18" i="73"/>
  <c r="E18" i="73"/>
  <c r="H18" i="73" s="1"/>
  <c r="AH18" i="73" s="1"/>
  <c r="AN18" i="73" s="1"/>
  <c r="BF17" i="73"/>
  <c r="Y17" i="73" a="1"/>
  <c r="Y17" i="73" s="1"/>
  <c r="S17" i="73"/>
  <c r="L17" i="73"/>
  <c r="K17" i="73"/>
  <c r="J17" i="73"/>
  <c r="E17" i="73"/>
  <c r="AI16" i="73"/>
  <c r="Y16" i="73" a="1"/>
  <c r="Y16" i="73" s="1"/>
  <c r="AF16" i="73" s="1"/>
  <c r="E16" i="73"/>
  <c r="H16" i="73" s="1"/>
  <c r="Y15" i="73" a="1"/>
  <c r="Y15" i="73" s="1"/>
  <c r="AF15" i="73" s="1"/>
  <c r="E15" i="73"/>
  <c r="H15" i="73" s="1"/>
  <c r="BF14" i="73"/>
  <c r="Y14" i="73" a="1"/>
  <c r="Y14" i="73" s="1"/>
  <c r="AF14" i="73" s="1"/>
  <c r="K14" i="73"/>
  <c r="J14" i="73"/>
  <c r="E14" i="73"/>
  <c r="BF13" i="73"/>
  <c r="Y13" i="73" a="1"/>
  <c r="Y13" i="73" s="1"/>
  <c r="AF13" i="73" s="1"/>
  <c r="L13" i="73"/>
  <c r="K13" i="73"/>
  <c r="E13" i="73"/>
  <c r="H13" i="73" s="1"/>
  <c r="AH13" i="73" s="1"/>
  <c r="AN13" i="73" s="1"/>
  <c r="BF12" i="73"/>
  <c r="Y12" i="73" a="1"/>
  <c r="L12" i="73"/>
  <c r="K12" i="73"/>
  <c r="J12" i="73"/>
  <c r="E12" i="73"/>
  <c r="S11" i="73"/>
  <c r="L11" i="73"/>
  <c r="J11" i="73"/>
  <c r="E11" i="73"/>
  <c r="P36" i="48"/>
  <c r="O36" i="48"/>
  <c r="K35" i="48"/>
  <c r="F35" i="48"/>
  <c r="E35" i="48"/>
  <c r="D32" i="48"/>
  <c r="C32" i="48"/>
  <c r="K31" i="48"/>
  <c r="D31" i="48"/>
  <c r="C31" i="48"/>
  <c r="C29" i="48"/>
  <c r="D28" i="48"/>
  <c r="C28" i="48"/>
  <c r="D27" i="48"/>
  <c r="C27" i="48"/>
  <c r="C35" i="48" s="1"/>
  <c r="F26" i="48"/>
  <c r="E26" i="48"/>
  <c r="H25" i="48"/>
  <c r="D25" i="48" s="1"/>
  <c r="C25" i="48"/>
  <c r="H24" i="48"/>
  <c r="D24" i="48" s="1"/>
  <c r="C24" i="48"/>
  <c r="H23" i="48"/>
  <c r="D23" i="48" s="1"/>
  <c r="C23" i="48"/>
  <c r="H22" i="48"/>
  <c r="D22" i="48" s="1"/>
  <c r="C22" i="48"/>
  <c r="H21" i="48"/>
  <c r="D21" i="48" s="1"/>
  <c r="C21" i="48"/>
  <c r="G20" i="48"/>
  <c r="C20" i="48" s="1"/>
  <c r="C26" i="48" s="1"/>
  <c r="D20" i="48"/>
  <c r="C18" i="48"/>
  <c r="C17" i="48"/>
  <c r="C16" i="48"/>
  <c r="D15" i="48"/>
  <c r="D14" i="48"/>
  <c r="D13" i="48"/>
  <c r="D12" i="48"/>
  <c r="D11" i="48"/>
  <c r="E10" i="48"/>
  <c r="D10" i="48"/>
  <c r="D9" i="48"/>
  <c r="B31" i="32"/>
  <c r="V23" i="32"/>
  <c r="I23" i="32"/>
  <c r="W21" i="32"/>
  <c r="AA21" i="32" s="1"/>
  <c r="AE21" i="32" s="1"/>
  <c r="N21" i="32"/>
  <c r="E21" i="32"/>
  <c r="X20" i="32"/>
  <c r="W20" i="32"/>
  <c r="N20" i="32"/>
  <c r="AA20" i="32" s="1"/>
  <c r="AE20" i="32" s="1"/>
  <c r="E20" i="32"/>
  <c r="X18" i="32"/>
  <c r="W18" i="32"/>
  <c r="N18" i="32"/>
  <c r="Z18" i="32" s="1"/>
  <c r="E18" i="32"/>
  <c r="Y18" i="32" s="1"/>
  <c r="AB17" i="32"/>
  <c r="X17" i="32"/>
  <c r="G17" i="32"/>
  <c r="E17" i="32"/>
  <c r="E16" i="32"/>
  <c r="AE15" i="32"/>
  <c r="V15" i="32"/>
  <c r="U15" i="32"/>
  <c r="R15" i="32"/>
  <c r="P15" i="32"/>
  <c r="O15" i="32"/>
  <c r="M15" i="32"/>
  <c r="L15" i="32"/>
  <c r="K15" i="32"/>
  <c r="J15" i="32"/>
  <c r="G15" i="32"/>
  <c r="F15" i="32"/>
  <c r="D15" i="32"/>
  <c r="C15" i="32"/>
  <c r="AF14" i="32"/>
  <c r="AA14" i="32"/>
  <c r="Y14" i="32"/>
  <c r="X14" i="32"/>
  <c r="T14" i="32"/>
  <c r="W14" i="32" s="1"/>
  <c r="N14" i="32"/>
  <c r="E14" i="32"/>
  <c r="AF13" i="32"/>
  <c r="AA13" i="32"/>
  <c r="W13" i="32"/>
  <c r="T13" i="32"/>
  <c r="N13" i="32"/>
  <c r="E13" i="32"/>
  <c r="AF12" i="32"/>
  <c r="AA12" i="32"/>
  <c r="Y12" i="32"/>
  <c r="X12" i="32"/>
  <c r="T12" i="32"/>
  <c r="W12" i="32" s="1"/>
  <c r="N12" i="32"/>
  <c r="E12" i="32"/>
  <c r="X11" i="32"/>
  <c r="X15" i="32" s="1"/>
  <c r="W11" i="32"/>
  <c r="N11" i="32"/>
  <c r="W6" i="32"/>
  <c r="I153" i="28"/>
  <c r="I140" i="28"/>
  <c r="I104" i="28"/>
  <c r="I60" i="28"/>
  <c r="G58" i="28"/>
  <c r="G57" i="28"/>
  <c r="G56" i="28"/>
  <c r="G55" i="28"/>
  <c r="G54" i="28"/>
  <c r="G53" i="28"/>
  <c r="G52" i="28"/>
  <c r="G51" i="28"/>
  <c r="G50" i="28"/>
  <c r="G49" i="28"/>
  <c r="G48" i="28"/>
  <c r="G47" i="28"/>
  <c r="G46" i="28"/>
  <c r="G45" i="28"/>
  <c r="G44" i="28"/>
  <c r="G43" i="28"/>
  <c r="G42" i="28"/>
  <c r="G41" i="28"/>
  <c r="G40" i="28"/>
  <c r="H39" i="28"/>
  <c r="G39" i="28"/>
  <c r="G38" i="28"/>
  <c r="H37" i="28"/>
  <c r="G37" i="28"/>
  <c r="G36" i="28"/>
  <c r="G35" i="28"/>
  <c r="G34" i="28"/>
  <c r="G33" i="28"/>
  <c r="G32" i="28"/>
  <c r="G31" i="28"/>
  <c r="G30" i="28"/>
  <c r="G29" i="28"/>
  <c r="D29" i="28"/>
  <c r="D60" i="28" s="1"/>
  <c r="G28" i="28"/>
  <c r="G27" i="28"/>
  <c r="G26" i="28"/>
  <c r="G25" i="28"/>
  <c r="G24" i="28"/>
  <c r="G23" i="28"/>
  <c r="G22" i="28"/>
  <c r="G21" i="28"/>
  <c r="G20" i="28"/>
  <c r="G19" i="28"/>
  <c r="G60" i="28" s="1"/>
  <c r="J39" i="27"/>
  <c r="I39" i="27"/>
  <c r="G39" i="27"/>
  <c r="E39" i="27"/>
  <c r="I38" i="27"/>
  <c r="I36" i="27"/>
  <c r="I35" i="27"/>
  <c r="I34" i="27"/>
  <c r="I33" i="27"/>
  <c r="I32" i="27"/>
  <c r="I31" i="27"/>
  <c r="I30" i="27"/>
  <c r="I22" i="27"/>
  <c r="H22" i="27"/>
  <c r="AG560" i="23"/>
  <c r="O557" i="23"/>
  <c r="I514" i="23"/>
  <c r="I522" i="23"/>
  <c r="N543" i="23"/>
  <c r="AB543" i="23" s="1"/>
  <c r="N542" i="23"/>
  <c r="AB542" i="23" s="1"/>
  <c r="Z529" i="23"/>
  <c r="Y529" i="23"/>
  <c r="X529" i="23"/>
  <c r="W529" i="23"/>
  <c r="V529" i="23"/>
  <c r="U529" i="23"/>
  <c r="T529" i="23"/>
  <c r="S529" i="23"/>
  <c r="R529" i="23"/>
  <c r="Q529" i="23"/>
  <c r="P529" i="23"/>
  <c r="M529" i="23"/>
  <c r="L529" i="23"/>
  <c r="K529" i="23"/>
  <c r="J529" i="23"/>
  <c r="G529" i="23"/>
  <c r="N528" i="23"/>
  <c r="AB528" i="23" s="1"/>
  <c r="N527" i="23"/>
  <c r="AB527" i="23" s="1"/>
  <c r="N526" i="23"/>
  <c r="AB526" i="23" s="1"/>
  <c r="N525" i="23"/>
  <c r="AB525" i="23" s="1"/>
  <c r="N524" i="23"/>
  <c r="AB524" i="23" s="1"/>
  <c r="N523" i="23"/>
  <c r="I515" i="23"/>
  <c r="I521" i="23"/>
  <c r="I520" i="23"/>
  <c r="I519" i="23"/>
  <c r="I518" i="23"/>
  <c r="AG516" i="23"/>
  <c r="I516" i="23"/>
  <c r="O513" i="23"/>
  <c r="I513" i="23"/>
  <c r="I512" i="23"/>
  <c r="I473" i="23"/>
  <c r="I472" i="23"/>
  <c r="I471" i="23"/>
  <c r="I470" i="23"/>
  <c r="AB469" i="23"/>
  <c r="I469" i="23"/>
  <c r="AB468" i="23"/>
  <c r="I468" i="23"/>
  <c r="AB467" i="23"/>
  <c r="I467" i="23"/>
  <c r="AB466" i="23"/>
  <c r="I466" i="23"/>
  <c r="AB465" i="23"/>
  <c r="I465" i="23"/>
  <c r="AC451" i="23"/>
  <c r="T450" i="23"/>
  <c r="N450" i="23"/>
  <c r="I450" i="23"/>
  <c r="T449" i="23"/>
  <c r="N449" i="23"/>
  <c r="I449" i="23"/>
  <c r="T448" i="23"/>
  <c r="N448" i="23"/>
  <c r="I448" i="23"/>
  <c r="T447" i="23"/>
  <c r="N447" i="23"/>
  <c r="I447" i="23"/>
  <c r="T446" i="23"/>
  <c r="N446" i="23"/>
  <c r="I446" i="23"/>
  <c r="T445" i="23"/>
  <c r="N445" i="23"/>
  <c r="I445" i="23"/>
  <c r="T444" i="23"/>
  <c r="N444" i="23"/>
  <c r="I444" i="23"/>
  <c r="T443" i="23"/>
  <c r="N443" i="23"/>
  <c r="I443" i="23"/>
  <c r="T442" i="23"/>
  <c r="N442" i="23"/>
  <c r="I442" i="23"/>
  <c r="T441" i="23"/>
  <c r="N441" i="23"/>
  <c r="I441" i="23"/>
  <c r="T440" i="23"/>
  <c r="N440" i="23"/>
  <c r="I440" i="23"/>
  <c r="T439" i="23"/>
  <c r="N439" i="23"/>
  <c r="I439" i="23"/>
  <c r="T438" i="23"/>
  <c r="N438" i="23"/>
  <c r="I438" i="23"/>
  <c r="T437" i="23"/>
  <c r="N437" i="23"/>
  <c r="I437" i="23"/>
  <c r="T436" i="23"/>
  <c r="N436" i="23"/>
  <c r="I436" i="23"/>
  <c r="T435" i="23"/>
  <c r="N435" i="23"/>
  <c r="I435" i="23"/>
  <c r="T420" i="23"/>
  <c r="N420" i="23"/>
  <c r="I420" i="23"/>
  <c r="T419" i="23"/>
  <c r="N419" i="23"/>
  <c r="I419" i="23"/>
  <c r="T418" i="23"/>
  <c r="N418" i="23"/>
  <c r="I418" i="23"/>
  <c r="T417" i="23"/>
  <c r="AB417" i="23" s="1"/>
  <c r="N417" i="23"/>
  <c r="I417" i="23"/>
  <c r="T416" i="23"/>
  <c r="N416" i="23"/>
  <c r="I416" i="23"/>
  <c r="T415" i="23"/>
  <c r="N415" i="23"/>
  <c r="I415" i="23"/>
  <c r="T414" i="23"/>
  <c r="N414" i="23"/>
  <c r="I414" i="23"/>
  <c r="T413" i="23"/>
  <c r="AB413" i="23" s="1"/>
  <c r="N413" i="23"/>
  <c r="I413" i="23"/>
  <c r="T412" i="23"/>
  <c r="N412" i="23"/>
  <c r="I412" i="23"/>
  <c r="T411" i="23"/>
  <c r="N411" i="23"/>
  <c r="I411" i="23"/>
  <c r="T410" i="23"/>
  <c r="N410" i="23"/>
  <c r="I410" i="23"/>
  <c r="T409" i="23"/>
  <c r="AB409" i="23" s="1"/>
  <c r="N409" i="23"/>
  <c r="I409" i="23"/>
  <c r="T408" i="23"/>
  <c r="N408" i="23"/>
  <c r="I408" i="23"/>
  <c r="T407" i="23"/>
  <c r="N407" i="23"/>
  <c r="I407" i="23"/>
  <c r="T406" i="23"/>
  <c r="N406" i="23"/>
  <c r="I406" i="23"/>
  <c r="T391" i="23"/>
  <c r="N391" i="23"/>
  <c r="I391" i="23"/>
  <c r="T390" i="23"/>
  <c r="N390" i="23"/>
  <c r="I390" i="23"/>
  <c r="O389" i="23"/>
  <c r="AB389" i="23" s="1"/>
  <c r="I389" i="23"/>
  <c r="T388" i="23"/>
  <c r="N388" i="23"/>
  <c r="I388" i="23"/>
  <c r="T387" i="23"/>
  <c r="N387" i="23"/>
  <c r="I387" i="23"/>
  <c r="T386" i="23"/>
  <c r="N386" i="23"/>
  <c r="I386" i="23"/>
  <c r="T385" i="23"/>
  <c r="N385" i="23"/>
  <c r="I385" i="23"/>
  <c r="T384" i="23"/>
  <c r="N384" i="23"/>
  <c r="I384" i="23"/>
  <c r="T383" i="23"/>
  <c r="N383" i="23"/>
  <c r="I383" i="23"/>
  <c r="T382" i="23"/>
  <c r="N382" i="23"/>
  <c r="I382" i="23"/>
  <c r="T381" i="23"/>
  <c r="N381" i="23"/>
  <c r="I381" i="23"/>
  <c r="T380" i="23"/>
  <c r="N380" i="23"/>
  <c r="I380" i="23"/>
  <c r="T379" i="23"/>
  <c r="N379" i="23"/>
  <c r="I379" i="23"/>
  <c r="T378" i="23"/>
  <c r="N378" i="23"/>
  <c r="I378" i="23"/>
  <c r="T362" i="23"/>
  <c r="N362" i="23"/>
  <c r="I362" i="23"/>
  <c r="T361" i="23"/>
  <c r="N361" i="23"/>
  <c r="I361" i="23"/>
  <c r="T360" i="23"/>
  <c r="N360" i="23"/>
  <c r="I360" i="23"/>
  <c r="T359" i="23"/>
  <c r="N359" i="23"/>
  <c r="I359" i="23"/>
  <c r="T358" i="23"/>
  <c r="N358" i="23"/>
  <c r="I358" i="23"/>
  <c r="T357" i="23"/>
  <c r="N357" i="23"/>
  <c r="I357" i="23"/>
  <c r="T356" i="23"/>
  <c r="N356" i="23"/>
  <c r="I356" i="23"/>
  <c r="T355" i="23"/>
  <c r="N355" i="23"/>
  <c r="I355" i="23"/>
  <c r="T354" i="23"/>
  <c r="N354" i="23"/>
  <c r="I354" i="23"/>
  <c r="T353" i="23"/>
  <c r="N353" i="23"/>
  <c r="I353" i="23"/>
  <c r="T352" i="23"/>
  <c r="N352" i="23"/>
  <c r="I352" i="23"/>
  <c r="T351" i="23"/>
  <c r="N351" i="23"/>
  <c r="I351" i="23"/>
  <c r="T350" i="23"/>
  <c r="N350" i="23"/>
  <c r="I350" i="23"/>
  <c r="T336" i="23"/>
  <c r="N336" i="23"/>
  <c r="I336" i="23"/>
  <c r="T335" i="23"/>
  <c r="N335" i="23"/>
  <c r="I335" i="23"/>
  <c r="T334" i="23"/>
  <c r="N334" i="23"/>
  <c r="I334" i="23"/>
  <c r="T333" i="23"/>
  <c r="N333" i="23"/>
  <c r="I333" i="23"/>
  <c r="T332" i="23"/>
  <c r="N332" i="23"/>
  <c r="I332" i="23"/>
  <c r="T331" i="23"/>
  <c r="N331" i="23"/>
  <c r="I331" i="23"/>
  <c r="T330" i="23"/>
  <c r="N330" i="23"/>
  <c r="I330" i="23"/>
  <c r="T329" i="23"/>
  <c r="N329" i="23"/>
  <c r="I329" i="23"/>
  <c r="T328" i="23"/>
  <c r="N328" i="23"/>
  <c r="I328" i="23"/>
  <c r="T327" i="23"/>
  <c r="N327" i="23"/>
  <c r="I327" i="23"/>
  <c r="T326" i="23"/>
  <c r="N326" i="23"/>
  <c r="I326" i="23"/>
  <c r="T325" i="23"/>
  <c r="N325" i="23"/>
  <c r="I325" i="23"/>
  <c r="T324" i="23"/>
  <c r="N324" i="23"/>
  <c r="I324" i="23"/>
  <c r="T323" i="23"/>
  <c r="N323" i="23"/>
  <c r="I323" i="23"/>
  <c r="T322" i="23"/>
  <c r="N322" i="23"/>
  <c r="I322" i="23"/>
  <c r="T321" i="23"/>
  <c r="N321" i="23"/>
  <c r="I321" i="23"/>
  <c r="T304" i="23"/>
  <c r="N304" i="23"/>
  <c r="I304" i="23"/>
  <c r="T303" i="23"/>
  <c r="N303" i="23"/>
  <c r="I303" i="23"/>
  <c r="T302" i="23"/>
  <c r="N302" i="23"/>
  <c r="I302" i="23"/>
  <c r="T301" i="23"/>
  <c r="N301" i="23"/>
  <c r="I301" i="23"/>
  <c r="T300" i="23"/>
  <c r="N300" i="23"/>
  <c r="I300" i="23"/>
  <c r="T299" i="23"/>
  <c r="N299" i="23"/>
  <c r="I299" i="23"/>
  <c r="T298" i="23"/>
  <c r="N298" i="23"/>
  <c r="I298" i="23"/>
  <c r="T297" i="23"/>
  <c r="N297" i="23"/>
  <c r="I297" i="23"/>
  <c r="T296" i="23"/>
  <c r="N296" i="23"/>
  <c r="I296" i="23"/>
  <c r="T295" i="23"/>
  <c r="N295" i="23"/>
  <c r="I295" i="23"/>
  <c r="T294" i="23"/>
  <c r="N294" i="23"/>
  <c r="I294" i="23"/>
  <c r="T293" i="23"/>
  <c r="N293" i="23"/>
  <c r="I293" i="23"/>
  <c r="T292" i="23"/>
  <c r="N292" i="23"/>
  <c r="I292" i="23"/>
  <c r="T291" i="23"/>
  <c r="N291" i="23"/>
  <c r="I291" i="23"/>
  <c r="T290" i="23"/>
  <c r="N290" i="23"/>
  <c r="I290" i="23"/>
  <c r="T289" i="23"/>
  <c r="N289" i="23"/>
  <c r="I289" i="23"/>
  <c r="T288" i="23"/>
  <c r="N288" i="23"/>
  <c r="I288" i="23"/>
  <c r="T287" i="23"/>
  <c r="N287" i="23"/>
  <c r="I287" i="23"/>
  <c r="T286" i="23"/>
  <c r="N286" i="23"/>
  <c r="I286" i="23"/>
  <c r="T285" i="23"/>
  <c r="N285" i="23"/>
  <c r="I285" i="23"/>
  <c r="T284" i="23"/>
  <c r="N284" i="23"/>
  <c r="I284" i="23"/>
  <c r="T283" i="23"/>
  <c r="N283" i="23"/>
  <c r="I283" i="23"/>
  <c r="T267" i="23"/>
  <c r="N267" i="23"/>
  <c r="I267" i="23"/>
  <c r="I266" i="23"/>
  <c r="I265" i="23"/>
  <c r="I264" i="23"/>
  <c r="I263" i="23"/>
  <c r="I262" i="23"/>
  <c r="I261" i="23"/>
  <c r="I260" i="23"/>
  <c r="I259" i="23"/>
  <c r="I258" i="23"/>
  <c r="I257" i="23"/>
  <c r="I256" i="23"/>
  <c r="I255" i="23"/>
  <c r="I254" i="23"/>
  <c r="I253" i="23"/>
  <c r="I252" i="23"/>
  <c r="I251" i="23"/>
  <c r="I250" i="23"/>
  <c r="I249" i="23"/>
  <c r="M494" i="23"/>
  <c r="M511" i="23" s="1"/>
  <c r="O233" i="23"/>
  <c r="I203" i="23"/>
  <c r="AB202" i="23"/>
  <c r="Z202" i="23"/>
  <c r="I202" i="23"/>
  <c r="AB201" i="23"/>
  <c r="Z201" i="23"/>
  <c r="I201" i="23"/>
  <c r="AB200" i="23"/>
  <c r="Z200" i="23"/>
  <c r="I200" i="23"/>
  <c r="Z199" i="23"/>
  <c r="I199" i="23"/>
  <c r="AB198" i="23"/>
  <c r="Z198" i="23"/>
  <c r="Y198" i="23"/>
  <c r="I198" i="23"/>
  <c r="Z197" i="23"/>
  <c r="Y197" i="23"/>
  <c r="K197" i="23"/>
  <c r="I197" i="23"/>
  <c r="Z196" i="23"/>
  <c r="Y196" i="23"/>
  <c r="I196" i="23"/>
  <c r="Z195" i="23"/>
  <c r="Y195" i="23"/>
  <c r="I195" i="23"/>
  <c r="Z194" i="23"/>
  <c r="Y194" i="23"/>
  <c r="K194" i="23"/>
  <c r="I194" i="23"/>
  <c r="AN193" i="23"/>
  <c r="AM193" i="23"/>
  <c r="AL193" i="23"/>
  <c r="AK193" i="23"/>
  <c r="AJ193" i="23"/>
  <c r="AI193" i="23"/>
  <c r="AH193" i="23"/>
  <c r="AG193" i="23"/>
  <c r="AB193" i="23"/>
  <c r="Z193" i="23"/>
  <c r="Y193" i="23"/>
  <c r="I193" i="23"/>
  <c r="AB192" i="23"/>
  <c r="Z192" i="23"/>
  <c r="Y192" i="23"/>
  <c r="I192" i="23"/>
  <c r="AB191" i="23"/>
  <c r="Z191" i="23"/>
  <c r="Y191" i="23"/>
  <c r="I191" i="23"/>
  <c r="AB190" i="23"/>
  <c r="Z190" i="23"/>
  <c r="Y190" i="23"/>
  <c r="I190" i="23"/>
  <c r="Z174" i="23"/>
  <c r="Y174" i="23"/>
  <c r="T174" i="23"/>
  <c r="N174" i="23"/>
  <c r="Z173" i="23"/>
  <c r="Y173" i="23"/>
  <c r="T173" i="23"/>
  <c r="N173" i="23"/>
  <c r="Z172" i="23"/>
  <c r="Y172" i="23"/>
  <c r="T172" i="23"/>
  <c r="N172" i="23"/>
  <c r="Z171" i="23"/>
  <c r="Y171" i="23"/>
  <c r="T171" i="23"/>
  <c r="N171" i="23"/>
  <c r="Z170" i="23"/>
  <c r="Y170" i="23"/>
  <c r="T170" i="23"/>
  <c r="N170" i="23"/>
  <c r="Z168" i="23"/>
  <c r="Y168" i="23"/>
  <c r="T168" i="23"/>
  <c r="N168" i="23"/>
  <c r="Z167" i="23"/>
  <c r="Y167" i="23"/>
  <c r="T167" i="23"/>
  <c r="N167" i="23"/>
  <c r="Z166" i="23"/>
  <c r="Y166" i="23"/>
  <c r="T166" i="23"/>
  <c r="N166" i="23"/>
  <c r="Z165" i="23"/>
  <c r="Y165" i="23"/>
  <c r="T165" i="23"/>
  <c r="N165" i="23"/>
  <c r="Z164" i="23"/>
  <c r="Y164" i="23"/>
  <c r="T164" i="23"/>
  <c r="N164" i="23"/>
  <c r="Z163" i="23"/>
  <c r="Y163" i="23"/>
  <c r="T163" i="23"/>
  <c r="N163" i="23"/>
  <c r="Z162" i="23"/>
  <c r="Y162" i="23"/>
  <c r="T162" i="23"/>
  <c r="N162" i="23"/>
  <c r="Z161" i="23"/>
  <c r="Y161" i="23"/>
  <c r="T161" i="23"/>
  <c r="N161" i="23"/>
  <c r="Z160" i="23"/>
  <c r="Y160" i="23"/>
  <c r="T160" i="23"/>
  <c r="N160" i="23"/>
  <c r="Z159" i="23"/>
  <c r="Y159" i="23"/>
  <c r="T159" i="23"/>
  <c r="N159" i="23"/>
  <c r="Z158" i="23"/>
  <c r="Y158" i="23"/>
  <c r="T158" i="23"/>
  <c r="N158" i="23"/>
  <c r="Z157" i="23"/>
  <c r="Y157" i="23"/>
  <c r="T157" i="23"/>
  <c r="N157" i="23"/>
  <c r="AB143" i="23"/>
  <c r="Z143" i="23"/>
  <c r="Y143" i="23"/>
  <c r="I143" i="23"/>
  <c r="AB142" i="23"/>
  <c r="Z142" i="23"/>
  <c r="Y142" i="23"/>
  <c r="I142" i="23"/>
  <c r="AB141" i="23"/>
  <c r="Z141" i="23"/>
  <c r="Y141" i="23"/>
  <c r="I141" i="23"/>
  <c r="AB140" i="23"/>
  <c r="Z140" i="23"/>
  <c r="Y140" i="23"/>
  <c r="I140" i="23"/>
  <c r="AB139" i="23"/>
  <c r="Z139" i="23"/>
  <c r="Y139" i="23"/>
  <c r="I139" i="23"/>
  <c r="AB138" i="23"/>
  <c r="Z138" i="23"/>
  <c r="Y138" i="23"/>
  <c r="I138" i="23"/>
  <c r="AB137" i="23"/>
  <c r="Z137" i="23"/>
  <c r="Y137" i="23"/>
  <c r="I137" i="23"/>
  <c r="AB136" i="23"/>
  <c r="Z136" i="23"/>
  <c r="Y136" i="23"/>
  <c r="I136" i="23"/>
  <c r="Z22" i="23"/>
  <c r="Y22" i="23"/>
  <c r="AB135" i="23"/>
  <c r="Z135" i="23"/>
  <c r="Y135" i="23"/>
  <c r="I135" i="23"/>
  <c r="AB134" i="23"/>
  <c r="Z134" i="23"/>
  <c r="Y134" i="23"/>
  <c r="I134" i="23"/>
  <c r="AB133" i="23"/>
  <c r="Z133" i="23"/>
  <c r="Y133" i="23"/>
  <c r="I133" i="23"/>
  <c r="AB132" i="23"/>
  <c r="Z132" i="23"/>
  <c r="Y132" i="23"/>
  <c r="I132" i="23"/>
  <c r="Z24" i="23"/>
  <c r="Y24" i="23"/>
  <c r="AB131" i="23"/>
  <c r="Z131" i="23"/>
  <c r="Y131" i="23"/>
  <c r="I131" i="23"/>
  <c r="AB130" i="23"/>
  <c r="Z130" i="23"/>
  <c r="Y130" i="23"/>
  <c r="I130" i="23"/>
  <c r="AB129" i="23"/>
  <c r="Z129" i="23"/>
  <c r="Y129" i="23"/>
  <c r="I129" i="23"/>
  <c r="AB128" i="23"/>
  <c r="Z128" i="23"/>
  <c r="Y128" i="23"/>
  <c r="I128" i="23"/>
  <c r="AA494" i="23"/>
  <c r="AA511" i="23" s="1"/>
  <c r="Z111" i="23"/>
  <c r="Y111" i="23"/>
  <c r="T111" i="23"/>
  <c r="N111" i="23"/>
  <c r="I111" i="23"/>
  <c r="Z110" i="23"/>
  <c r="Y110" i="23"/>
  <c r="T110" i="23"/>
  <c r="N110" i="23"/>
  <c r="I110" i="23"/>
  <c r="Z109" i="23"/>
  <c r="Y109" i="23"/>
  <c r="T109" i="23"/>
  <c r="N109" i="23"/>
  <c r="I109" i="23"/>
  <c r="Z108" i="23"/>
  <c r="Y108" i="23"/>
  <c r="T108" i="23"/>
  <c r="N108" i="23"/>
  <c r="I108" i="23"/>
  <c r="Z107" i="23"/>
  <c r="Y107" i="23"/>
  <c r="T107" i="23"/>
  <c r="N107" i="23"/>
  <c r="I107" i="23"/>
  <c r="Z106" i="23"/>
  <c r="Y106" i="23"/>
  <c r="T106" i="23"/>
  <c r="N106" i="23"/>
  <c r="I106" i="23"/>
  <c r="Z105" i="23"/>
  <c r="Y105" i="23"/>
  <c r="T105" i="23"/>
  <c r="N105" i="23"/>
  <c r="I105" i="23"/>
  <c r="Z104" i="23"/>
  <c r="Y104" i="23"/>
  <c r="T104" i="23"/>
  <c r="N104" i="23"/>
  <c r="I104" i="23"/>
  <c r="Z103" i="23"/>
  <c r="Y103" i="23"/>
  <c r="T103" i="23"/>
  <c r="N103" i="23"/>
  <c r="I103" i="23"/>
  <c r="Z102" i="23"/>
  <c r="Y102" i="23"/>
  <c r="T102" i="23"/>
  <c r="N102" i="23"/>
  <c r="I102" i="23"/>
  <c r="Z101" i="23"/>
  <c r="Y101" i="23"/>
  <c r="T101" i="23"/>
  <c r="N101" i="23"/>
  <c r="I101" i="23"/>
  <c r="Z100" i="23"/>
  <c r="Y100" i="23"/>
  <c r="T100" i="23"/>
  <c r="N100" i="23"/>
  <c r="I100" i="23"/>
  <c r="Z99" i="23"/>
  <c r="Y99" i="23"/>
  <c r="T99" i="23"/>
  <c r="N99" i="23"/>
  <c r="I99" i="23"/>
  <c r="Z98" i="23"/>
  <c r="Y98" i="23"/>
  <c r="T98" i="23"/>
  <c r="N98" i="23"/>
  <c r="I98" i="23"/>
  <c r="Z97" i="23"/>
  <c r="Y97" i="23"/>
  <c r="T97" i="23"/>
  <c r="N97" i="23"/>
  <c r="I97" i="23"/>
  <c r="Z96" i="23"/>
  <c r="Y96" i="23"/>
  <c r="T96" i="23"/>
  <c r="N96" i="23"/>
  <c r="I96" i="23"/>
  <c r="Z95" i="23"/>
  <c r="Y95" i="23"/>
  <c r="T95" i="23"/>
  <c r="N95" i="23"/>
  <c r="I95" i="23"/>
  <c r="Z94" i="23"/>
  <c r="Y94" i="23"/>
  <c r="T94" i="23"/>
  <c r="N94" i="23"/>
  <c r="I94" i="23"/>
  <c r="Z93" i="23"/>
  <c r="Y93" i="23"/>
  <c r="T93" i="23"/>
  <c r="N93" i="23"/>
  <c r="I93" i="23"/>
  <c r="H494" i="23"/>
  <c r="H511" i="23" s="1"/>
  <c r="Z21" i="23"/>
  <c r="Y21" i="23"/>
  <c r="Z20" i="23"/>
  <c r="Y20" i="23"/>
  <c r="Z74" i="23"/>
  <c r="Y74" i="23"/>
  <c r="I74" i="23"/>
  <c r="Z73" i="23"/>
  <c r="Y73" i="23"/>
  <c r="I73" i="23"/>
  <c r="Z72" i="23"/>
  <c r="Y72" i="23"/>
  <c r="I72" i="23"/>
  <c r="Z71" i="23"/>
  <c r="Y71" i="23"/>
  <c r="I71" i="23"/>
  <c r="I70" i="23"/>
  <c r="Z69" i="23"/>
  <c r="Y69" i="23"/>
  <c r="I69" i="23"/>
  <c r="Z68" i="23"/>
  <c r="Y68" i="23"/>
  <c r="I68" i="23"/>
  <c r="Z67" i="23"/>
  <c r="Y67" i="23"/>
  <c r="I67" i="23"/>
  <c r="Z66" i="23"/>
  <c r="Y66" i="23"/>
  <c r="I66" i="23"/>
  <c r="Z65" i="23"/>
  <c r="Y65" i="23"/>
  <c r="I65" i="23"/>
  <c r="Z64" i="23"/>
  <c r="Y64" i="23"/>
  <c r="I64" i="23"/>
  <c r="Z63" i="23"/>
  <c r="Y63" i="23"/>
  <c r="I63" i="23"/>
  <c r="Z62" i="23"/>
  <c r="Y62" i="23"/>
  <c r="I62" i="23"/>
  <c r="Z61" i="23"/>
  <c r="Y61" i="23"/>
  <c r="I61" i="23"/>
  <c r="Z60" i="23"/>
  <c r="Y60" i="23"/>
  <c r="I60" i="23"/>
  <c r="Z59" i="23"/>
  <c r="Y59" i="23"/>
  <c r="I59" i="23"/>
  <c r="Z58" i="23"/>
  <c r="Y58" i="23"/>
  <c r="I58" i="23"/>
  <c r="G57" i="23"/>
  <c r="G494" i="23" s="1"/>
  <c r="G511" i="23" s="1"/>
  <c r="F57" i="23"/>
  <c r="F494" i="23" s="1"/>
  <c r="F511" i="23" s="1"/>
  <c r="X57" i="23"/>
  <c r="X494" i="23" s="1"/>
  <c r="X511" i="23" s="1"/>
  <c r="V57" i="23"/>
  <c r="S57" i="23"/>
  <c r="S494" i="23" s="1"/>
  <c r="S511" i="23" s="1"/>
  <c r="R57" i="23"/>
  <c r="R494" i="23" s="1"/>
  <c r="R511" i="23" s="1"/>
  <c r="Q57" i="23"/>
  <c r="Q494" i="23" s="1"/>
  <c r="Q511" i="23" s="1"/>
  <c r="P57" i="23"/>
  <c r="M57" i="23"/>
  <c r="L57" i="23"/>
  <c r="L494" i="23" s="1"/>
  <c r="L511" i="23" s="1"/>
  <c r="K57" i="23"/>
  <c r="J57" i="23"/>
  <c r="J494" i="23" s="1"/>
  <c r="J511" i="23" s="1"/>
  <c r="Z42" i="23"/>
  <c r="Y42" i="23"/>
  <c r="Z41" i="23"/>
  <c r="Y41" i="23"/>
  <c r="Z40" i="23"/>
  <c r="Y40" i="23"/>
  <c r="Z39" i="23"/>
  <c r="Y39" i="23"/>
  <c r="Z38" i="23"/>
  <c r="Y38" i="23"/>
  <c r="Z37" i="23"/>
  <c r="Y37" i="23"/>
  <c r="Z36" i="23"/>
  <c r="Y36" i="23"/>
  <c r="Z19" i="23"/>
  <c r="Y19" i="23"/>
  <c r="Z18" i="23"/>
  <c r="Y18" i="23"/>
  <c r="Z17" i="23"/>
  <c r="Y17" i="23"/>
  <c r="Z16" i="23"/>
  <c r="Y16" i="23"/>
  <c r="Z15" i="23"/>
  <c r="Y15" i="23"/>
  <c r="Z35" i="23"/>
  <c r="Y35" i="23"/>
  <c r="Z14" i="23"/>
  <c r="Y14" i="23"/>
  <c r="Z13" i="23"/>
  <c r="Y13" i="23"/>
  <c r="Z12" i="23"/>
  <c r="Y12" i="23"/>
  <c r="Z34" i="23"/>
  <c r="Y34" i="23"/>
  <c r="Z33" i="23"/>
  <c r="Y33" i="23"/>
  <c r="Z32" i="23"/>
  <c r="Y32" i="23"/>
  <c r="Z31" i="23"/>
  <c r="Y31" i="23"/>
  <c r="Z30" i="23"/>
  <c r="Y30" i="23"/>
  <c r="Z29" i="23"/>
  <c r="N29" i="23"/>
  <c r="F47" i="63"/>
  <c r="M46" i="63"/>
  <c r="K46" i="63"/>
  <c r="J46" i="63"/>
  <c r="H46" i="63"/>
  <c r="G46" i="63"/>
  <c r="P46" i="63" s="1"/>
  <c r="P45" i="63"/>
  <c r="P44" i="63"/>
  <c r="P43" i="63"/>
  <c r="N43" i="63"/>
  <c r="N46" i="63" s="1"/>
  <c r="N47" i="63" s="1"/>
  <c r="T42" i="63"/>
  <c r="O47" i="63"/>
  <c r="L47" i="63"/>
  <c r="J47" i="63"/>
  <c r="H41" i="63"/>
  <c r="G41" i="63"/>
  <c r="P39" i="63"/>
  <c r="W26" i="23" s="1"/>
  <c r="P38" i="63"/>
  <c r="W472" i="23" s="1"/>
  <c r="P37" i="63"/>
  <c r="W470" i="23" s="1"/>
  <c r="P36" i="63"/>
  <c r="W233" i="23" s="1"/>
  <c r="P35" i="63"/>
  <c r="W228" i="23" s="1"/>
  <c r="P34" i="63"/>
  <c r="W227" i="23" s="1"/>
  <c r="P32" i="63"/>
  <c r="W226" i="23" s="1"/>
  <c r="P31" i="63"/>
  <c r="W225" i="23" s="1"/>
  <c r="P29" i="63"/>
  <c r="W223" i="23" s="1"/>
  <c r="P28" i="63"/>
  <c r="W222" i="23" s="1"/>
  <c r="P27" i="63"/>
  <c r="W221" i="23" s="1"/>
  <c r="P24" i="63"/>
  <c r="W203" i="23" s="1"/>
  <c r="P23" i="63"/>
  <c r="W23" i="23" s="1"/>
  <c r="P22" i="63"/>
  <c r="W197" i="23" s="1"/>
  <c r="P21" i="63"/>
  <c r="W196" i="23" s="1"/>
  <c r="P20" i="63"/>
  <c r="W195" i="23" s="1"/>
  <c r="P19" i="63"/>
  <c r="L60" i="73" s="1"/>
  <c r="P18" i="63"/>
  <c r="W14" i="23" s="1"/>
  <c r="W12" i="23"/>
  <c r="W16" i="23"/>
  <c r="P14" i="63"/>
  <c r="W15" i="23" s="1"/>
  <c r="P13" i="63"/>
  <c r="W386" i="23" s="1"/>
  <c r="P12" i="63"/>
  <c r="W250" i="23" s="1"/>
  <c r="Y11" i="63"/>
  <c r="P11" i="63"/>
  <c r="W474" i="23" s="1"/>
  <c r="P10" i="63"/>
  <c r="J13" i="90"/>
  <c r="J11" i="90"/>
  <c r="V36" i="45"/>
  <c r="U36" i="45"/>
  <c r="T36" i="45"/>
  <c r="Q36" i="45"/>
  <c r="P36" i="45"/>
  <c r="N36" i="45"/>
  <c r="M36" i="45"/>
  <c r="L36" i="45"/>
  <c r="H36" i="45"/>
  <c r="F42" i="45" s="1"/>
  <c r="F43" i="45" s="1"/>
  <c r="AB35" i="45"/>
  <c r="W35" i="45"/>
  <c r="X35" i="45" s="1"/>
  <c r="S33" i="45"/>
  <c r="AB33" i="45" s="1"/>
  <c r="K33" i="45"/>
  <c r="O33" i="45" s="1"/>
  <c r="S34" i="45"/>
  <c r="K34" i="45"/>
  <c r="O34" i="45" s="1"/>
  <c r="S32" i="45"/>
  <c r="W32" i="45" s="1"/>
  <c r="K32" i="45"/>
  <c r="O32" i="45" s="1"/>
  <c r="V31" i="45"/>
  <c r="U31" i="45"/>
  <c r="G37" i="45"/>
  <c r="S30" i="45"/>
  <c r="S28" i="45"/>
  <c r="S27" i="45"/>
  <c r="O27" i="45"/>
  <c r="S26" i="45"/>
  <c r="W26" i="45" s="1"/>
  <c r="O26" i="45"/>
  <c r="S25" i="45"/>
  <c r="W25" i="45" s="1"/>
  <c r="O25" i="45"/>
  <c r="S24" i="45"/>
  <c r="S22" i="45"/>
  <c r="AA11" i="73"/>
  <c r="S21" i="45"/>
  <c r="W21" i="45" s="1"/>
  <c r="O21" i="45"/>
  <c r="S20" i="45"/>
  <c r="O20" i="45"/>
  <c r="S19" i="45"/>
  <c r="S18" i="45"/>
  <c r="W18" i="45" s="1"/>
  <c r="H13" i="62"/>
  <c r="G25" i="62" s="1"/>
  <c r="G13" i="62"/>
  <c r="F13" i="62"/>
  <c r="I12" i="62"/>
  <c r="J12" i="62" s="1"/>
  <c r="J13" i="62" s="1"/>
  <c r="G54" i="24"/>
  <c r="E54" i="24"/>
  <c r="J89" i="24"/>
  <c r="J88" i="24"/>
  <c r="J87" i="24"/>
  <c r="J30" i="24"/>
  <c r="E98" i="73"/>
  <c r="J29" i="24"/>
  <c r="E97" i="73"/>
  <c r="J86" i="24"/>
  <c r="E96" i="73"/>
  <c r="J85" i="24"/>
  <c r="E104" i="73"/>
  <c r="J84" i="24"/>
  <c r="J83" i="24"/>
  <c r="J82" i="24"/>
  <c r="Z28" i="24"/>
  <c r="E91" i="73"/>
  <c r="H91" i="73" s="1"/>
  <c r="AH91" i="73" s="1"/>
  <c r="J28" i="24"/>
  <c r="Z81" i="24"/>
  <c r="AA81" i="24" s="1"/>
  <c r="J81" i="24"/>
  <c r="Z27" i="24"/>
  <c r="AA27" i="24" s="1"/>
  <c r="J27" i="24"/>
  <c r="E88" i="73"/>
  <c r="J80" i="24"/>
  <c r="E87" i="73"/>
  <c r="J79" i="24"/>
  <c r="J26" i="24"/>
  <c r="O222" i="23"/>
  <c r="J25" i="24"/>
  <c r="E84" i="73"/>
  <c r="J78" i="24"/>
  <c r="E83" i="73"/>
  <c r="H83" i="73" s="1"/>
  <c r="AH83" i="73" s="1"/>
  <c r="J24" i="24"/>
  <c r="J77" i="24"/>
  <c r="Z23" i="24"/>
  <c r="Z54" i="24" s="1"/>
  <c r="E69" i="73"/>
  <c r="J23" i="24"/>
  <c r="O197" i="23"/>
  <c r="J76" i="24"/>
  <c r="E62" i="73"/>
  <c r="H62" i="73" s="1"/>
  <c r="AH62" i="73" s="1"/>
  <c r="AN62" i="73" s="1"/>
  <c r="J75" i="24"/>
  <c r="E61" i="73"/>
  <c r="H61" i="73" s="1"/>
  <c r="AH61" i="73" s="1"/>
  <c r="AN61" i="73" s="1"/>
  <c r="E60" i="73"/>
  <c r="N194" i="23"/>
  <c r="J21" i="24"/>
  <c r="AB21" i="24" s="1"/>
  <c r="J20" i="24"/>
  <c r="AB20" i="24" s="1"/>
  <c r="AB19" i="24"/>
  <c r="AB18" i="24"/>
  <c r="J17" i="24"/>
  <c r="AB17" i="24" s="1"/>
  <c r="J16" i="24"/>
  <c r="AB16" i="24" s="1"/>
  <c r="J15" i="24"/>
  <c r="AB15" i="24" s="1"/>
  <c r="F10" i="22"/>
  <c r="G164" i="22"/>
  <c r="F164" i="22"/>
  <c r="E164" i="22"/>
  <c r="K123" i="22"/>
  <c r="M123" i="22" s="1"/>
  <c r="K122" i="22"/>
  <c r="M122" i="22" s="1"/>
  <c r="K121" i="22"/>
  <c r="M121" i="22" s="1"/>
  <c r="K120" i="22"/>
  <c r="M120" i="22" s="1"/>
  <c r="K119" i="22"/>
  <c r="M119" i="22" s="1"/>
  <c r="K118" i="22"/>
  <c r="M118" i="22" s="1"/>
  <c r="K117" i="22"/>
  <c r="M117" i="22" s="1"/>
  <c r="K116" i="22"/>
  <c r="M116" i="22" s="1"/>
  <c r="K115" i="22"/>
  <c r="M115" i="22" s="1"/>
  <c r="K114" i="22"/>
  <c r="M114" i="22" s="1"/>
  <c r="K113" i="22"/>
  <c r="M113" i="22" s="1"/>
  <c r="K112" i="22"/>
  <c r="M112" i="22" s="1"/>
  <c r="K111" i="22"/>
  <c r="M111" i="22" s="1"/>
  <c r="K110" i="22"/>
  <c r="M110" i="22" s="1"/>
  <c r="K109" i="22"/>
  <c r="M109" i="22" s="1"/>
  <c r="K108" i="22"/>
  <c r="M108" i="22" s="1"/>
  <c r="K107" i="22"/>
  <c r="M107" i="22" s="1"/>
  <c r="K106" i="22"/>
  <c r="M106" i="22" s="1"/>
  <c r="K105" i="22"/>
  <c r="M105" i="22" s="1"/>
  <c r="K104" i="22"/>
  <c r="M104" i="22" s="1"/>
  <c r="K103" i="22"/>
  <c r="M103" i="22" s="1"/>
  <c r="K102" i="22"/>
  <c r="M102" i="22" s="1"/>
  <c r="K101" i="22"/>
  <c r="M101" i="22" s="1"/>
  <c r="K100" i="22"/>
  <c r="M100" i="22" s="1"/>
  <c r="K99" i="22"/>
  <c r="M99" i="22" s="1"/>
  <c r="K98" i="22"/>
  <c r="M98" i="22" s="1"/>
  <c r="K97" i="22"/>
  <c r="M97" i="22" s="1"/>
  <c r="K96" i="22"/>
  <c r="M96" i="22" s="1"/>
  <c r="K95" i="22"/>
  <c r="M95" i="22" s="1"/>
  <c r="K94" i="22"/>
  <c r="M94" i="22" s="1"/>
  <c r="K93" i="22"/>
  <c r="M93" i="22" s="1"/>
  <c r="K80" i="22"/>
  <c r="M80" i="22" s="1"/>
  <c r="K79" i="22"/>
  <c r="M79" i="22" s="1"/>
  <c r="K78" i="22"/>
  <c r="M78" i="22" s="1"/>
  <c r="K77" i="22"/>
  <c r="M77" i="22" s="1"/>
  <c r="K76" i="22"/>
  <c r="M76" i="22" s="1"/>
  <c r="K75" i="22"/>
  <c r="M75" i="22" s="1"/>
  <c r="K74" i="22"/>
  <c r="M74" i="22" s="1"/>
  <c r="K73" i="22"/>
  <c r="M73" i="22" s="1"/>
  <c r="K72" i="22"/>
  <c r="M72" i="22" s="1"/>
  <c r="K71" i="22"/>
  <c r="M71" i="22" s="1"/>
  <c r="K70" i="22"/>
  <c r="M70" i="22" s="1"/>
  <c r="K69" i="22"/>
  <c r="M69" i="22" s="1"/>
  <c r="K68" i="22"/>
  <c r="M68" i="22" s="1"/>
  <c r="K67" i="22"/>
  <c r="M67" i="22" s="1"/>
  <c r="K66" i="22"/>
  <c r="M66" i="22" s="1"/>
  <c r="K65" i="22"/>
  <c r="M65" i="22" s="1"/>
  <c r="K64" i="22"/>
  <c r="M64" i="22" s="1"/>
  <c r="K63" i="22"/>
  <c r="M63" i="22" s="1"/>
  <c r="K62" i="22"/>
  <c r="M62" i="22" s="1"/>
  <c r="K61" i="22"/>
  <c r="M61" i="22" s="1"/>
  <c r="K60" i="22"/>
  <c r="M60" i="22" s="1"/>
  <c r="K59" i="22"/>
  <c r="M59" i="22" s="1"/>
  <c r="K58" i="22"/>
  <c r="M58" i="22" s="1"/>
  <c r="K57" i="22"/>
  <c r="M57" i="22" s="1"/>
  <c r="K56" i="22"/>
  <c r="M56" i="22" s="1"/>
  <c r="K55" i="22"/>
  <c r="M55" i="22" s="1"/>
  <c r="K54" i="22"/>
  <c r="M54" i="22" s="1"/>
  <c r="K53" i="22"/>
  <c r="M53" i="22" s="1"/>
  <c r="K52" i="22"/>
  <c r="M52" i="22" s="1"/>
  <c r="K51" i="22"/>
  <c r="M51" i="22" s="1"/>
  <c r="L92" i="22"/>
  <c r="I92" i="22"/>
  <c r="I124" i="22" s="1"/>
  <c r="I135" i="22" s="1"/>
  <c r="I159" i="22" s="1"/>
  <c r="K37" i="22"/>
  <c r="M37" i="22" s="1"/>
  <c r="K36" i="22"/>
  <c r="M36" i="22" s="1"/>
  <c r="K34" i="22"/>
  <c r="M34" i="22" s="1"/>
  <c r="K33" i="22"/>
  <c r="M33" i="22" s="1"/>
  <c r="K32" i="22"/>
  <c r="M32" i="22" s="1"/>
  <c r="K31" i="22"/>
  <c r="M31" i="22" s="1"/>
  <c r="K30" i="22"/>
  <c r="M30" i="22" s="1"/>
  <c r="K29" i="22"/>
  <c r="M29" i="22" s="1"/>
  <c r="K28" i="22"/>
  <c r="M28" i="22" s="1"/>
  <c r="K27" i="22"/>
  <c r="K26" i="22"/>
  <c r="K25" i="22"/>
  <c r="K24" i="22"/>
  <c r="M24" i="22" s="1"/>
  <c r="K23" i="22"/>
  <c r="M23" i="22" s="1"/>
  <c r="K22" i="22"/>
  <c r="M22" i="22" s="1"/>
  <c r="K21" i="22"/>
  <c r="M20" i="22"/>
  <c r="K28" i="53"/>
  <c r="Y59" i="52"/>
  <c r="G59" i="52"/>
  <c r="AC57" i="52"/>
  <c r="V57" i="52"/>
  <c r="P57" i="52"/>
  <c r="X57" i="52" s="1"/>
  <c r="AC56" i="52"/>
  <c r="V56" i="52"/>
  <c r="U471" i="23" s="1"/>
  <c r="P56" i="52"/>
  <c r="T471" i="23" s="1"/>
  <c r="AC55" i="52"/>
  <c r="V55" i="52"/>
  <c r="U472" i="23" s="1"/>
  <c r="P55" i="52"/>
  <c r="AC54" i="52"/>
  <c r="V54" i="52"/>
  <c r="P54" i="52"/>
  <c r="X54" i="52" s="1"/>
  <c r="AC53" i="52"/>
  <c r="V53" i="52"/>
  <c r="U203" i="23" s="1"/>
  <c r="P53" i="52"/>
  <c r="AC52" i="52"/>
  <c r="V52" i="52"/>
  <c r="P52" i="52"/>
  <c r="X52" i="52" s="1"/>
  <c r="AC51" i="52"/>
  <c r="V51" i="52"/>
  <c r="P51" i="52"/>
  <c r="AC50" i="52"/>
  <c r="V50" i="52"/>
  <c r="U255" i="23" s="1"/>
  <c r="P50" i="52"/>
  <c r="F50" i="52"/>
  <c r="F59" i="52" s="1"/>
  <c r="AC48" i="52"/>
  <c r="AC46" i="52"/>
  <c r="AC45" i="52"/>
  <c r="AC44" i="52"/>
  <c r="AC43" i="52"/>
  <c r="AC42" i="52"/>
  <c r="AC41" i="52"/>
  <c r="AC40" i="52"/>
  <c r="U39" i="52"/>
  <c r="U49" i="52" s="1"/>
  <c r="U58" i="52" s="1"/>
  <c r="T39" i="52"/>
  <c r="T49" i="52" s="1"/>
  <c r="T58" i="52" s="1"/>
  <c r="S39" i="52"/>
  <c r="S49" i="52" s="1"/>
  <c r="S58" i="52" s="1"/>
  <c r="S59" i="52" s="1"/>
  <c r="R39" i="52"/>
  <c r="R49" i="52" s="1"/>
  <c r="R58" i="52" s="1"/>
  <c r="Q39" i="52"/>
  <c r="Q49" i="52" s="1"/>
  <c r="Q58" i="52" s="1"/>
  <c r="O49" i="52"/>
  <c r="O58" i="52" s="1"/>
  <c r="N49" i="52"/>
  <c r="N58" i="52" s="1"/>
  <c r="L49" i="52"/>
  <c r="L58" i="52" s="1"/>
  <c r="K39" i="52"/>
  <c r="K49" i="52" s="1"/>
  <c r="K58" i="52" s="1"/>
  <c r="J39" i="52"/>
  <c r="J49" i="52" s="1"/>
  <c r="J58" i="52" s="1"/>
  <c r="AC38" i="52"/>
  <c r="W38" i="52"/>
  <c r="V38" i="52"/>
  <c r="P38" i="52"/>
  <c r="X38" i="52" s="1"/>
  <c r="AC37" i="52"/>
  <c r="W37" i="52"/>
  <c r="V37" i="52"/>
  <c r="U226" i="23" s="1"/>
  <c r="P37" i="52"/>
  <c r="AC36" i="52"/>
  <c r="W36" i="52"/>
  <c r="V36" i="52"/>
  <c r="P36" i="52"/>
  <c r="AC35" i="52"/>
  <c r="W35" i="52"/>
  <c r="V35" i="52"/>
  <c r="P35" i="52"/>
  <c r="X35" i="52" s="1"/>
  <c r="AC34" i="52"/>
  <c r="W34" i="52"/>
  <c r="V34" i="52"/>
  <c r="U223" i="23" s="1"/>
  <c r="P34" i="52"/>
  <c r="T223" i="23" s="1"/>
  <c r="AB223" i="23" s="1"/>
  <c r="AC33" i="52"/>
  <c r="W33" i="52"/>
  <c r="V33" i="52"/>
  <c r="U222" i="23" s="1"/>
  <c r="P33" i="52"/>
  <c r="T222" i="23" s="1"/>
  <c r="AB222" i="23" s="1"/>
  <c r="AC32" i="52"/>
  <c r="W32" i="52"/>
  <c r="V32" i="52"/>
  <c r="P32" i="52"/>
  <c r="AC31" i="52"/>
  <c r="W31" i="52"/>
  <c r="V31" i="52"/>
  <c r="U220" i="23" s="1"/>
  <c r="P31" i="52"/>
  <c r="AC30" i="52"/>
  <c r="W30" i="52"/>
  <c r="V30" i="52"/>
  <c r="P30" i="52"/>
  <c r="X30" i="52" s="1"/>
  <c r="AC29" i="52"/>
  <c r="W29" i="52"/>
  <c r="V29" i="52"/>
  <c r="P29" i="52"/>
  <c r="X29" i="52" s="1"/>
  <c r="AC28" i="52"/>
  <c r="W28" i="52"/>
  <c r="V28" i="52"/>
  <c r="P28" i="52"/>
  <c r="AC27" i="52"/>
  <c r="W27" i="52"/>
  <c r="V27" i="52"/>
  <c r="U195" i="23" s="1"/>
  <c r="P27" i="52"/>
  <c r="AC26" i="52"/>
  <c r="W26" i="52"/>
  <c r="V26" i="52"/>
  <c r="P26" i="52"/>
  <c r="AC25" i="52"/>
  <c r="W25" i="52"/>
  <c r="V25" i="52"/>
  <c r="P25" i="52"/>
  <c r="P39" i="52" s="1"/>
  <c r="K24" i="52"/>
  <c r="J24" i="52"/>
  <c r="AC22" i="52"/>
  <c r="U22" i="52"/>
  <c r="AC21" i="52"/>
  <c r="W21" i="52"/>
  <c r="U21" i="52"/>
  <c r="AC20" i="52"/>
  <c r="W20" i="52"/>
  <c r="U20" i="52"/>
  <c r="AC19" i="52"/>
  <c r="W19" i="52"/>
  <c r="U19" i="52"/>
  <c r="AC18" i="52"/>
  <c r="W18" i="52"/>
  <c r="U18" i="52"/>
  <c r="AC17" i="52"/>
  <c r="W17" i="52"/>
  <c r="U17" i="52"/>
  <c r="AC16" i="52"/>
  <c r="W16" i="52"/>
  <c r="U16" i="52"/>
  <c r="AC15" i="52"/>
  <c r="W15" i="52"/>
  <c r="U15" i="52"/>
  <c r="AC14" i="52"/>
  <c r="W14" i="52"/>
  <c r="U14" i="52"/>
  <c r="AC13" i="52"/>
  <c r="W13" i="52"/>
  <c r="U13" i="52"/>
  <c r="AC12" i="52"/>
  <c r="W12" i="52"/>
  <c r="U12" i="52"/>
  <c r="AC11" i="52"/>
  <c r="W11" i="52"/>
  <c r="U11" i="52"/>
  <c r="AC10" i="52"/>
  <c r="W10" i="52"/>
  <c r="U10" i="52"/>
  <c r="D84" i="21"/>
  <c r="D82" i="21"/>
  <c r="F79" i="21"/>
  <c r="E79" i="21"/>
  <c r="D79" i="21"/>
  <c r="D74" i="21"/>
  <c r="F72" i="21"/>
  <c r="E72" i="21"/>
  <c r="D72" i="21"/>
  <c r="C72" i="21"/>
  <c r="F70" i="21"/>
  <c r="F71" i="21" s="1"/>
  <c r="E70" i="21"/>
  <c r="D70" i="21"/>
  <c r="C70" i="21"/>
  <c r="F68" i="21"/>
  <c r="D60" i="21"/>
  <c r="D59" i="21"/>
  <c r="H51" i="21"/>
  <c r="I51" i="21" s="1"/>
  <c r="H48" i="21"/>
  <c r="I48" i="21" s="1"/>
  <c r="H47" i="21"/>
  <c r="I47" i="21" s="1"/>
  <c r="H46" i="21"/>
  <c r="I46" i="21" s="1"/>
  <c r="H45" i="21"/>
  <c r="I45" i="21" s="1"/>
  <c r="H44" i="21"/>
  <c r="I44" i="21" s="1"/>
  <c r="H43" i="21"/>
  <c r="I43" i="21" s="1"/>
  <c r="H42" i="21"/>
  <c r="I42" i="21" s="1"/>
  <c r="H41" i="21"/>
  <c r="I41" i="21" s="1"/>
  <c r="H40" i="21"/>
  <c r="I40" i="21" s="1"/>
  <c r="H39" i="21"/>
  <c r="I39" i="21" s="1"/>
  <c r="H38" i="21"/>
  <c r="I38" i="21" s="1"/>
  <c r="H37" i="21"/>
  <c r="I37" i="21" s="1"/>
  <c r="H36" i="21"/>
  <c r="I36" i="21" s="1"/>
  <c r="H35" i="21"/>
  <c r="I35" i="21" s="1"/>
  <c r="H34" i="21"/>
  <c r="I34" i="21" s="1"/>
  <c r="H33" i="21"/>
  <c r="I33" i="21" s="1"/>
  <c r="H32" i="21"/>
  <c r="I32" i="21" s="1"/>
  <c r="H31" i="21"/>
  <c r="I31" i="21" s="1"/>
  <c r="H30" i="21"/>
  <c r="I30" i="21" s="1"/>
  <c r="H29" i="21"/>
  <c r="I29" i="21" s="1"/>
  <c r="H28" i="21"/>
  <c r="I28" i="21" s="1"/>
  <c r="H27" i="21"/>
  <c r="I27" i="21" s="1"/>
  <c r="H26" i="21"/>
  <c r="I26" i="21" s="1"/>
  <c r="H25" i="21"/>
  <c r="I25" i="21" s="1"/>
  <c r="H24" i="21"/>
  <c r="I24" i="21" s="1"/>
  <c r="H23" i="21"/>
  <c r="I23" i="21" s="1"/>
  <c r="H22" i="21"/>
  <c r="I22" i="21" s="1"/>
  <c r="H21" i="21"/>
  <c r="I21" i="21" s="1"/>
  <c r="H20" i="21"/>
  <c r="I20" i="21" s="1"/>
  <c r="H19" i="21"/>
  <c r="I19" i="21" s="1"/>
  <c r="H18" i="21"/>
  <c r="I18" i="21" s="1"/>
  <c r="H17" i="21"/>
  <c r="I17" i="21" s="1"/>
  <c r="H16" i="21"/>
  <c r="I16" i="21" s="1"/>
  <c r="H15" i="21"/>
  <c r="I15" i="21" s="1"/>
  <c r="H14" i="21"/>
  <c r="I14" i="21" s="1"/>
  <c r="H13" i="21"/>
  <c r="I13" i="21" s="1"/>
  <c r="H12" i="21"/>
  <c r="I12" i="21" s="1"/>
  <c r="H11" i="21"/>
  <c r="I11" i="21" s="1"/>
  <c r="H10" i="21"/>
  <c r="I10" i="21" s="1"/>
  <c r="E201" i="20"/>
  <c r="D201" i="20"/>
  <c r="D202" i="20" s="1"/>
  <c r="D135" i="20"/>
  <c r="F133" i="20"/>
  <c r="F132" i="20"/>
  <c r="I91" i="20"/>
  <c r="G91" i="20"/>
  <c r="G92" i="20" s="1"/>
  <c r="G90" i="20"/>
  <c r="I86" i="20"/>
  <c r="H84" i="20"/>
  <c r="H83" i="20"/>
  <c r="H82" i="20"/>
  <c r="H81" i="20"/>
  <c r="H80" i="20"/>
  <c r="H78" i="20"/>
  <c r="H79" i="20"/>
  <c r="H75" i="20"/>
  <c r="H77" i="20"/>
  <c r="H72" i="20"/>
  <c r="H39" i="20"/>
  <c r="H68" i="20"/>
  <c r="H24" i="20"/>
  <c r="H58" i="20"/>
  <c r="H29" i="20"/>
  <c r="H57" i="20"/>
  <c r="H66" i="20"/>
  <c r="H28" i="20"/>
  <c r="H33" i="20"/>
  <c r="H27" i="20"/>
  <c r="H76" i="20"/>
  <c r="H70" i="20"/>
  <c r="H60" i="20"/>
  <c r="H23" i="20"/>
  <c r="H18" i="20"/>
  <c r="H21" i="20"/>
  <c r="H59" i="20"/>
  <c r="H61" i="20"/>
  <c r="H40" i="20"/>
  <c r="H37" i="20"/>
  <c r="H15" i="20"/>
  <c r="H19" i="20"/>
  <c r="H22" i="20"/>
  <c r="H35" i="20"/>
  <c r="H25" i="20"/>
  <c r="H26" i="20"/>
  <c r="H67" i="20"/>
  <c r="H20" i="20"/>
  <c r="H17" i="20"/>
  <c r="H14" i="20"/>
  <c r="H16" i="20"/>
  <c r="H12" i="20"/>
  <c r="H10" i="20"/>
  <c r="H39" i="19"/>
  <c r="H47" i="19" s="1"/>
  <c r="G39" i="19"/>
  <c r="G47" i="19" s="1"/>
  <c r="E39" i="19"/>
  <c r="D39" i="19"/>
  <c r="AP290" i="56"/>
  <c r="AQ287" i="56"/>
  <c r="AQ290" i="56" s="1"/>
  <c r="M269" i="56"/>
  <c r="R267" i="56"/>
  <c r="AO267" i="56" s="1"/>
  <c r="R241" i="56"/>
  <c r="Q241" i="56"/>
  <c r="P241" i="56"/>
  <c r="O241" i="56"/>
  <c r="N241" i="56"/>
  <c r="M241" i="56"/>
  <c r="L241" i="56"/>
  <c r="K241" i="56"/>
  <c r="J241" i="56"/>
  <c r="I241" i="56"/>
  <c r="G241" i="56"/>
  <c r="F241" i="56"/>
  <c r="E241" i="56"/>
  <c r="Q231" i="56"/>
  <c r="P231" i="56"/>
  <c r="O231" i="56"/>
  <c r="M231" i="56"/>
  <c r="J231" i="56"/>
  <c r="G231" i="56"/>
  <c r="E231" i="56"/>
  <c r="R224" i="56"/>
  <c r="N224" i="56"/>
  <c r="K224" i="56"/>
  <c r="K231" i="56" s="1"/>
  <c r="F224" i="56"/>
  <c r="L223" i="56"/>
  <c r="I223" i="56"/>
  <c r="AS219" i="56"/>
  <c r="U219" i="56"/>
  <c r="V219" i="56" s="1"/>
  <c r="AR217" i="56"/>
  <c r="AS217" i="56" s="1"/>
  <c r="AR214" i="56"/>
  <c r="AS214" i="56" s="1"/>
  <c r="AL214" i="56"/>
  <c r="AJ214" i="56"/>
  <c r="AI214" i="56"/>
  <c r="AB214" i="56"/>
  <c r="AC214" i="56" s="1"/>
  <c r="U214" i="56"/>
  <c r="V214" i="56" s="1"/>
  <c r="AK213" i="56"/>
  <c r="AL213" i="56" s="1"/>
  <c r="AJ213" i="56"/>
  <c r="AH213" i="56"/>
  <c r="AI213" i="56" s="1"/>
  <c r="AC213" i="56"/>
  <c r="T213" i="56"/>
  <c r="AQ211" i="56"/>
  <c r="AQ213" i="56" s="1"/>
  <c r="AQ182" i="56"/>
  <c r="AK210" i="56"/>
  <c r="AG210" i="56"/>
  <c r="AJ210" i="56" s="1"/>
  <c r="H210" i="56"/>
  <c r="AN209" i="56"/>
  <c r="AO209" i="56" s="1"/>
  <c r="H209" i="56"/>
  <c r="AN208" i="56"/>
  <c r="AO208" i="56" s="1"/>
  <c r="H208" i="56"/>
  <c r="AN207" i="56"/>
  <c r="AO207" i="56" s="1"/>
  <c r="H207" i="56"/>
  <c r="AN206" i="56"/>
  <c r="AO206" i="56" s="1"/>
  <c r="H206" i="56"/>
  <c r="AK205" i="56"/>
  <c r="AG205" i="56"/>
  <c r="AJ205" i="56" s="1"/>
  <c r="AN205" i="56"/>
  <c r="AO205" i="56" s="1"/>
  <c r="H205" i="56"/>
  <c r="AK204" i="56"/>
  <c r="AG204" i="56"/>
  <c r="H204" i="56"/>
  <c r="AK203" i="56"/>
  <c r="AN203" i="56"/>
  <c r="AO203" i="56" s="1"/>
  <c r="H203" i="56"/>
  <c r="AG202" i="56"/>
  <c r="AJ202" i="56" s="1"/>
  <c r="AK202" i="56"/>
  <c r="H202" i="56"/>
  <c r="AK201" i="56"/>
  <c r="AG201" i="56"/>
  <c r="H201" i="56"/>
  <c r="AK200" i="56"/>
  <c r="AN200" i="56"/>
  <c r="AO200" i="56" s="1"/>
  <c r="H200" i="56"/>
  <c r="BI199" i="56"/>
  <c r="BH199" i="56"/>
  <c r="BG199" i="56"/>
  <c r="BF199" i="56"/>
  <c r="BE199" i="56"/>
  <c r="BD199" i="56"/>
  <c r="BC199" i="56"/>
  <c r="BB199" i="56"/>
  <c r="BA199" i="56"/>
  <c r="AZ199" i="56"/>
  <c r="AY199" i="56"/>
  <c r="AX199" i="56"/>
  <c r="AW199" i="56"/>
  <c r="AK199" i="56"/>
  <c r="AG199" i="56"/>
  <c r="AJ199" i="56" s="1"/>
  <c r="AO199" i="56"/>
  <c r="H199" i="56"/>
  <c r="AP198" i="56"/>
  <c r="AK198" i="56"/>
  <c r="AG198" i="56"/>
  <c r="AJ198" i="56" s="1"/>
  <c r="T198" i="56"/>
  <c r="AN198" i="56"/>
  <c r="AO198" i="56" s="1"/>
  <c r="H198" i="56"/>
  <c r="AK197" i="56"/>
  <c r="AG197" i="56"/>
  <c r="H197" i="56"/>
  <c r="AK196" i="56"/>
  <c r="AG196" i="56"/>
  <c r="H196" i="56"/>
  <c r="AK195" i="56"/>
  <c r="AG195" i="56"/>
  <c r="H195" i="56"/>
  <c r="AK194" i="56"/>
  <c r="H194" i="56"/>
  <c r="AK193" i="56"/>
  <c r="AG193" i="56"/>
  <c r="H193" i="56"/>
  <c r="H192" i="56"/>
  <c r="H191" i="56"/>
  <c r="H190" i="56"/>
  <c r="H189" i="56"/>
  <c r="AK188" i="56"/>
  <c r="AG188" i="56"/>
  <c r="H188" i="56"/>
  <c r="AK186" i="56"/>
  <c r="AL186" i="56" s="1"/>
  <c r="AH186" i="56"/>
  <c r="AI186" i="56" s="1"/>
  <c r="AG186" i="56"/>
  <c r="AJ186" i="56" s="1"/>
  <c r="AE186" i="56"/>
  <c r="AF186" i="56" s="1"/>
  <c r="U186" i="56"/>
  <c r="V186" i="56" s="1"/>
  <c r="AK185" i="56"/>
  <c r="AL185" i="56" s="1"/>
  <c r="AH185" i="56"/>
  <c r="AI185" i="56" s="1"/>
  <c r="AG185" i="56"/>
  <c r="AJ185" i="56" s="1"/>
  <c r="AE185" i="56"/>
  <c r="AF185" i="56" s="1"/>
  <c r="U185" i="56"/>
  <c r="V185" i="56" s="1"/>
  <c r="AR184" i="56"/>
  <c r="AS184" i="56" s="1"/>
  <c r="AH184" i="56"/>
  <c r="AI184" i="56" s="1"/>
  <c r="AG184" i="56"/>
  <c r="AJ184" i="56" s="1"/>
  <c r="AE184" i="56"/>
  <c r="AF184" i="56" s="1"/>
  <c r="AB184" i="56"/>
  <c r="AC184" i="56" s="1"/>
  <c r="U184" i="56"/>
  <c r="V184" i="56" s="1"/>
  <c r="AS183" i="56"/>
  <c r="AK183" i="56"/>
  <c r="AL183" i="56" s="1"/>
  <c r="AH183" i="56"/>
  <c r="AI183" i="56" s="1"/>
  <c r="AG183" i="56"/>
  <c r="AJ183" i="56" s="1"/>
  <c r="AE183" i="56"/>
  <c r="AF183" i="56" s="1"/>
  <c r="AB183" i="56"/>
  <c r="AC183" i="56" s="1"/>
  <c r="U183" i="56"/>
  <c r="V183" i="56" s="1"/>
  <c r="AK182" i="56"/>
  <c r="AL182" i="56" s="1"/>
  <c r="AH182" i="56"/>
  <c r="AI182" i="56" s="1"/>
  <c r="AG182" i="56"/>
  <c r="AJ182" i="56" s="1"/>
  <c r="AE182" i="56"/>
  <c r="AF182" i="56" s="1"/>
  <c r="AB182" i="56"/>
  <c r="AC182" i="56" s="1"/>
  <c r="U182" i="56"/>
  <c r="V182" i="56" s="1"/>
  <c r="AK181" i="56"/>
  <c r="AL181" i="56" s="1"/>
  <c r="AH181" i="56"/>
  <c r="AI181" i="56" s="1"/>
  <c r="AG181" i="56"/>
  <c r="AJ181" i="56" s="1"/>
  <c r="AE181" i="56"/>
  <c r="AF181" i="56" s="1"/>
  <c r="AB181" i="56"/>
  <c r="AC181" i="56" s="1"/>
  <c r="U181" i="56"/>
  <c r="V181" i="56" s="1"/>
  <c r="AS180" i="56"/>
  <c r="AK180" i="56"/>
  <c r="AL180" i="56" s="1"/>
  <c r="AH180" i="56"/>
  <c r="AI180" i="56" s="1"/>
  <c r="AG180" i="56"/>
  <c r="AJ180" i="56" s="1"/>
  <c r="AE180" i="56"/>
  <c r="AF180" i="56" s="1"/>
  <c r="AB180" i="56"/>
  <c r="AC180" i="56" s="1"/>
  <c r="U180" i="56"/>
  <c r="V180" i="56" s="1"/>
  <c r="L362" i="56"/>
  <c r="I362" i="56"/>
  <c r="H362" i="56"/>
  <c r="L361" i="56"/>
  <c r="R103" i="73" s="1"/>
  <c r="N103" i="73" s="1"/>
  <c r="I361" i="56"/>
  <c r="H361" i="56"/>
  <c r="L360" i="56"/>
  <c r="I360" i="56"/>
  <c r="H360" i="56"/>
  <c r="L359" i="56"/>
  <c r="I359" i="56"/>
  <c r="H359" i="56"/>
  <c r="L358" i="56"/>
  <c r="I358" i="56"/>
  <c r="H358" i="56"/>
  <c r="L357" i="56"/>
  <c r="I357" i="56"/>
  <c r="H357" i="56"/>
  <c r="L356" i="56"/>
  <c r="I356" i="56"/>
  <c r="H356" i="56"/>
  <c r="R67" i="73"/>
  <c r="N67" i="73" s="1"/>
  <c r="R20" i="73"/>
  <c r="N20" i="73" s="1"/>
  <c r="L355" i="56"/>
  <c r="I355" i="56"/>
  <c r="L354" i="56"/>
  <c r="I354" i="56"/>
  <c r="L353" i="56"/>
  <c r="I353" i="56"/>
  <c r="L352" i="56"/>
  <c r="I352" i="56"/>
  <c r="L351" i="56"/>
  <c r="I351" i="56"/>
  <c r="L350" i="56"/>
  <c r="I350" i="56"/>
  <c r="L349" i="56"/>
  <c r="I349" i="56"/>
  <c r="L348" i="56"/>
  <c r="I348" i="56"/>
  <c r="H348" i="56"/>
  <c r="L347" i="56"/>
  <c r="I347" i="56"/>
  <c r="H347" i="56"/>
  <c r="L346" i="56"/>
  <c r="I346" i="56"/>
  <c r="H346" i="56"/>
  <c r="L345" i="56"/>
  <c r="I345" i="56"/>
  <c r="L344" i="56"/>
  <c r="I344" i="56"/>
  <c r="H344" i="56"/>
  <c r="L343" i="56"/>
  <c r="I343" i="56"/>
  <c r="H343" i="56"/>
  <c r="L342" i="56"/>
  <c r="I342" i="56"/>
  <c r="H342" i="56"/>
  <c r="L341" i="56"/>
  <c r="I341" i="56"/>
  <c r="H341" i="56"/>
  <c r="L340" i="56"/>
  <c r="R43" i="73" s="1"/>
  <c r="N43" i="73" s="1"/>
  <c r="I340" i="56"/>
  <c r="L339" i="56"/>
  <c r="L338" i="56"/>
  <c r="I338" i="56"/>
  <c r="L337" i="56"/>
  <c r="I337" i="56"/>
  <c r="H337" i="56"/>
  <c r="L336" i="56"/>
  <c r="I336" i="56"/>
  <c r="H336" i="56"/>
  <c r="L335" i="56"/>
  <c r="I335" i="56"/>
  <c r="H335" i="56"/>
  <c r="I175" i="56"/>
  <c r="H175" i="56"/>
  <c r="H178" i="56" s="1"/>
  <c r="H187" i="56" s="1"/>
  <c r="L333" i="56"/>
  <c r="I333" i="56"/>
  <c r="H333" i="56"/>
  <c r="L332" i="56"/>
  <c r="I332" i="56"/>
  <c r="H332" i="56"/>
  <c r="L331" i="56"/>
  <c r="R102" i="73" s="1"/>
  <c r="N102" i="73" s="1"/>
  <c r="I331" i="56"/>
  <c r="L330" i="56"/>
  <c r="I330" i="56"/>
  <c r="L329" i="56"/>
  <c r="I329" i="56"/>
  <c r="H329" i="56"/>
  <c r="L328" i="56"/>
  <c r="I328" i="56"/>
  <c r="H328" i="56"/>
  <c r="L327" i="56"/>
  <c r="I327" i="56"/>
  <c r="H327" i="56"/>
  <c r="L326" i="56"/>
  <c r="I326" i="56"/>
  <c r="H326" i="56"/>
  <c r="R54" i="73"/>
  <c r="N54" i="73" s="1"/>
  <c r="AH132" i="56"/>
  <c r="AE132" i="56"/>
  <c r="AD132" i="56"/>
  <c r="AR179" i="56"/>
  <c r="AS179" i="56" s="1"/>
  <c r="AK179" i="56"/>
  <c r="AL179" i="56" s="1"/>
  <c r="AH179" i="56"/>
  <c r="AI179" i="56" s="1"/>
  <c r="AG179" i="56"/>
  <c r="AJ179" i="56" s="1"/>
  <c r="AE179" i="56"/>
  <c r="AF179" i="56" s="1"/>
  <c r="AB179" i="56"/>
  <c r="AC179" i="56" s="1"/>
  <c r="U179" i="56"/>
  <c r="V179" i="56" s="1"/>
  <c r="L325" i="56"/>
  <c r="I325" i="56"/>
  <c r="H325" i="56"/>
  <c r="R52" i="73"/>
  <c r="N52" i="73" s="1"/>
  <c r="R94" i="73"/>
  <c r="N94" i="73" s="1"/>
  <c r="R63" i="73"/>
  <c r="N63" i="73" s="1"/>
  <c r="R50" i="73"/>
  <c r="N50" i="73" s="1"/>
  <c r="I324" i="56"/>
  <c r="R105" i="73"/>
  <c r="R59" i="73"/>
  <c r="N59" i="73" s="1"/>
  <c r="R107" i="73"/>
  <c r="N107" i="73" s="1"/>
  <c r="I176" i="56"/>
  <c r="R57" i="73"/>
  <c r="N57" i="73" s="1"/>
  <c r="L322" i="56"/>
  <c r="R21" i="73" s="1"/>
  <c r="N21" i="73" s="1"/>
  <c r="I322" i="56"/>
  <c r="AK171" i="56"/>
  <c r="AG171" i="56"/>
  <c r="AK170" i="56"/>
  <c r="AG170" i="56"/>
  <c r="R68" i="73"/>
  <c r="N68" i="73" s="1"/>
  <c r="AK169" i="56"/>
  <c r="AG169" i="56"/>
  <c r="AR168" i="56"/>
  <c r="AS168" i="56" s="1"/>
  <c r="AK168" i="56"/>
  <c r="AL168" i="56" s="1"/>
  <c r="AH168" i="56"/>
  <c r="AI168" i="56" s="1"/>
  <c r="AG168" i="56"/>
  <c r="AJ168" i="56" s="1"/>
  <c r="AE168" i="56"/>
  <c r="AF168" i="56" s="1"/>
  <c r="AB168" i="56"/>
  <c r="AC168" i="56" s="1"/>
  <c r="U168" i="56"/>
  <c r="V168" i="56" s="1"/>
  <c r="T168" i="56"/>
  <c r="L320" i="56"/>
  <c r="I320" i="56"/>
  <c r="AK167" i="56"/>
  <c r="AG167" i="56"/>
  <c r="AK166" i="56"/>
  <c r="AG166" i="56"/>
  <c r="AK165" i="56"/>
  <c r="AG165" i="56"/>
  <c r="R45" i="73"/>
  <c r="N45" i="73" s="1"/>
  <c r="AK157" i="56"/>
  <c r="AL157" i="56" s="1"/>
  <c r="AH157" i="56"/>
  <c r="AI157" i="56" s="1"/>
  <c r="AG157" i="56"/>
  <c r="AJ157" i="56" s="1"/>
  <c r="AF157" i="56"/>
  <c r="AB157" i="56"/>
  <c r="AC157" i="56" s="1"/>
  <c r="U157" i="56"/>
  <c r="V157" i="56" s="1"/>
  <c r="AK156" i="56"/>
  <c r="AL156" i="56" s="1"/>
  <c r="AH156" i="56"/>
  <c r="AI156" i="56" s="1"/>
  <c r="AG156" i="56"/>
  <c r="AJ156" i="56" s="1"/>
  <c r="AF156" i="56"/>
  <c r="AB156" i="56"/>
  <c r="AC156" i="56" s="1"/>
  <c r="U156" i="56"/>
  <c r="V156" i="56" s="1"/>
  <c r="AR155" i="56"/>
  <c r="AS155" i="56" s="1"/>
  <c r="AK155" i="56"/>
  <c r="AL155" i="56" s="1"/>
  <c r="AH155" i="56"/>
  <c r="AI155" i="56" s="1"/>
  <c r="AG155" i="56"/>
  <c r="AJ155" i="56" s="1"/>
  <c r="AE155" i="56"/>
  <c r="AF155" i="56" s="1"/>
  <c r="AB155" i="56"/>
  <c r="AC155" i="56" s="1"/>
  <c r="U155" i="56"/>
  <c r="V155" i="56" s="1"/>
  <c r="AR154" i="56"/>
  <c r="AS154" i="56" s="1"/>
  <c r="AK154" i="56"/>
  <c r="AL154" i="56" s="1"/>
  <c r="AH154" i="56"/>
  <c r="AI154" i="56" s="1"/>
  <c r="AG154" i="56"/>
  <c r="AJ154" i="56" s="1"/>
  <c r="AE154" i="56"/>
  <c r="AF154" i="56" s="1"/>
  <c r="AB154" i="56"/>
  <c r="AC154" i="56" s="1"/>
  <c r="U154" i="56"/>
  <c r="V154" i="56" s="1"/>
  <c r="AR153" i="56"/>
  <c r="AS153" i="56" s="1"/>
  <c r="AK153" i="56"/>
  <c r="AL153" i="56" s="1"/>
  <c r="AH153" i="56"/>
  <c r="AI153" i="56" s="1"/>
  <c r="AG153" i="56"/>
  <c r="AJ153" i="56" s="1"/>
  <c r="AE153" i="56"/>
  <c r="AF153" i="56" s="1"/>
  <c r="AB153" i="56"/>
  <c r="AC153" i="56" s="1"/>
  <c r="U153" i="56"/>
  <c r="V153" i="56" s="1"/>
  <c r="AR152" i="56"/>
  <c r="AS152" i="56" s="1"/>
  <c r="AK152" i="56"/>
  <c r="AL152" i="56" s="1"/>
  <c r="AH152" i="56"/>
  <c r="AI152" i="56" s="1"/>
  <c r="AG152" i="56"/>
  <c r="AJ152" i="56" s="1"/>
  <c r="AE152" i="56"/>
  <c r="AF152" i="56" s="1"/>
  <c r="AB152" i="56"/>
  <c r="AC152" i="56" s="1"/>
  <c r="U152" i="56"/>
  <c r="V152" i="56" s="1"/>
  <c r="AR151" i="56"/>
  <c r="AS151" i="56" s="1"/>
  <c r="AK151" i="56"/>
  <c r="AL151" i="56" s="1"/>
  <c r="AH151" i="56"/>
  <c r="AI151" i="56" s="1"/>
  <c r="AG151" i="56"/>
  <c r="AJ151" i="56" s="1"/>
  <c r="AE151" i="56"/>
  <c r="AF151" i="56" s="1"/>
  <c r="AB151" i="56"/>
  <c r="AC151" i="56" s="1"/>
  <c r="U151" i="56"/>
  <c r="V151" i="56" s="1"/>
  <c r="AR150" i="56"/>
  <c r="AS150" i="56" s="1"/>
  <c r="AK150" i="56"/>
  <c r="AL150" i="56" s="1"/>
  <c r="AH150" i="56"/>
  <c r="AI150" i="56" s="1"/>
  <c r="AG150" i="56"/>
  <c r="AJ150" i="56" s="1"/>
  <c r="AE150" i="56"/>
  <c r="AF150" i="56" s="1"/>
  <c r="AB150" i="56"/>
  <c r="AC150" i="56" s="1"/>
  <c r="U150" i="56"/>
  <c r="V150" i="56" s="1"/>
  <c r="L321" i="56"/>
  <c r="R53" i="73" s="1"/>
  <c r="N53" i="73" s="1"/>
  <c r="I321" i="56"/>
  <c r="H321" i="56"/>
  <c r="R87" i="73"/>
  <c r="N87" i="73" s="1"/>
  <c r="R98" i="73"/>
  <c r="N98" i="73" s="1"/>
  <c r="AK130" i="56"/>
  <c r="AG130" i="56"/>
  <c r="T130" i="56"/>
  <c r="R16" i="73"/>
  <c r="N16" i="73" s="1"/>
  <c r="R42" i="73"/>
  <c r="R51" i="73"/>
  <c r="N51" i="73" s="1"/>
  <c r="R99" i="73"/>
  <c r="N99" i="73" s="1"/>
  <c r="R84" i="73"/>
  <c r="N84" i="73" s="1"/>
  <c r="R64" i="73"/>
  <c r="N64" i="73" s="1"/>
  <c r="R96" i="73"/>
  <c r="N96" i="73" s="1"/>
  <c r="U96" i="73" s="1"/>
  <c r="AK128" i="56"/>
  <c r="AL128" i="56" s="1"/>
  <c r="AH128" i="56"/>
  <c r="AI128" i="56" s="1"/>
  <c r="AG128" i="56"/>
  <c r="AJ128" i="56" s="1"/>
  <c r="AB128" i="56"/>
  <c r="AC128" i="56" s="1"/>
  <c r="U128" i="56"/>
  <c r="V128" i="56" s="1"/>
  <c r="AK127" i="56"/>
  <c r="AL127" i="56" s="1"/>
  <c r="AH127" i="56"/>
  <c r="AI127" i="56" s="1"/>
  <c r="AG127" i="56"/>
  <c r="AJ127" i="56" s="1"/>
  <c r="AB127" i="56"/>
  <c r="AC127" i="56" s="1"/>
  <c r="U127" i="56"/>
  <c r="V127" i="56" s="1"/>
  <c r="AR126" i="56"/>
  <c r="AS126" i="56" s="1"/>
  <c r="AK126" i="56"/>
  <c r="AL126" i="56" s="1"/>
  <c r="AH126" i="56"/>
  <c r="AI126" i="56" s="1"/>
  <c r="AG126" i="56"/>
  <c r="AJ126" i="56" s="1"/>
  <c r="AE126" i="56"/>
  <c r="AF126" i="56" s="1"/>
  <c r="AB126" i="56"/>
  <c r="AC126" i="56" s="1"/>
  <c r="U126" i="56"/>
  <c r="V126" i="56" s="1"/>
  <c r="AR125" i="56"/>
  <c r="AK125" i="56"/>
  <c r="AL125" i="56" s="1"/>
  <c r="AH125" i="56"/>
  <c r="AI125" i="56" s="1"/>
  <c r="AG125" i="56"/>
  <c r="AJ125" i="56" s="1"/>
  <c r="AE125" i="56"/>
  <c r="AF125" i="56" s="1"/>
  <c r="AB125" i="56"/>
  <c r="AC125" i="56" s="1"/>
  <c r="U125" i="56"/>
  <c r="V125" i="56" s="1"/>
  <c r="AR124" i="56"/>
  <c r="AK124" i="56"/>
  <c r="AL124" i="56" s="1"/>
  <c r="AH124" i="56"/>
  <c r="AI124" i="56" s="1"/>
  <c r="AG124" i="56"/>
  <c r="AJ124" i="56" s="1"/>
  <c r="AE124" i="56"/>
  <c r="AF124" i="56" s="1"/>
  <c r="AB124" i="56"/>
  <c r="AC124" i="56" s="1"/>
  <c r="U124" i="56"/>
  <c r="V124" i="56" s="1"/>
  <c r="AR123" i="56"/>
  <c r="AK123" i="56"/>
  <c r="AL123" i="56" s="1"/>
  <c r="AH123" i="56"/>
  <c r="AI123" i="56" s="1"/>
  <c r="AG123" i="56"/>
  <c r="AJ123" i="56" s="1"/>
  <c r="AE123" i="56"/>
  <c r="AF123" i="56" s="1"/>
  <c r="AB123" i="56"/>
  <c r="AC123" i="56" s="1"/>
  <c r="U123" i="56"/>
  <c r="V123" i="56" s="1"/>
  <c r="AR122" i="56"/>
  <c r="AK122" i="56"/>
  <c r="AL122" i="56" s="1"/>
  <c r="AH122" i="56"/>
  <c r="AI122" i="56" s="1"/>
  <c r="AG122" i="56"/>
  <c r="AJ122" i="56" s="1"/>
  <c r="AE122" i="56"/>
  <c r="AF122" i="56" s="1"/>
  <c r="AB122" i="56"/>
  <c r="AC122" i="56" s="1"/>
  <c r="U122" i="56"/>
  <c r="V122" i="56" s="1"/>
  <c r="AR121" i="56"/>
  <c r="AS121" i="56" s="1"/>
  <c r="AK121" i="56"/>
  <c r="AL121" i="56" s="1"/>
  <c r="AH121" i="56"/>
  <c r="AI121" i="56" s="1"/>
  <c r="AG121" i="56"/>
  <c r="AJ121" i="56" s="1"/>
  <c r="AE121" i="56"/>
  <c r="AF121" i="56" s="1"/>
  <c r="AB121" i="56"/>
  <c r="AC121" i="56" s="1"/>
  <c r="U121" i="56"/>
  <c r="V121" i="56" s="1"/>
  <c r="AK106" i="56"/>
  <c r="AG106" i="56"/>
  <c r="R61" i="73"/>
  <c r="N61" i="73" s="1"/>
  <c r="R89" i="73"/>
  <c r="N89" i="73" s="1"/>
  <c r="R14" i="73"/>
  <c r="N14" i="73" s="1"/>
  <c r="R90" i="73"/>
  <c r="R95" i="73"/>
  <c r="N95" i="73" s="1"/>
  <c r="R83" i="73"/>
  <c r="N83" i="73" s="1"/>
  <c r="R97" i="73"/>
  <c r="N97" i="73" s="1"/>
  <c r="AG55" i="56"/>
  <c r="AK54" i="56"/>
  <c r="AG52" i="56"/>
  <c r="AT50" i="56"/>
  <c r="AU50" i="56" s="1"/>
  <c r="AK50" i="56"/>
  <c r="AN46" i="56"/>
  <c r="AN24" i="56" s="1"/>
  <c r="O11" i="56"/>
  <c r="F89" i="87"/>
  <c r="F88" i="87"/>
  <c r="F87" i="87"/>
  <c r="F86" i="87"/>
  <c r="F85" i="87"/>
  <c r="F84" i="87"/>
  <c r="F83" i="87"/>
  <c r="F82" i="87"/>
  <c r="F81" i="87"/>
  <c r="F80" i="87"/>
  <c r="F79" i="87"/>
  <c r="N78" i="87"/>
  <c r="F78" i="87"/>
  <c r="M78" i="87"/>
  <c r="M79" i="87" s="1"/>
  <c r="N79" i="87"/>
  <c r="F75" i="87"/>
  <c r="F74" i="87"/>
  <c r="F73" i="87"/>
  <c r="F72" i="87"/>
  <c r="F71" i="87"/>
  <c r="F70" i="87"/>
  <c r="F69" i="87"/>
  <c r="F68" i="87"/>
  <c r="F67" i="87"/>
  <c r="F66" i="87"/>
  <c r="F65" i="87"/>
  <c r="F64" i="87"/>
  <c r="N63" i="87"/>
  <c r="F63" i="87"/>
  <c r="F62" i="87"/>
  <c r="F61" i="87"/>
  <c r="F60" i="87"/>
  <c r="F59" i="87"/>
  <c r="F58" i="87"/>
  <c r="F57" i="87"/>
  <c r="F56" i="87"/>
  <c r="N55" i="87"/>
  <c r="N56" i="87" s="1"/>
  <c r="F55" i="87"/>
  <c r="F54" i="87"/>
  <c r="F53" i="87"/>
  <c r="F52" i="87"/>
  <c r="I51" i="87"/>
  <c r="I90" i="87" s="1"/>
  <c r="H51" i="87"/>
  <c r="H90" i="87" s="1"/>
  <c r="G51" i="87"/>
  <c r="G90" i="87" s="1"/>
  <c r="F39" i="87"/>
  <c r="F38" i="87"/>
  <c r="F37" i="87"/>
  <c r="F36" i="87"/>
  <c r="G28" i="55"/>
  <c r="H28" i="55" s="1"/>
  <c r="F34" i="87"/>
  <c r="F33" i="87"/>
  <c r="F32" i="87"/>
  <c r="F31" i="87"/>
  <c r="F30" i="87"/>
  <c r="F29" i="87"/>
  <c r="F28" i="87"/>
  <c r="G20" i="55"/>
  <c r="G29" i="55" s="1"/>
  <c r="G40" i="55" s="1"/>
  <c r="F26" i="87"/>
  <c r="F25" i="87"/>
  <c r="F24" i="87"/>
  <c r="F23" i="87"/>
  <c r="F22" i="87"/>
  <c r="F21" i="87"/>
  <c r="F20" i="87"/>
  <c r="F19" i="87"/>
  <c r="F18" i="87"/>
  <c r="F17" i="87"/>
  <c r="F16" i="87"/>
  <c r="F15" i="87"/>
  <c r="F14" i="87"/>
  <c r="F13" i="87"/>
  <c r="F12" i="87"/>
  <c r="H160" i="51"/>
  <c r="L160" i="51" s="1"/>
  <c r="F160" i="51"/>
  <c r="H159" i="51"/>
  <c r="L159" i="51" s="1"/>
  <c r="F159" i="51"/>
  <c r="H158" i="51"/>
  <c r="L158" i="51" s="1"/>
  <c r="F158" i="51"/>
  <c r="H157" i="51"/>
  <c r="L157" i="51" s="1"/>
  <c r="F157" i="51"/>
  <c r="F156" i="51"/>
  <c r="F155" i="51"/>
  <c r="F154" i="51"/>
  <c r="F153" i="51"/>
  <c r="F152" i="51"/>
  <c r="F151" i="51"/>
  <c r="F150" i="51"/>
  <c r="F149" i="51"/>
  <c r="F148" i="51"/>
  <c r="F147" i="51"/>
  <c r="F146" i="51"/>
  <c r="F145" i="51"/>
  <c r="F143" i="51"/>
  <c r="F142" i="51"/>
  <c r="F141" i="51"/>
  <c r="F140" i="51"/>
  <c r="F139" i="51"/>
  <c r="F137" i="51"/>
  <c r="F135" i="51"/>
  <c r="F134" i="51"/>
  <c r="F133" i="51"/>
  <c r="F132" i="51"/>
  <c r="F130" i="51"/>
  <c r="F129" i="51"/>
  <c r="F127" i="51"/>
  <c r="F126" i="51"/>
  <c r="F124" i="51"/>
  <c r="O123" i="51"/>
  <c r="F123" i="51"/>
  <c r="F122" i="51"/>
  <c r="F121" i="51"/>
  <c r="L120" i="51"/>
  <c r="F108" i="51"/>
  <c r="F107" i="51"/>
  <c r="F106" i="51"/>
  <c r="F105" i="51"/>
  <c r="F104" i="51"/>
  <c r="F103" i="51"/>
  <c r="F102" i="51"/>
  <c r="F101" i="51"/>
  <c r="F100" i="51"/>
  <c r="F99" i="51"/>
  <c r="F98" i="51"/>
  <c r="F97" i="51"/>
  <c r="F96" i="51"/>
  <c r="F95" i="51"/>
  <c r="F94" i="51"/>
  <c r="F93" i="51"/>
  <c r="F92" i="51"/>
  <c r="F91" i="51"/>
  <c r="F90" i="51"/>
  <c r="F89" i="51"/>
  <c r="F88" i="51"/>
  <c r="F87" i="51"/>
  <c r="F86" i="51"/>
  <c r="F85" i="51"/>
  <c r="F84" i="51"/>
  <c r="F83" i="51"/>
  <c r="F71" i="51"/>
  <c r="F70" i="51"/>
  <c r="F69" i="51"/>
  <c r="F68" i="51"/>
  <c r="F67" i="51"/>
  <c r="F66" i="51"/>
  <c r="F65" i="51"/>
  <c r="F64" i="51"/>
  <c r="F63" i="51"/>
  <c r="F62" i="51"/>
  <c r="F61" i="51"/>
  <c r="F60" i="51"/>
  <c r="F59" i="51"/>
  <c r="F58" i="51"/>
  <c r="F57" i="51"/>
  <c r="F56" i="51"/>
  <c r="F55" i="51"/>
  <c r="F54" i="51"/>
  <c r="F53" i="51"/>
  <c r="F52" i="51"/>
  <c r="F51" i="51"/>
  <c r="F50" i="51"/>
  <c r="F49" i="51"/>
  <c r="F48" i="51"/>
  <c r="F47" i="51"/>
  <c r="F46" i="51"/>
  <c r="F45" i="51"/>
  <c r="D44" i="51"/>
  <c r="O72" i="51" s="1"/>
  <c r="N34" i="51"/>
  <c r="J34" i="51"/>
  <c r="J44" i="51" s="1"/>
  <c r="J72" i="51" s="1"/>
  <c r="J82" i="51" s="1"/>
  <c r="J109" i="51" s="1"/>
  <c r="J119" i="51" s="1"/>
  <c r="J168" i="51" s="1"/>
  <c r="I34" i="51"/>
  <c r="I44" i="51" s="1"/>
  <c r="I72" i="51" s="1"/>
  <c r="I82" i="51" s="1"/>
  <c r="I109" i="51" s="1"/>
  <c r="I119" i="51" s="1"/>
  <c r="I168" i="51" s="1"/>
  <c r="H34" i="51"/>
  <c r="H44" i="51" s="1"/>
  <c r="H72" i="51" s="1"/>
  <c r="H82" i="51" s="1"/>
  <c r="H109" i="51" s="1"/>
  <c r="H119" i="51" s="1"/>
  <c r="G34" i="51"/>
  <c r="G44" i="51" s="1"/>
  <c r="G72" i="51" s="1"/>
  <c r="G82" i="51" s="1"/>
  <c r="G109" i="51" s="1"/>
  <c r="G119" i="51" s="1"/>
  <c r="G168" i="51" s="1"/>
  <c r="E34" i="51"/>
  <c r="E44" i="51" s="1"/>
  <c r="E72" i="51" s="1"/>
  <c r="E82" i="51" s="1"/>
  <c r="E109" i="51" s="1"/>
  <c r="E119" i="51" s="1"/>
  <c r="E168" i="51" s="1"/>
  <c r="F33" i="51"/>
  <c r="F32" i="51"/>
  <c r="F31" i="51"/>
  <c r="F30" i="51"/>
  <c r="F29" i="51"/>
  <c r="F28" i="51"/>
  <c r="F27" i="51"/>
  <c r="F26" i="51"/>
  <c r="F25" i="51"/>
  <c r="F24" i="51"/>
  <c r="F23" i="51"/>
  <c r="F22" i="51"/>
  <c r="F21" i="51"/>
  <c r="F20" i="51"/>
  <c r="F19" i="51"/>
  <c r="F18" i="51"/>
  <c r="F17" i="51"/>
  <c r="F16" i="51"/>
  <c r="F15" i="51"/>
  <c r="F14" i="51"/>
  <c r="F13" i="51"/>
  <c r="F12" i="51"/>
  <c r="I96" i="98"/>
  <c r="H96" i="98"/>
  <c r="F96" i="98"/>
  <c r="F97" i="98" s="1"/>
  <c r="E95" i="98"/>
  <c r="E94" i="98"/>
  <c r="E93" i="98"/>
  <c r="G92" i="98"/>
  <c r="E92" i="98"/>
  <c r="E91" i="98"/>
  <c r="E90" i="98"/>
  <c r="E88" i="98"/>
  <c r="I97" i="98"/>
  <c r="J56" i="16"/>
  <c r="J66" i="16" s="1"/>
  <c r="J110" i="16" s="1"/>
  <c r="J120" i="16" s="1"/>
  <c r="J168" i="16" s="1"/>
  <c r="J179" i="16" s="1"/>
  <c r="J219" i="16" s="1"/>
  <c r="J231" i="16" s="1"/>
  <c r="J261" i="16" s="1"/>
  <c r="J313" i="16" s="1"/>
  <c r="I56" i="16"/>
  <c r="I66" i="16" s="1"/>
  <c r="I110" i="16" s="1"/>
  <c r="I120" i="16" s="1"/>
  <c r="I168" i="16" s="1"/>
  <c r="I179" i="16" s="1"/>
  <c r="I219" i="16" s="1"/>
  <c r="I231" i="16" s="1"/>
  <c r="I261" i="16" s="1"/>
  <c r="H56" i="16"/>
  <c r="H66" i="16" s="1"/>
  <c r="H110" i="16" s="1"/>
  <c r="H120" i="16" s="1"/>
  <c r="H168" i="16" s="1"/>
  <c r="H179" i="16" s="1"/>
  <c r="H219" i="16" s="1"/>
  <c r="H231" i="16" s="1"/>
  <c r="H261" i="16" s="1"/>
  <c r="G56" i="16"/>
  <c r="G66" i="16" s="1"/>
  <c r="G110" i="16" s="1"/>
  <c r="G120" i="16" s="1"/>
  <c r="G168" i="16" s="1"/>
  <c r="G179" i="16" s="1"/>
  <c r="G219" i="16" s="1"/>
  <c r="G231" i="16" s="1"/>
  <c r="G261" i="16" s="1"/>
  <c r="F56" i="16"/>
  <c r="F66" i="16" s="1"/>
  <c r="F110" i="16" s="1"/>
  <c r="F120" i="16" s="1"/>
  <c r="F168" i="16" s="1"/>
  <c r="F179" i="16" s="1"/>
  <c r="F219" i="16" s="1"/>
  <c r="F231" i="16" s="1"/>
  <c r="F261" i="16" s="1"/>
  <c r="E55" i="16"/>
  <c r="W478" i="55"/>
  <c r="W477" i="55"/>
  <c r="AR477" i="55" s="1"/>
  <c r="AD476" i="55"/>
  <c r="AR475" i="55"/>
  <c r="AP473" i="55"/>
  <c r="H473" i="55"/>
  <c r="AR472" i="55"/>
  <c r="AR470" i="55"/>
  <c r="AR468" i="55"/>
  <c r="AR467" i="55"/>
  <c r="AR466" i="55"/>
  <c r="AR465" i="55"/>
  <c r="AR464" i="55"/>
  <c r="AR463" i="55"/>
  <c r="AP463" i="55" s="1"/>
  <c r="AR462" i="55"/>
  <c r="AR461" i="55"/>
  <c r="AP461" i="55" s="1"/>
  <c r="AQ461" i="55"/>
  <c r="AR458" i="55"/>
  <c r="AP458" i="55" s="1"/>
  <c r="AF458" i="55"/>
  <c r="N455" i="55"/>
  <c r="J455" i="55" s="1"/>
  <c r="H455" i="55"/>
  <c r="J453" i="55"/>
  <c r="H453" i="55"/>
  <c r="J452" i="55"/>
  <c r="I170" i="73" s="1"/>
  <c r="U170" i="73" s="1"/>
  <c r="AG170" i="73" s="1"/>
  <c r="H452" i="55"/>
  <c r="J451" i="55"/>
  <c r="I172" i="73" s="1"/>
  <c r="U172" i="73" s="1"/>
  <c r="AG172" i="73" s="1"/>
  <c r="H451" i="55"/>
  <c r="J450" i="55"/>
  <c r="I171" i="73" s="1"/>
  <c r="U171" i="73" s="1"/>
  <c r="AG171" i="73" s="1"/>
  <c r="AC171" i="73" s="1"/>
  <c r="AE171" i="73" s="1"/>
  <c r="H450" i="55"/>
  <c r="J449" i="55"/>
  <c r="I168" i="73" s="1"/>
  <c r="H449" i="55"/>
  <c r="J448" i="55"/>
  <c r="H448" i="55"/>
  <c r="J447" i="55"/>
  <c r="AR447" i="55" s="1"/>
  <c r="AS447" i="55" s="1"/>
  <c r="H447" i="55"/>
  <c r="J446" i="55"/>
  <c r="AR446" i="55" s="1"/>
  <c r="AS446" i="55" s="1"/>
  <c r="H446" i="55"/>
  <c r="J445" i="55"/>
  <c r="AR445" i="55" s="1"/>
  <c r="AS445" i="55" s="1"/>
  <c r="H445" i="55"/>
  <c r="J444" i="55"/>
  <c r="H444" i="55"/>
  <c r="J443" i="55"/>
  <c r="AR443" i="55" s="1"/>
  <c r="AS443" i="55" s="1"/>
  <c r="H443" i="55"/>
  <c r="J442" i="55"/>
  <c r="I174" i="73" s="1"/>
  <c r="U174" i="73" s="1"/>
  <c r="AG174" i="73" s="1"/>
  <c r="H442" i="55"/>
  <c r="J441" i="55"/>
  <c r="AR441" i="55" s="1"/>
  <c r="AS441" i="55" s="1"/>
  <c r="H441" i="55"/>
  <c r="J440" i="55"/>
  <c r="AR440" i="55" s="1"/>
  <c r="AS440" i="55" s="1"/>
  <c r="H440" i="55"/>
  <c r="J429" i="55"/>
  <c r="H429" i="55"/>
  <c r="J428" i="55"/>
  <c r="H428" i="55"/>
  <c r="H427" i="55"/>
  <c r="J426" i="55"/>
  <c r="H426" i="55"/>
  <c r="J425" i="55"/>
  <c r="H425" i="55"/>
  <c r="H424" i="55"/>
  <c r="J423" i="55"/>
  <c r="I179" i="73" s="1"/>
  <c r="U179" i="73" s="1"/>
  <c r="AG179" i="73" s="1"/>
  <c r="AC179" i="73" s="1"/>
  <c r="AE179" i="73" s="1"/>
  <c r="H423" i="55"/>
  <c r="J422" i="55"/>
  <c r="H422" i="55"/>
  <c r="J421" i="55"/>
  <c r="H421" i="55"/>
  <c r="J420" i="55"/>
  <c r="I182" i="73" s="1"/>
  <c r="U182" i="73" s="1"/>
  <c r="AG182" i="73" s="1"/>
  <c r="AC182" i="73" s="1"/>
  <c r="AE182" i="73" s="1"/>
  <c r="H420" i="55"/>
  <c r="N419" i="55"/>
  <c r="J419" i="55" s="1"/>
  <c r="H419" i="55"/>
  <c r="J418" i="55"/>
  <c r="H418" i="55"/>
  <c r="J417" i="55"/>
  <c r="H417" i="55"/>
  <c r="J416" i="55"/>
  <c r="H416" i="55"/>
  <c r="J415" i="55"/>
  <c r="H415" i="55"/>
  <c r="J414" i="55"/>
  <c r="I175" i="73" s="1"/>
  <c r="U175" i="73" s="1"/>
  <c r="AG175" i="73" s="1"/>
  <c r="AC175" i="73" s="1"/>
  <c r="AE175" i="73" s="1"/>
  <c r="H414" i="55"/>
  <c r="J413" i="55"/>
  <c r="H413" i="55"/>
  <c r="Y439" i="55"/>
  <c r="G439" i="55"/>
  <c r="G456" i="55" s="1"/>
  <c r="F439" i="55"/>
  <c r="F456" i="55" s="1"/>
  <c r="AR438" i="55"/>
  <c r="AS438" i="55" s="1"/>
  <c r="AK438" i="55"/>
  <c r="AL438" i="55" s="1"/>
  <c r="AF438" i="55"/>
  <c r="AG438" i="55" s="1"/>
  <c r="AR437" i="55"/>
  <c r="AP437" i="55" s="1"/>
  <c r="AK437" i="55"/>
  <c r="AL437" i="55" s="1"/>
  <c r="AF437" i="55"/>
  <c r="AG437" i="55" s="1"/>
  <c r="AR436" i="55"/>
  <c r="AP436" i="55" s="1"/>
  <c r="AK436" i="55"/>
  <c r="AL436" i="55" s="1"/>
  <c r="AF436" i="55"/>
  <c r="AG436" i="55" s="1"/>
  <c r="AR435" i="55"/>
  <c r="AP435" i="55" s="1"/>
  <c r="AK435" i="55"/>
  <c r="AL435" i="55" s="1"/>
  <c r="AF435" i="55"/>
  <c r="AG435" i="55" s="1"/>
  <c r="AR434" i="55"/>
  <c r="AS434" i="55" s="1"/>
  <c r="AK434" i="55"/>
  <c r="AL434" i="55" s="1"/>
  <c r="AF434" i="55"/>
  <c r="AG434" i="55" s="1"/>
  <c r="AR433" i="55"/>
  <c r="AS433" i="55" s="1"/>
  <c r="AK433" i="55"/>
  <c r="AL433" i="55" s="1"/>
  <c r="AF433" i="55"/>
  <c r="AG433" i="55" s="1"/>
  <c r="AR432" i="55"/>
  <c r="AP432" i="55" s="1"/>
  <c r="AK432" i="55"/>
  <c r="AL432" i="55" s="1"/>
  <c r="AF432" i="55"/>
  <c r="AG432" i="55" s="1"/>
  <c r="AR431" i="55"/>
  <c r="AS431" i="55" s="1"/>
  <c r="AK431" i="55"/>
  <c r="AL431" i="55" s="1"/>
  <c r="AF431" i="55"/>
  <c r="AG431" i="55" s="1"/>
  <c r="AU430" i="55"/>
  <c r="AU439" i="55" s="1"/>
  <c r="AU456" i="55" s="1"/>
  <c r="X439" i="55"/>
  <c r="X456" i="55" s="1"/>
  <c r="W439" i="55"/>
  <c r="W456" i="55" s="1"/>
  <c r="V439" i="55"/>
  <c r="V456" i="55" s="1"/>
  <c r="U439" i="55"/>
  <c r="U456" i="55" s="1"/>
  <c r="T439" i="55"/>
  <c r="T456" i="55" s="1"/>
  <c r="S439" i="55"/>
  <c r="S456" i="55" s="1"/>
  <c r="R439" i="55"/>
  <c r="R456" i="55" s="1"/>
  <c r="Q439" i="55"/>
  <c r="Q456" i="55" s="1"/>
  <c r="P439" i="55"/>
  <c r="P456" i="55" s="1"/>
  <c r="O439" i="55"/>
  <c r="O456" i="55" s="1"/>
  <c r="M439" i="55"/>
  <c r="M456" i="55" s="1"/>
  <c r="L439" i="55"/>
  <c r="L456" i="55" s="1"/>
  <c r="K439" i="55"/>
  <c r="K456" i="55" s="1"/>
  <c r="I439" i="55"/>
  <c r="I456" i="55" s="1"/>
  <c r="J412" i="55"/>
  <c r="AP412" i="55" s="1"/>
  <c r="H412" i="55"/>
  <c r="N410" i="55"/>
  <c r="H410" i="55"/>
  <c r="J409" i="55"/>
  <c r="AR409" i="55" s="1"/>
  <c r="H409" i="55"/>
  <c r="J408" i="55"/>
  <c r="AR408" i="55" s="1"/>
  <c r="H408" i="55"/>
  <c r="AR360" i="55"/>
  <c r="AP360" i="55" s="1"/>
  <c r="H360" i="55"/>
  <c r="J359" i="55"/>
  <c r="I102" i="73" s="1"/>
  <c r="U102" i="73" s="1"/>
  <c r="AG102" i="73" s="1"/>
  <c r="AC102" i="73" s="1"/>
  <c r="AE102" i="73" s="1"/>
  <c r="H359" i="55"/>
  <c r="J358" i="55"/>
  <c r="AR358" i="55" s="1"/>
  <c r="AP358" i="55" s="1"/>
  <c r="H358" i="55"/>
  <c r="J357" i="55"/>
  <c r="I107" i="73" s="1"/>
  <c r="H357" i="55"/>
  <c r="P356" i="55"/>
  <c r="N356" i="55"/>
  <c r="F356" i="55"/>
  <c r="H356" i="55" s="1"/>
  <c r="J355" i="55"/>
  <c r="AR355" i="55" s="1"/>
  <c r="H355" i="55"/>
  <c r="J354" i="55"/>
  <c r="AR354" i="55" s="1"/>
  <c r="AP354" i="55" s="1"/>
  <c r="H354" i="55"/>
  <c r="J353" i="55"/>
  <c r="AR353" i="55" s="1"/>
  <c r="H353" i="55"/>
  <c r="J352" i="55"/>
  <c r="AR352" i="55" s="1"/>
  <c r="H352" i="55"/>
  <c r="P351" i="55"/>
  <c r="N351" i="55"/>
  <c r="F351" i="55"/>
  <c r="H351" i="55" s="1"/>
  <c r="P350" i="55"/>
  <c r="N350" i="55"/>
  <c r="F350" i="55"/>
  <c r="H350" i="55" s="1"/>
  <c r="P349" i="55"/>
  <c r="F349" i="55"/>
  <c r="J348" i="55"/>
  <c r="AR348" i="55" s="1"/>
  <c r="H348" i="55"/>
  <c r="N347" i="55"/>
  <c r="H347" i="55"/>
  <c r="Q346" i="55"/>
  <c r="G346" i="55"/>
  <c r="H346" i="55" s="1"/>
  <c r="J345" i="55"/>
  <c r="AR345" i="55" s="1"/>
  <c r="H345" i="55"/>
  <c r="Q344" i="55"/>
  <c r="J344" i="55" s="1"/>
  <c r="I51" i="73" s="1"/>
  <c r="H344" i="55"/>
  <c r="Q343" i="55"/>
  <c r="G343" i="55"/>
  <c r="H343" i="55" s="1"/>
  <c r="Q342" i="55"/>
  <c r="G342" i="55"/>
  <c r="H342" i="55" s="1"/>
  <c r="J341" i="55"/>
  <c r="AR341" i="55" s="1"/>
  <c r="H341" i="55"/>
  <c r="AR339" i="55"/>
  <c r="AS339" i="55" s="1"/>
  <c r="AK339" i="55"/>
  <c r="AL339" i="55" s="1"/>
  <c r="AF339" i="55"/>
  <c r="AG339" i="55" s="1"/>
  <c r="AR338" i="55"/>
  <c r="AS338" i="55" s="1"/>
  <c r="AK338" i="55"/>
  <c r="AL338" i="55" s="1"/>
  <c r="AF338" i="55"/>
  <c r="AG338" i="55" s="1"/>
  <c r="AR337" i="55"/>
  <c r="AP337" i="55" s="1"/>
  <c r="AK337" i="55"/>
  <c r="AL337" i="55" s="1"/>
  <c r="AF337" i="55"/>
  <c r="AG337" i="55" s="1"/>
  <c r="AR336" i="55"/>
  <c r="AS336" i="55" s="1"/>
  <c r="AK336" i="55"/>
  <c r="AL336" i="55" s="1"/>
  <c r="AF336" i="55"/>
  <c r="AG336" i="55" s="1"/>
  <c r="AR335" i="55"/>
  <c r="AS335" i="55" s="1"/>
  <c r="AK335" i="55"/>
  <c r="AL335" i="55" s="1"/>
  <c r="AF335" i="55"/>
  <c r="AG335" i="55" s="1"/>
  <c r="AR334" i="55"/>
  <c r="AP334" i="55" s="1"/>
  <c r="AK334" i="55"/>
  <c r="AL334" i="55" s="1"/>
  <c r="AF334" i="55"/>
  <c r="AG334" i="55" s="1"/>
  <c r="AR333" i="55"/>
  <c r="AP333" i="55" s="1"/>
  <c r="AK333" i="55"/>
  <c r="AL333" i="55" s="1"/>
  <c r="AF333" i="55"/>
  <c r="AG333" i="55" s="1"/>
  <c r="AR332" i="55"/>
  <c r="AS332" i="55" s="1"/>
  <c r="AK332" i="55"/>
  <c r="AL332" i="55" s="1"/>
  <c r="AF332" i="55"/>
  <c r="AG332" i="55" s="1"/>
  <c r="AR331" i="55"/>
  <c r="AS331" i="55" s="1"/>
  <c r="AK331" i="55"/>
  <c r="AL331" i="55" s="1"/>
  <c r="AF331" i="55"/>
  <c r="AG331" i="55" s="1"/>
  <c r="AR330" i="55"/>
  <c r="AP330" i="55" s="1"/>
  <c r="AK330" i="55"/>
  <c r="AL330" i="55" s="1"/>
  <c r="AF330" i="55"/>
  <c r="AG330" i="55" s="1"/>
  <c r="AR329" i="55"/>
  <c r="J327" i="55"/>
  <c r="I43" i="73" s="1"/>
  <c r="H327" i="55"/>
  <c r="AD326" i="55"/>
  <c r="J326" i="55"/>
  <c r="H326" i="55"/>
  <c r="P325" i="55"/>
  <c r="F325" i="55"/>
  <c r="AD324" i="55"/>
  <c r="P324" i="55"/>
  <c r="F324" i="55"/>
  <c r="H324" i="55" s="1"/>
  <c r="AP323" i="55"/>
  <c r="AO323" i="55"/>
  <c r="AD323" i="55"/>
  <c r="Q323" i="55"/>
  <c r="N323" i="55"/>
  <c r="G323" i="55"/>
  <c r="H323" i="55" s="1"/>
  <c r="H322" i="55"/>
  <c r="J321" i="55"/>
  <c r="AR321" i="55" s="1"/>
  <c r="AP321" i="55" s="1"/>
  <c r="H321" i="55"/>
  <c r="J320" i="55"/>
  <c r="AR320" i="55" s="1"/>
  <c r="H320" i="55"/>
  <c r="J319" i="55"/>
  <c r="AR319" i="55" s="1"/>
  <c r="H319" i="55"/>
  <c r="J318" i="55"/>
  <c r="AR318" i="55" s="1"/>
  <c r="H318" i="55"/>
  <c r="J317" i="55"/>
  <c r="AR317" i="55" s="1"/>
  <c r="AP317" i="55" s="1"/>
  <c r="H317" i="55"/>
  <c r="Q316" i="55"/>
  <c r="J316" i="55" s="1"/>
  <c r="AR316" i="55" s="1"/>
  <c r="AS316" i="55" s="1"/>
  <c r="H316" i="55"/>
  <c r="J315" i="55"/>
  <c r="AR315" i="55" s="1"/>
  <c r="H315" i="55"/>
  <c r="J314" i="55"/>
  <c r="AR314" i="55" s="1"/>
  <c r="AP314" i="55" s="1"/>
  <c r="H314" i="55"/>
  <c r="J313" i="55"/>
  <c r="AR313" i="55" s="1"/>
  <c r="H313" i="55"/>
  <c r="J312" i="55"/>
  <c r="AR312" i="55" s="1"/>
  <c r="H312" i="55"/>
  <c r="Y311" i="55"/>
  <c r="AR310" i="55"/>
  <c r="AS310" i="55" s="1"/>
  <c r="AK310" i="55"/>
  <c r="AL310" i="55" s="1"/>
  <c r="AF310" i="55"/>
  <c r="AG310" i="55" s="1"/>
  <c r="AR309" i="55"/>
  <c r="AS309" i="55" s="1"/>
  <c r="AK309" i="55"/>
  <c r="AL309" i="55" s="1"/>
  <c r="AF309" i="55"/>
  <c r="AG309" i="55" s="1"/>
  <c r="AR308" i="55"/>
  <c r="AK308" i="55"/>
  <c r="AL308" i="55" s="1"/>
  <c r="AF308" i="55"/>
  <c r="AG308" i="55" s="1"/>
  <c r="AR307" i="55"/>
  <c r="AP307" i="55" s="1"/>
  <c r="AK307" i="55"/>
  <c r="AL307" i="55" s="1"/>
  <c r="AF307" i="55"/>
  <c r="AG307" i="55" s="1"/>
  <c r="AR306" i="55"/>
  <c r="AP306" i="55" s="1"/>
  <c r="AK306" i="55"/>
  <c r="AL306" i="55" s="1"/>
  <c r="AF306" i="55"/>
  <c r="AG306" i="55" s="1"/>
  <c r="AR305" i="55"/>
  <c r="AP305" i="55" s="1"/>
  <c r="AK305" i="55"/>
  <c r="AL305" i="55" s="1"/>
  <c r="AF305" i="55"/>
  <c r="AG305" i="55" s="1"/>
  <c r="AR304" i="55"/>
  <c r="AK304" i="55"/>
  <c r="AL304" i="55" s="1"/>
  <c r="AF304" i="55"/>
  <c r="AG304" i="55" s="1"/>
  <c r="AR303" i="55"/>
  <c r="AP303" i="55" s="1"/>
  <c r="AK303" i="55"/>
  <c r="AL303" i="55" s="1"/>
  <c r="AF303" i="55"/>
  <c r="AG303" i="55" s="1"/>
  <c r="AR302" i="55"/>
  <c r="AA301" i="55"/>
  <c r="AA328" i="55" s="1"/>
  <c r="Z301" i="55"/>
  <c r="Z328" i="55" s="1"/>
  <c r="Y301" i="55"/>
  <c r="Y328" i="55" s="1"/>
  <c r="J300" i="55"/>
  <c r="AR300" i="55" s="1"/>
  <c r="AP300" i="55" s="1"/>
  <c r="H300" i="55"/>
  <c r="J299" i="55"/>
  <c r="AR299" i="55" s="1"/>
  <c r="H299" i="55"/>
  <c r="J298" i="55"/>
  <c r="AR298" i="55" s="1"/>
  <c r="H298" i="55"/>
  <c r="J297" i="55"/>
  <c r="AR297" i="55" s="1"/>
  <c r="H297" i="55"/>
  <c r="J296" i="55"/>
  <c r="AR296" i="55" s="1"/>
  <c r="AP296" i="55" s="1"/>
  <c r="H296" i="55"/>
  <c r="J295" i="55"/>
  <c r="AR295" i="55" s="1"/>
  <c r="H295" i="55"/>
  <c r="J294" i="55"/>
  <c r="AR294" i="55" s="1"/>
  <c r="H294" i="55"/>
  <c r="J293" i="55"/>
  <c r="AR293" i="55" s="1"/>
  <c r="H293" i="55"/>
  <c r="J292" i="55"/>
  <c r="H292" i="55"/>
  <c r="J291" i="55"/>
  <c r="AR291" i="55" s="1"/>
  <c r="H291" i="55"/>
  <c r="J290" i="55"/>
  <c r="AR290" i="55" s="1"/>
  <c r="H290" i="55"/>
  <c r="J289" i="55"/>
  <c r="AR289" i="55" s="1"/>
  <c r="H289" i="55"/>
  <c r="J288" i="55"/>
  <c r="H288" i="55"/>
  <c r="J287" i="55"/>
  <c r="AR287" i="55" s="1"/>
  <c r="H287" i="55"/>
  <c r="J286" i="55"/>
  <c r="AR286" i="55" s="1"/>
  <c r="H286" i="55"/>
  <c r="J285" i="55"/>
  <c r="AR285" i="55" s="1"/>
  <c r="H285" i="55"/>
  <c r="J284" i="55"/>
  <c r="H284" i="55"/>
  <c r="J283" i="55"/>
  <c r="AR283" i="55" s="1"/>
  <c r="H283" i="55"/>
  <c r="P282" i="55"/>
  <c r="F282" i="55"/>
  <c r="AR280" i="55"/>
  <c r="AS280" i="55" s="1"/>
  <c r="AK280" i="55"/>
  <c r="AL280" i="55" s="1"/>
  <c r="AF280" i="55"/>
  <c r="AG280" i="55" s="1"/>
  <c r="AR279" i="55"/>
  <c r="AK279" i="55"/>
  <c r="AL279" i="55" s="1"/>
  <c r="AF279" i="55"/>
  <c r="AG279" i="55" s="1"/>
  <c r="AR278" i="55"/>
  <c r="AP278" i="55" s="1"/>
  <c r="AK278" i="55"/>
  <c r="AL278" i="55" s="1"/>
  <c r="AF278" i="55"/>
  <c r="AG278" i="55" s="1"/>
  <c r="AR277" i="55"/>
  <c r="AP277" i="55" s="1"/>
  <c r="AK277" i="55"/>
  <c r="AL277" i="55" s="1"/>
  <c r="AF277" i="55"/>
  <c r="AG277" i="55" s="1"/>
  <c r="AR276" i="55"/>
  <c r="AS276" i="55" s="1"/>
  <c r="AK276" i="55"/>
  <c r="AL276" i="55" s="1"/>
  <c r="AF276" i="55"/>
  <c r="AG276" i="55" s="1"/>
  <c r="AR275" i="55"/>
  <c r="AS275" i="55" s="1"/>
  <c r="AK275" i="55"/>
  <c r="AL275" i="55" s="1"/>
  <c r="AF275" i="55"/>
  <c r="AG275" i="55" s="1"/>
  <c r="AR274" i="55"/>
  <c r="AP274" i="55" s="1"/>
  <c r="AK274" i="55"/>
  <c r="AL274" i="55" s="1"/>
  <c r="AF274" i="55"/>
  <c r="AG274" i="55" s="1"/>
  <c r="AR273" i="55"/>
  <c r="AP273" i="55" s="1"/>
  <c r="AK273" i="55"/>
  <c r="AL273" i="55" s="1"/>
  <c r="AF273" i="55"/>
  <c r="AG273" i="55" s="1"/>
  <c r="AR272" i="55"/>
  <c r="AR271" i="55"/>
  <c r="AR270" i="55"/>
  <c r="AS270" i="55" s="1"/>
  <c r="AK270" i="55"/>
  <c r="AL270" i="55" s="1"/>
  <c r="AF270" i="55"/>
  <c r="AG270" i="55" s="1"/>
  <c r="J268" i="55"/>
  <c r="AR268" i="55" s="1"/>
  <c r="H268" i="55"/>
  <c r="J267" i="55"/>
  <c r="AR267" i="55" s="1"/>
  <c r="H267" i="55"/>
  <c r="P266" i="55"/>
  <c r="J266" i="55" s="1"/>
  <c r="AR266" i="55" s="1"/>
  <c r="H266" i="55"/>
  <c r="J265" i="55"/>
  <c r="AR265" i="55" s="1"/>
  <c r="H265" i="55"/>
  <c r="J264" i="55"/>
  <c r="AR264" i="55" s="1"/>
  <c r="H264" i="55"/>
  <c r="J263" i="55"/>
  <c r="AR263" i="55" s="1"/>
  <c r="AP263" i="55" s="1"/>
  <c r="H263" i="55"/>
  <c r="J262" i="55"/>
  <c r="AR262" i="55" s="1"/>
  <c r="H262" i="55"/>
  <c r="J261" i="55"/>
  <c r="AR261" i="55" s="1"/>
  <c r="H261" i="55"/>
  <c r="J260" i="55"/>
  <c r="AR260" i="55" s="1"/>
  <c r="H260" i="55"/>
  <c r="J259" i="55"/>
  <c r="AR259" i="55" s="1"/>
  <c r="AP259" i="55" s="1"/>
  <c r="H259" i="55"/>
  <c r="J258" i="55"/>
  <c r="AR258" i="55" s="1"/>
  <c r="H258" i="55"/>
  <c r="J257" i="55"/>
  <c r="AR257" i="55" s="1"/>
  <c r="H257" i="55"/>
  <c r="J256" i="55"/>
  <c r="AR256" i="55" s="1"/>
  <c r="H256" i="55"/>
  <c r="J255" i="55"/>
  <c r="AR255" i="55" s="1"/>
  <c r="AS255" i="55" s="1"/>
  <c r="H255" i="55"/>
  <c r="J254" i="55"/>
  <c r="AR254" i="55" s="1"/>
  <c r="AP254" i="55" s="1"/>
  <c r="H254" i="55"/>
  <c r="J253" i="55"/>
  <c r="AR253" i="55" s="1"/>
  <c r="H253" i="55"/>
  <c r="J252" i="55"/>
  <c r="AR252" i="55" s="1"/>
  <c r="H252" i="55"/>
  <c r="J251" i="55"/>
  <c r="AR251" i="55" s="1"/>
  <c r="AS251" i="55" s="1"/>
  <c r="H251" i="55"/>
  <c r="J250" i="55"/>
  <c r="AR250" i="55" s="1"/>
  <c r="AP250" i="55" s="1"/>
  <c r="H250" i="55"/>
  <c r="AR248" i="55"/>
  <c r="AP248" i="55" s="1"/>
  <c r="AK248" i="55"/>
  <c r="AL248" i="55" s="1"/>
  <c r="AF248" i="55"/>
  <c r="AG248" i="55" s="1"/>
  <c r="AR247" i="55"/>
  <c r="AP247" i="55" s="1"/>
  <c r="AK247" i="55"/>
  <c r="AL247" i="55" s="1"/>
  <c r="AF247" i="55"/>
  <c r="AG247" i="55" s="1"/>
  <c r="AR246" i="55"/>
  <c r="AS246" i="55" s="1"/>
  <c r="AK246" i="55"/>
  <c r="AL246" i="55" s="1"/>
  <c r="AF246" i="55"/>
  <c r="AG246" i="55" s="1"/>
  <c r="AR245" i="55"/>
  <c r="AP245" i="55" s="1"/>
  <c r="AK245" i="55"/>
  <c r="AL245" i="55" s="1"/>
  <c r="AF245" i="55"/>
  <c r="AG245" i="55" s="1"/>
  <c r="AR244" i="55"/>
  <c r="AP244" i="55" s="1"/>
  <c r="AK244" i="55"/>
  <c r="AL244" i="55" s="1"/>
  <c r="AF244" i="55"/>
  <c r="AG244" i="55" s="1"/>
  <c r="AR243" i="55"/>
  <c r="AS243" i="55" s="1"/>
  <c r="AK243" i="55"/>
  <c r="AL243" i="55" s="1"/>
  <c r="AF243" i="55"/>
  <c r="AG243" i="55" s="1"/>
  <c r="AR242" i="55"/>
  <c r="AS242" i="55" s="1"/>
  <c r="AK242" i="55"/>
  <c r="AL242" i="55" s="1"/>
  <c r="AF242" i="55"/>
  <c r="AG242" i="55" s="1"/>
  <c r="AR241" i="55"/>
  <c r="AP241" i="55" s="1"/>
  <c r="AK241" i="55"/>
  <c r="AL241" i="55" s="1"/>
  <c r="AF241" i="55"/>
  <c r="AG241" i="55" s="1"/>
  <c r="AR240" i="55"/>
  <c r="AP240" i="55" s="1"/>
  <c r="AK240" i="55"/>
  <c r="AL240" i="55" s="1"/>
  <c r="AF240" i="55"/>
  <c r="AG240" i="55" s="1"/>
  <c r="AR239" i="55"/>
  <c r="AR238" i="55"/>
  <c r="J236" i="55"/>
  <c r="AR236" i="55" s="1"/>
  <c r="H236" i="55"/>
  <c r="J235" i="55"/>
  <c r="AR235" i="55" s="1"/>
  <c r="H235" i="55"/>
  <c r="J234" i="55"/>
  <c r="AR234" i="55" s="1"/>
  <c r="H234" i="55"/>
  <c r="J233" i="55"/>
  <c r="AR233" i="55" s="1"/>
  <c r="AP233" i="55" s="1"/>
  <c r="H233" i="55"/>
  <c r="J232" i="55"/>
  <c r="AR232" i="55" s="1"/>
  <c r="H232" i="55"/>
  <c r="J231" i="55"/>
  <c r="AR231" i="55" s="1"/>
  <c r="H231" i="55"/>
  <c r="J230" i="55"/>
  <c r="H230" i="55"/>
  <c r="J229" i="55"/>
  <c r="AR229" i="55" s="1"/>
  <c r="H229" i="55"/>
  <c r="J228" i="55"/>
  <c r="AR228" i="55" s="1"/>
  <c r="H228" i="55"/>
  <c r="J227" i="55"/>
  <c r="AR227" i="55" s="1"/>
  <c r="H227" i="55"/>
  <c r="J226" i="55"/>
  <c r="AR226" i="55" s="1"/>
  <c r="H226" i="55"/>
  <c r="J225" i="55"/>
  <c r="AR225" i="55" s="1"/>
  <c r="H225" i="55"/>
  <c r="J224" i="55"/>
  <c r="AR224" i="55" s="1"/>
  <c r="H224" i="55"/>
  <c r="J223" i="55"/>
  <c r="AR223" i="55" s="1"/>
  <c r="AP223" i="55" s="1"/>
  <c r="H223" i="55"/>
  <c r="J222" i="55"/>
  <c r="AR222" i="55" s="1"/>
  <c r="H222" i="55"/>
  <c r="J221" i="55"/>
  <c r="AR221" i="55" s="1"/>
  <c r="H221" i="55"/>
  <c r="AR219" i="55"/>
  <c r="AS219" i="55" s="1"/>
  <c r="AK219" i="55"/>
  <c r="AL219" i="55" s="1"/>
  <c r="AF219" i="55"/>
  <c r="AG219" i="55" s="1"/>
  <c r="AR218" i="55"/>
  <c r="AS218" i="55" s="1"/>
  <c r="AK218" i="55"/>
  <c r="AL218" i="55" s="1"/>
  <c r="AF218" i="55"/>
  <c r="AG218" i="55" s="1"/>
  <c r="AR217" i="55"/>
  <c r="AS217" i="55" s="1"/>
  <c r="AK217" i="55"/>
  <c r="AL217" i="55" s="1"/>
  <c r="AF217" i="55"/>
  <c r="AG217" i="55" s="1"/>
  <c r="AR216" i="55"/>
  <c r="AP216" i="55" s="1"/>
  <c r="AK216" i="55"/>
  <c r="AL216" i="55" s="1"/>
  <c r="AF216" i="55"/>
  <c r="AG216" i="55" s="1"/>
  <c r="AR215" i="55"/>
  <c r="AK215" i="55"/>
  <c r="AL215" i="55" s="1"/>
  <c r="AF215" i="55"/>
  <c r="AG215" i="55" s="1"/>
  <c r="AR214" i="55"/>
  <c r="AS214" i="55" s="1"/>
  <c r="AK214" i="55"/>
  <c r="AL214" i="55" s="1"/>
  <c r="AF214" i="55"/>
  <c r="AG214" i="55" s="1"/>
  <c r="AR213" i="55"/>
  <c r="AS213" i="55" s="1"/>
  <c r="AK213" i="55"/>
  <c r="AL213" i="55" s="1"/>
  <c r="AF213" i="55"/>
  <c r="AG213" i="55" s="1"/>
  <c r="AR212" i="55"/>
  <c r="AP212" i="55" s="1"/>
  <c r="AK212" i="55"/>
  <c r="AL212" i="55" s="1"/>
  <c r="AF212" i="55"/>
  <c r="AG212" i="55" s="1"/>
  <c r="AR211" i="55"/>
  <c r="AK211" i="55"/>
  <c r="AL211" i="55" s="1"/>
  <c r="AF211" i="55"/>
  <c r="AG211" i="55" s="1"/>
  <c r="AR210" i="55"/>
  <c r="AR209" i="55"/>
  <c r="AA208" i="55"/>
  <c r="Z208" i="55"/>
  <c r="J207" i="55"/>
  <c r="AR207" i="55" s="1"/>
  <c r="H207" i="55"/>
  <c r="J206" i="55"/>
  <c r="AR206" i="55" s="1"/>
  <c r="H206" i="55"/>
  <c r="J205" i="55"/>
  <c r="AR205" i="55" s="1"/>
  <c r="AP205" i="55" s="1"/>
  <c r="H205" i="55"/>
  <c r="J204" i="55"/>
  <c r="AR204" i="55" s="1"/>
  <c r="H204" i="55"/>
  <c r="J203" i="55"/>
  <c r="H203" i="55"/>
  <c r="J202" i="55"/>
  <c r="AR202" i="55" s="1"/>
  <c r="H202" i="55"/>
  <c r="AO201" i="55"/>
  <c r="P201" i="55"/>
  <c r="F201" i="55"/>
  <c r="H201" i="55" s="1"/>
  <c r="J200" i="55"/>
  <c r="AR200" i="55" s="1"/>
  <c r="H200" i="55"/>
  <c r="J199" i="55"/>
  <c r="AR199" i="55" s="1"/>
  <c r="H199" i="55"/>
  <c r="J198" i="55"/>
  <c r="H198" i="55"/>
  <c r="J197" i="55"/>
  <c r="AR197" i="55" s="1"/>
  <c r="H197" i="55"/>
  <c r="J196" i="55"/>
  <c r="AR196" i="55" s="1"/>
  <c r="H196" i="55"/>
  <c r="J195" i="55"/>
  <c r="AR195" i="55" s="1"/>
  <c r="H195" i="55"/>
  <c r="J194" i="55"/>
  <c r="AR194" i="55" s="1"/>
  <c r="H194" i="55"/>
  <c r="AD193" i="55"/>
  <c r="P193" i="55"/>
  <c r="N193" i="55"/>
  <c r="H193" i="55"/>
  <c r="F192" i="55"/>
  <c r="J192" i="55" s="1"/>
  <c r="AR192" i="55" s="1"/>
  <c r="P191" i="55"/>
  <c r="F191" i="55"/>
  <c r="Y190" i="55"/>
  <c r="Y237" i="55" s="1"/>
  <c r="Y249" i="55" s="1"/>
  <c r="Y269" i="55" s="1"/>
  <c r="Y281" i="55" s="1"/>
  <c r="AR189" i="55"/>
  <c r="AP189" i="55" s="1"/>
  <c r="AK189" i="55"/>
  <c r="AL189" i="55" s="1"/>
  <c r="AF189" i="55"/>
  <c r="AG189" i="55" s="1"/>
  <c r="AR188" i="55"/>
  <c r="AP188" i="55" s="1"/>
  <c r="AK188" i="55"/>
  <c r="AL188" i="55" s="1"/>
  <c r="AF188" i="55"/>
  <c r="AG188" i="55" s="1"/>
  <c r="AR187" i="55"/>
  <c r="AK187" i="55"/>
  <c r="AL187" i="55" s="1"/>
  <c r="AF187" i="55"/>
  <c r="AG187" i="55" s="1"/>
  <c r="AR186" i="55"/>
  <c r="AS186" i="55" s="1"/>
  <c r="AK186" i="55"/>
  <c r="AL186" i="55" s="1"/>
  <c r="AF186" i="55"/>
  <c r="AG186" i="55" s="1"/>
  <c r="AR185" i="55"/>
  <c r="AP185" i="55" s="1"/>
  <c r="AK185" i="55"/>
  <c r="AL185" i="55" s="1"/>
  <c r="AF185" i="55"/>
  <c r="AG185" i="55" s="1"/>
  <c r="AR184" i="55"/>
  <c r="AP184" i="55" s="1"/>
  <c r="AK184" i="55"/>
  <c r="AL184" i="55" s="1"/>
  <c r="AF184" i="55"/>
  <c r="AG184" i="55" s="1"/>
  <c r="AR183" i="55"/>
  <c r="AK183" i="55"/>
  <c r="AL183" i="55" s="1"/>
  <c r="AF183" i="55"/>
  <c r="AG183" i="55" s="1"/>
  <c r="AR182" i="55"/>
  <c r="AS182" i="55" s="1"/>
  <c r="AK182" i="55"/>
  <c r="AL182" i="55" s="1"/>
  <c r="AF182" i="55"/>
  <c r="AG182" i="55" s="1"/>
  <c r="AR181" i="55"/>
  <c r="P179" i="55"/>
  <c r="N179" i="55"/>
  <c r="F179" i="55"/>
  <c r="H179" i="55" s="1"/>
  <c r="P178" i="55"/>
  <c r="F178" i="55"/>
  <c r="H178" i="55" s="1"/>
  <c r="AD177" i="55"/>
  <c r="P177" i="55"/>
  <c r="N177" i="55"/>
  <c r="F177" i="55"/>
  <c r="H177" i="55" s="1"/>
  <c r="P176" i="55"/>
  <c r="N176" i="55"/>
  <c r="F176" i="55"/>
  <c r="H176" i="55" s="1"/>
  <c r="N175" i="55"/>
  <c r="F175" i="55"/>
  <c r="H175" i="55" s="1"/>
  <c r="P174" i="55"/>
  <c r="N174" i="55"/>
  <c r="F174" i="55"/>
  <c r="H174" i="55" s="1"/>
  <c r="AD173" i="55"/>
  <c r="P173" i="55"/>
  <c r="N173" i="55"/>
  <c r="F173" i="55"/>
  <c r="H173" i="55" s="1"/>
  <c r="AE172" i="55"/>
  <c r="AD172" i="55" s="1"/>
  <c r="P172" i="55"/>
  <c r="N172" i="55"/>
  <c r="F172" i="55"/>
  <c r="H172" i="55" s="1"/>
  <c r="AD171" i="55"/>
  <c r="P171" i="55"/>
  <c r="N171" i="55"/>
  <c r="F171" i="55"/>
  <c r="H171" i="55" s="1"/>
  <c r="P170" i="55"/>
  <c r="N170" i="55"/>
  <c r="F170" i="55"/>
  <c r="H170" i="55" s="1"/>
  <c r="P169" i="55"/>
  <c r="N169" i="55"/>
  <c r="F169" i="55"/>
  <c r="H169" i="55" s="1"/>
  <c r="Q168" i="55"/>
  <c r="N168" i="55"/>
  <c r="G168" i="55"/>
  <c r="H168" i="55" s="1"/>
  <c r="AE167" i="55"/>
  <c r="AD167" i="55" s="1"/>
  <c r="P167" i="55"/>
  <c r="N167" i="55"/>
  <c r="F167" i="55"/>
  <c r="H167" i="55" s="1"/>
  <c r="AP166" i="55"/>
  <c r="AO166" i="55"/>
  <c r="AE166" i="55"/>
  <c r="AD166" i="55" s="1"/>
  <c r="P166" i="55"/>
  <c r="N166" i="55"/>
  <c r="F166" i="55"/>
  <c r="H166" i="55" s="1"/>
  <c r="J165" i="55"/>
  <c r="AA164" i="55"/>
  <c r="Z164" i="55"/>
  <c r="Y164" i="55"/>
  <c r="AR163" i="55"/>
  <c r="AP163" i="55" s="1"/>
  <c r="AK163" i="55"/>
  <c r="AL163" i="55" s="1"/>
  <c r="AF163" i="55"/>
  <c r="AG163" i="55" s="1"/>
  <c r="AR162" i="55"/>
  <c r="AP162" i="55" s="1"/>
  <c r="AK162" i="55"/>
  <c r="AL162" i="55" s="1"/>
  <c r="AF162" i="55"/>
  <c r="AG162" i="55" s="1"/>
  <c r="AR161" i="55"/>
  <c r="AP161" i="55" s="1"/>
  <c r="AK161" i="55"/>
  <c r="AL161" i="55" s="1"/>
  <c r="AF161" i="55"/>
  <c r="AG161" i="55" s="1"/>
  <c r="AR160" i="55"/>
  <c r="AP160" i="55" s="1"/>
  <c r="AK160" i="55"/>
  <c r="AL160" i="55" s="1"/>
  <c r="AF160" i="55"/>
  <c r="AG160" i="55" s="1"/>
  <c r="AR159" i="55"/>
  <c r="AS159" i="55" s="1"/>
  <c r="AK159" i="55"/>
  <c r="AL159" i="55" s="1"/>
  <c r="AF159" i="55"/>
  <c r="AG159" i="55" s="1"/>
  <c r="AR158" i="55"/>
  <c r="AS158" i="55" s="1"/>
  <c r="AK158" i="55"/>
  <c r="AL158" i="55" s="1"/>
  <c r="AF158" i="55"/>
  <c r="AG158" i="55" s="1"/>
  <c r="AR157" i="55"/>
  <c r="AS157" i="55" s="1"/>
  <c r="AK157" i="55"/>
  <c r="AL157" i="55" s="1"/>
  <c r="AF157" i="55"/>
  <c r="AG157" i="55" s="1"/>
  <c r="AR156" i="55"/>
  <c r="AP156" i="55" s="1"/>
  <c r="AK156" i="55"/>
  <c r="AL156" i="55" s="1"/>
  <c r="AF156" i="55"/>
  <c r="AG156" i="55" s="1"/>
  <c r="AR155" i="55"/>
  <c r="AS155" i="55" s="1"/>
  <c r="AR154" i="55"/>
  <c r="Q152" i="55"/>
  <c r="N152" i="55"/>
  <c r="G152" i="55"/>
  <c r="H152" i="55" s="1"/>
  <c r="AD151" i="55"/>
  <c r="J151" i="55"/>
  <c r="I106" i="73" s="1"/>
  <c r="H151" i="55"/>
  <c r="Q150" i="55"/>
  <c r="G150" i="55"/>
  <c r="AE149" i="55"/>
  <c r="AD149" i="55" s="1"/>
  <c r="Q149" i="55"/>
  <c r="N149" i="55"/>
  <c r="G149" i="55"/>
  <c r="H149" i="55" s="1"/>
  <c r="P148" i="55"/>
  <c r="N148" i="55"/>
  <c r="F148" i="55"/>
  <c r="H148" i="55" s="1"/>
  <c r="BU147" i="55"/>
  <c r="BH147" i="55" s="1"/>
  <c r="AE147" i="55"/>
  <c r="AD147" i="55" s="1"/>
  <c r="N147" i="55"/>
  <c r="G147" i="55"/>
  <c r="H147" i="55" s="1"/>
  <c r="J146" i="55"/>
  <c r="AR146" i="55" s="1"/>
  <c r="H146" i="55"/>
  <c r="J145" i="55"/>
  <c r="AR145" i="55" s="1"/>
  <c r="H145" i="55"/>
  <c r="J144" i="55"/>
  <c r="I59" i="73" s="1"/>
  <c r="H144" i="55"/>
  <c r="J143" i="55"/>
  <c r="AR143" i="55" s="1"/>
  <c r="AP143" i="55" s="1"/>
  <c r="H143" i="55"/>
  <c r="Q142" i="55"/>
  <c r="G142" i="55"/>
  <c r="AD141" i="55"/>
  <c r="Q141" i="55"/>
  <c r="N141" i="55"/>
  <c r="G141" i="55"/>
  <c r="H141" i="55" s="1"/>
  <c r="J140" i="55"/>
  <c r="AR140" i="55" s="1"/>
  <c r="H140" i="55"/>
  <c r="J139" i="55"/>
  <c r="AR139" i="55" s="1"/>
  <c r="H139" i="55"/>
  <c r="J138" i="55"/>
  <c r="AR138" i="55" s="1"/>
  <c r="AP138" i="55" s="1"/>
  <c r="H138" i="55"/>
  <c r="P137" i="55"/>
  <c r="F137" i="55"/>
  <c r="Q136" i="55"/>
  <c r="P136" i="55"/>
  <c r="F136" i="55"/>
  <c r="J135" i="55"/>
  <c r="AR135" i="55" s="1"/>
  <c r="AP135" i="55" s="1"/>
  <c r="H135" i="55"/>
  <c r="J134" i="55"/>
  <c r="AR134" i="55" s="1"/>
  <c r="H134" i="55"/>
  <c r="AR132" i="55"/>
  <c r="AP132" i="55" s="1"/>
  <c r="AK132" i="55"/>
  <c r="AL132" i="55" s="1"/>
  <c r="AF132" i="55"/>
  <c r="AG132" i="55" s="1"/>
  <c r="AR131" i="55"/>
  <c r="AK131" i="55"/>
  <c r="AL131" i="55" s="1"/>
  <c r="AF131" i="55"/>
  <c r="AG131" i="55" s="1"/>
  <c r="AR130" i="55"/>
  <c r="AS130" i="55" s="1"/>
  <c r="AK130" i="55"/>
  <c r="AL130" i="55" s="1"/>
  <c r="AF130" i="55"/>
  <c r="AG130" i="55" s="1"/>
  <c r="AR129" i="55"/>
  <c r="AS129" i="55" s="1"/>
  <c r="AK129" i="55"/>
  <c r="AL129" i="55" s="1"/>
  <c r="AF129" i="55"/>
  <c r="AG129" i="55" s="1"/>
  <c r="AR128" i="55"/>
  <c r="AP128" i="55" s="1"/>
  <c r="AK128" i="55"/>
  <c r="AL128" i="55" s="1"/>
  <c r="AF128" i="55"/>
  <c r="AG128" i="55" s="1"/>
  <c r="AR127" i="55"/>
  <c r="AP127" i="55" s="1"/>
  <c r="AK127" i="55"/>
  <c r="AL127" i="55" s="1"/>
  <c r="AF127" i="55"/>
  <c r="AG127" i="55" s="1"/>
  <c r="AR126" i="55"/>
  <c r="AS126" i="55" s="1"/>
  <c r="AK126" i="55"/>
  <c r="AL126" i="55" s="1"/>
  <c r="AF126" i="55"/>
  <c r="AG126" i="55" s="1"/>
  <c r="AR125" i="55"/>
  <c r="AS125" i="55" s="1"/>
  <c r="AK125" i="55"/>
  <c r="AL125" i="55" s="1"/>
  <c r="AF125" i="55"/>
  <c r="AG125" i="55" s="1"/>
  <c r="AR124" i="55"/>
  <c r="AR123" i="55"/>
  <c r="AR122" i="55"/>
  <c r="AP122" i="55" s="1"/>
  <c r="AK122" i="55"/>
  <c r="AL122" i="55" s="1"/>
  <c r="AF122" i="55"/>
  <c r="AG122" i="55" s="1"/>
  <c r="AA121" i="55"/>
  <c r="AA133" i="55" s="1"/>
  <c r="AA153" i="55" s="1"/>
  <c r="Z121" i="55"/>
  <c r="Z133" i="55" s="1"/>
  <c r="Z153" i="55" s="1"/>
  <c r="Y121" i="55"/>
  <c r="Y133" i="55" s="1"/>
  <c r="Y153" i="55" s="1"/>
  <c r="J120" i="55"/>
  <c r="AR120" i="55" s="1"/>
  <c r="H120" i="55"/>
  <c r="P119" i="55"/>
  <c r="F119" i="55"/>
  <c r="H119" i="55" s="1"/>
  <c r="J118" i="55"/>
  <c r="AR118" i="55" s="1"/>
  <c r="H118" i="55"/>
  <c r="J117" i="55"/>
  <c r="AR117" i="55" s="1"/>
  <c r="H117" i="55"/>
  <c r="P116" i="55"/>
  <c r="F116" i="55"/>
  <c r="H116" i="55" s="1"/>
  <c r="J115" i="55"/>
  <c r="AR115" i="55" s="1"/>
  <c r="H115" i="55"/>
  <c r="Q114" i="55"/>
  <c r="G114" i="55"/>
  <c r="J113" i="55"/>
  <c r="AR113" i="55" s="1"/>
  <c r="H113" i="55"/>
  <c r="N112" i="55"/>
  <c r="J112" i="55" s="1"/>
  <c r="H112" i="55"/>
  <c r="Q111" i="55"/>
  <c r="N111" i="55"/>
  <c r="G111" i="55"/>
  <c r="H111" i="55" s="1"/>
  <c r="J110" i="55"/>
  <c r="AR110" i="55" s="1"/>
  <c r="H110" i="55"/>
  <c r="J109" i="55"/>
  <c r="AR109" i="55" s="1"/>
  <c r="H109" i="55"/>
  <c r="J108" i="55"/>
  <c r="AR108" i="55" s="1"/>
  <c r="H108" i="55"/>
  <c r="J107" i="55"/>
  <c r="AR107" i="55" s="1"/>
  <c r="H107" i="55"/>
  <c r="D107" i="55"/>
  <c r="J106" i="55"/>
  <c r="AR106" i="55" s="1"/>
  <c r="H106" i="55"/>
  <c r="D106" i="55"/>
  <c r="J105" i="55"/>
  <c r="H105" i="55"/>
  <c r="J104" i="55"/>
  <c r="AR104" i="55" s="1"/>
  <c r="AP104" i="55" s="1"/>
  <c r="H104" i="55"/>
  <c r="J103" i="55"/>
  <c r="AR103" i="55" s="1"/>
  <c r="H103" i="55"/>
  <c r="J102" i="55"/>
  <c r="AR102" i="55" s="1"/>
  <c r="H102" i="55"/>
  <c r="J101" i="55"/>
  <c r="AR101" i="55" s="1"/>
  <c r="AS101" i="55" s="1"/>
  <c r="H101" i="55"/>
  <c r="J100" i="55"/>
  <c r="AR100" i="55" s="1"/>
  <c r="AR98" i="55"/>
  <c r="AS98" i="55" s="1"/>
  <c r="AK98" i="55"/>
  <c r="AL98" i="55" s="1"/>
  <c r="AF98" i="55"/>
  <c r="AG98" i="55" s="1"/>
  <c r="AR97" i="55"/>
  <c r="AP97" i="55" s="1"/>
  <c r="AK97" i="55"/>
  <c r="AL97" i="55" s="1"/>
  <c r="AF97" i="55"/>
  <c r="AG97" i="55" s="1"/>
  <c r="AR96" i="55"/>
  <c r="AS96" i="55" s="1"/>
  <c r="AK96" i="55"/>
  <c r="AL96" i="55" s="1"/>
  <c r="AF96" i="55"/>
  <c r="AG96" i="55" s="1"/>
  <c r="AR95" i="55"/>
  <c r="AS95" i="55" s="1"/>
  <c r="AK95" i="55"/>
  <c r="AL95" i="55" s="1"/>
  <c r="AF95" i="55"/>
  <c r="AG95" i="55" s="1"/>
  <c r="AR94" i="55"/>
  <c r="AS94" i="55" s="1"/>
  <c r="AK94" i="55"/>
  <c r="AL94" i="55" s="1"/>
  <c r="AF94" i="55"/>
  <c r="AG94" i="55" s="1"/>
  <c r="AR93" i="55"/>
  <c r="AP93" i="55" s="1"/>
  <c r="AK93" i="55"/>
  <c r="AL93" i="55" s="1"/>
  <c r="AF93" i="55"/>
  <c r="AG93" i="55" s="1"/>
  <c r="AR92" i="55"/>
  <c r="AS92" i="55" s="1"/>
  <c r="AK92" i="55"/>
  <c r="AL92" i="55" s="1"/>
  <c r="AF92" i="55"/>
  <c r="AG92" i="55" s="1"/>
  <c r="AR91" i="55"/>
  <c r="AS91" i="55" s="1"/>
  <c r="AK91" i="55"/>
  <c r="AL91" i="55" s="1"/>
  <c r="AF91" i="55"/>
  <c r="AG91" i="55" s="1"/>
  <c r="AR90" i="55"/>
  <c r="AP90" i="55" s="1"/>
  <c r="AK90" i="55"/>
  <c r="AL90" i="55" s="1"/>
  <c r="AF90" i="55"/>
  <c r="AG90" i="55" s="1"/>
  <c r="AR89" i="55"/>
  <c r="AR88" i="55"/>
  <c r="AR87" i="55"/>
  <c r="AS87" i="55" s="1"/>
  <c r="AK87" i="55"/>
  <c r="AL87" i="55" s="1"/>
  <c r="AF87" i="55"/>
  <c r="AG87" i="55" s="1"/>
  <c r="AA86" i="55"/>
  <c r="AA99" i="55" s="1"/>
  <c r="Z86" i="55"/>
  <c r="Z99" i="55" s="1"/>
  <c r="Y86" i="55"/>
  <c r="Y99" i="55" s="1"/>
  <c r="Q85" i="55"/>
  <c r="G85" i="55"/>
  <c r="H85" i="55" s="1"/>
  <c r="Q84" i="55"/>
  <c r="G84" i="55"/>
  <c r="H84" i="55" s="1"/>
  <c r="P83" i="55"/>
  <c r="F83" i="55"/>
  <c r="H83" i="55" s="1"/>
  <c r="D83" i="55"/>
  <c r="J82" i="55"/>
  <c r="AR82" i="55" s="1"/>
  <c r="H82" i="55"/>
  <c r="J81" i="55"/>
  <c r="AR81" i="55" s="1"/>
  <c r="H81" i="55"/>
  <c r="P80" i="55"/>
  <c r="F80" i="55"/>
  <c r="J79" i="55"/>
  <c r="AR79" i="55" s="1"/>
  <c r="H79" i="55"/>
  <c r="Q78" i="55"/>
  <c r="G78" i="55"/>
  <c r="J77" i="55"/>
  <c r="AR77" i="55" s="1"/>
  <c r="H77" i="55"/>
  <c r="Z76" i="55"/>
  <c r="J76" i="55"/>
  <c r="H76" i="55"/>
  <c r="Z75" i="55"/>
  <c r="P75" i="55"/>
  <c r="F75" i="55"/>
  <c r="H75" i="55" s="1"/>
  <c r="Z74" i="55"/>
  <c r="P74" i="55"/>
  <c r="F74" i="55"/>
  <c r="Z73" i="55"/>
  <c r="J73" i="55"/>
  <c r="AR73" i="55" s="1"/>
  <c r="H73" i="55"/>
  <c r="Z72" i="55"/>
  <c r="P72" i="55"/>
  <c r="F72" i="55"/>
  <c r="J71" i="55"/>
  <c r="H71" i="55"/>
  <c r="P70" i="55"/>
  <c r="F70" i="55"/>
  <c r="H70" i="55" s="1"/>
  <c r="AR68" i="55"/>
  <c r="AP68" i="55" s="1"/>
  <c r="AK68" i="55"/>
  <c r="AL68" i="55" s="1"/>
  <c r="AF68" i="55"/>
  <c r="AG68" i="55" s="1"/>
  <c r="AR67" i="55"/>
  <c r="AS67" i="55" s="1"/>
  <c r="AK67" i="55"/>
  <c r="AL67" i="55" s="1"/>
  <c r="AF67" i="55"/>
  <c r="AG67" i="55" s="1"/>
  <c r="AR66" i="55"/>
  <c r="AS66" i="55" s="1"/>
  <c r="AK66" i="55"/>
  <c r="AL66" i="55" s="1"/>
  <c r="AF66" i="55"/>
  <c r="AG66" i="55" s="1"/>
  <c r="AR65" i="55"/>
  <c r="AP65" i="55" s="1"/>
  <c r="AK65" i="55"/>
  <c r="AL65" i="55" s="1"/>
  <c r="AF65" i="55"/>
  <c r="AG65" i="55" s="1"/>
  <c r="AR64" i="55"/>
  <c r="AP64" i="55" s="1"/>
  <c r="AK64" i="55"/>
  <c r="AL64" i="55" s="1"/>
  <c r="AF64" i="55"/>
  <c r="AG64" i="55" s="1"/>
  <c r="AR63" i="55"/>
  <c r="AP63" i="55" s="1"/>
  <c r="AK63" i="55"/>
  <c r="AL63" i="55" s="1"/>
  <c r="AF63" i="55"/>
  <c r="AG63" i="55" s="1"/>
  <c r="AR62" i="55"/>
  <c r="AS62" i="55" s="1"/>
  <c r="AK62" i="55"/>
  <c r="AL62" i="55" s="1"/>
  <c r="AF62" i="55"/>
  <c r="AG62" i="55" s="1"/>
  <c r="AR61" i="55"/>
  <c r="AP61" i="55" s="1"/>
  <c r="AK61" i="55"/>
  <c r="AL61" i="55" s="1"/>
  <c r="AF61" i="55"/>
  <c r="AG61" i="55" s="1"/>
  <c r="AR60" i="55"/>
  <c r="AP60" i="55" s="1"/>
  <c r="AK60" i="55"/>
  <c r="AL60" i="55" s="1"/>
  <c r="AF60" i="55"/>
  <c r="AG60" i="55" s="1"/>
  <c r="AR59" i="55"/>
  <c r="AR58" i="55"/>
  <c r="AR57" i="55"/>
  <c r="AP57" i="55" s="1"/>
  <c r="AA56" i="55"/>
  <c r="P55" i="55"/>
  <c r="F55" i="55"/>
  <c r="H55" i="55" s="1"/>
  <c r="P54" i="55"/>
  <c r="N54" i="55"/>
  <c r="F54" i="55"/>
  <c r="H54" i="55" s="1"/>
  <c r="Q53" i="55"/>
  <c r="G53" i="55"/>
  <c r="H53" i="55" s="1"/>
  <c r="P52" i="55"/>
  <c r="N52" i="55"/>
  <c r="F52" i="55"/>
  <c r="H52" i="55" s="1"/>
  <c r="P51" i="55"/>
  <c r="F51" i="55"/>
  <c r="P50" i="55"/>
  <c r="F50" i="55"/>
  <c r="H50" i="55" s="1"/>
  <c r="J49" i="55"/>
  <c r="AR49" i="55" s="1"/>
  <c r="AP49" i="55" s="1"/>
  <c r="H49" i="55"/>
  <c r="Z48" i="55"/>
  <c r="J48" i="55"/>
  <c r="AR48" i="55" s="1"/>
  <c r="AS48" i="55" s="1"/>
  <c r="H48" i="55"/>
  <c r="Z47" i="55"/>
  <c r="Q47" i="55"/>
  <c r="G47" i="55"/>
  <c r="Z46" i="55"/>
  <c r="J46" i="55"/>
  <c r="AR46" i="55" s="1"/>
  <c r="AS46" i="55" s="1"/>
  <c r="H46" i="55"/>
  <c r="Z45" i="55"/>
  <c r="J45" i="55"/>
  <c r="AR45" i="55" s="1"/>
  <c r="AP45" i="55" s="1"/>
  <c r="H45" i="55"/>
  <c r="Z44" i="55"/>
  <c r="Q44" i="55"/>
  <c r="G44" i="55"/>
  <c r="H44" i="55" s="1"/>
  <c r="Z43" i="55"/>
  <c r="Q43" i="55"/>
  <c r="G43" i="55"/>
  <c r="H43" i="55" s="1"/>
  <c r="Z42" i="55"/>
  <c r="Q42" i="55"/>
  <c r="G42" i="55"/>
  <c r="Z41" i="55"/>
  <c r="Q41" i="55"/>
  <c r="J41" i="55" s="1"/>
  <c r="H41" i="55"/>
  <c r="Y40" i="55"/>
  <c r="Y56" i="55" s="1"/>
  <c r="Y69" i="55" s="1"/>
  <c r="AR39" i="55"/>
  <c r="AS39" i="55" s="1"/>
  <c r="AK39" i="55"/>
  <c r="AL39" i="55" s="1"/>
  <c r="AF39" i="55"/>
  <c r="AG39" i="55" s="1"/>
  <c r="AR38" i="55"/>
  <c r="AS38" i="55" s="1"/>
  <c r="AK38" i="55"/>
  <c r="AL38" i="55" s="1"/>
  <c r="AF38" i="55"/>
  <c r="AG38" i="55" s="1"/>
  <c r="AR37" i="55"/>
  <c r="AP37" i="55" s="1"/>
  <c r="AK37" i="55"/>
  <c r="AL37" i="55" s="1"/>
  <c r="AF37" i="55"/>
  <c r="AG37" i="55" s="1"/>
  <c r="AR36" i="55"/>
  <c r="AP36" i="55" s="1"/>
  <c r="AK36" i="55"/>
  <c r="AL36" i="55" s="1"/>
  <c r="AF36" i="55"/>
  <c r="AG36" i="55" s="1"/>
  <c r="AR35" i="55"/>
  <c r="AS35" i="55" s="1"/>
  <c r="AK35" i="55"/>
  <c r="AL35" i="55" s="1"/>
  <c r="AF35" i="55"/>
  <c r="AG35" i="55" s="1"/>
  <c r="AR34" i="55"/>
  <c r="AS34" i="55" s="1"/>
  <c r="AK34" i="55"/>
  <c r="AL34" i="55" s="1"/>
  <c r="AF34" i="55"/>
  <c r="AG34" i="55" s="1"/>
  <c r="AR33" i="55"/>
  <c r="AP33" i="55" s="1"/>
  <c r="AK33" i="55"/>
  <c r="AL33" i="55" s="1"/>
  <c r="AF33" i="55"/>
  <c r="AG33" i="55" s="1"/>
  <c r="AR32" i="55"/>
  <c r="AP32" i="55" s="1"/>
  <c r="AK32" i="55"/>
  <c r="AL32" i="55" s="1"/>
  <c r="AF32" i="55"/>
  <c r="AG32" i="55" s="1"/>
  <c r="AR31" i="55"/>
  <c r="AR30" i="55"/>
  <c r="X29" i="55"/>
  <c r="X40" i="55" s="1"/>
  <c r="X56" i="55" s="1"/>
  <c r="X69" i="55" s="1"/>
  <c r="X86" i="55" s="1"/>
  <c r="X99" i="55" s="1"/>
  <c r="X121" i="55" s="1"/>
  <c r="X133" i="55" s="1"/>
  <c r="X153" i="55" s="1"/>
  <c r="X164" i="55" s="1"/>
  <c r="X180" i="55" s="1"/>
  <c r="X190" i="55" s="1"/>
  <c r="X208" i="55" s="1"/>
  <c r="X220" i="55" s="1"/>
  <c r="X237" i="55" s="1"/>
  <c r="X249" i="55" s="1"/>
  <c r="X269" i="55" s="1"/>
  <c r="X281" i="55" s="1"/>
  <c r="X301" i="55" s="1"/>
  <c r="X311" i="55" s="1"/>
  <c r="V29" i="55"/>
  <c r="V40" i="55" s="1"/>
  <c r="V56" i="55" s="1"/>
  <c r="V69" i="55" s="1"/>
  <c r="V86" i="55" s="1"/>
  <c r="V99" i="55" s="1"/>
  <c r="V121" i="55" s="1"/>
  <c r="V133" i="55" s="1"/>
  <c r="V153" i="55" s="1"/>
  <c r="V164" i="55" s="1"/>
  <c r="V180" i="55" s="1"/>
  <c r="V190" i="55" s="1"/>
  <c r="V208" i="55" s="1"/>
  <c r="V220" i="55" s="1"/>
  <c r="V237" i="55" s="1"/>
  <c r="V249" i="55" s="1"/>
  <c r="V269" i="55" s="1"/>
  <c r="V281" i="55" s="1"/>
  <c r="V301" i="55" s="1"/>
  <c r="V311" i="55" s="1"/>
  <c r="V328" i="55" s="1"/>
  <c r="V340" i="55" s="1"/>
  <c r="U29" i="55"/>
  <c r="U40" i="55" s="1"/>
  <c r="U56" i="55" s="1"/>
  <c r="U69" i="55" s="1"/>
  <c r="U86" i="55" s="1"/>
  <c r="U99" i="55" s="1"/>
  <c r="U121" i="55" s="1"/>
  <c r="U133" i="55" s="1"/>
  <c r="U153" i="55" s="1"/>
  <c r="U164" i="55" s="1"/>
  <c r="U180" i="55" s="1"/>
  <c r="U190" i="55" s="1"/>
  <c r="U208" i="55" s="1"/>
  <c r="U220" i="55" s="1"/>
  <c r="U237" i="55" s="1"/>
  <c r="U249" i="55" s="1"/>
  <c r="U269" i="55" s="1"/>
  <c r="U281" i="55" s="1"/>
  <c r="U301" i="55" s="1"/>
  <c r="U311" i="55" s="1"/>
  <c r="U328" i="55" s="1"/>
  <c r="U340" i="55" s="1"/>
  <c r="T29" i="55"/>
  <c r="T40" i="55" s="1"/>
  <c r="T56" i="55" s="1"/>
  <c r="T69" i="55" s="1"/>
  <c r="T86" i="55" s="1"/>
  <c r="T99" i="55" s="1"/>
  <c r="T121" i="55" s="1"/>
  <c r="T133" i="55" s="1"/>
  <c r="T153" i="55" s="1"/>
  <c r="T164" i="55" s="1"/>
  <c r="T180" i="55" s="1"/>
  <c r="T190" i="55" s="1"/>
  <c r="T208" i="55" s="1"/>
  <c r="T220" i="55" s="1"/>
  <c r="T237" i="55" s="1"/>
  <c r="T249" i="55" s="1"/>
  <c r="T269" i="55" s="1"/>
  <c r="T281" i="55" s="1"/>
  <c r="T301" i="55" s="1"/>
  <c r="T311" i="55" s="1"/>
  <c r="T328" i="55" s="1"/>
  <c r="T340" i="55" s="1"/>
  <c r="S29" i="55"/>
  <c r="S40" i="55" s="1"/>
  <c r="S56" i="55" s="1"/>
  <c r="S69" i="55" s="1"/>
  <c r="S86" i="55" s="1"/>
  <c r="S99" i="55" s="1"/>
  <c r="S121" i="55" s="1"/>
  <c r="S133" i="55" s="1"/>
  <c r="S153" i="55" s="1"/>
  <c r="S164" i="55" s="1"/>
  <c r="S180" i="55" s="1"/>
  <c r="S190" i="55" s="1"/>
  <c r="S208" i="55" s="1"/>
  <c r="S220" i="55" s="1"/>
  <c r="S237" i="55" s="1"/>
  <c r="S249" i="55" s="1"/>
  <c r="S269" i="55" s="1"/>
  <c r="S281" i="55" s="1"/>
  <c r="S301" i="55" s="1"/>
  <c r="S311" i="55" s="1"/>
  <c r="S328" i="55" s="1"/>
  <c r="S340" i="55" s="1"/>
  <c r="R29" i="55"/>
  <c r="R40" i="55" s="1"/>
  <c r="R56" i="55" s="1"/>
  <c r="R69" i="55" s="1"/>
  <c r="R86" i="55" s="1"/>
  <c r="R99" i="55" s="1"/>
  <c r="R121" i="55" s="1"/>
  <c r="R133" i="55" s="1"/>
  <c r="R153" i="55" s="1"/>
  <c r="R164" i="55" s="1"/>
  <c r="R180" i="55" s="1"/>
  <c r="R190" i="55" s="1"/>
  <c r="R208" i="55" s="1"/>
  <c r="R220" i="55" s="1"/>
  <c r="R237" i="55" s="1"/>
  <c r="R249" i="55" s="1"/>
  <c r="R269" i="55" s="1"/>
  <c r="R281" i="55" s="1"/>
  <c r="R301" i="55" s="1"/>
  <c r="R311" i="55" s="1"/>
  <c r="R328" i="55" s="1"/>
  <c r="R340" i="55" s="1"/>
  <c r="O29" i="55"/>
  <c r="O40" i="55" s="1"/>
  <c r="O56" i="55" s="1"/>
  <c r="O69" i="55" s="1"/>
  <c r="O86" i="55" s="1"/>
  <c r="O99" i="55" s="1"/>
  <c r="O121" i="55" s="1"/>
  <c r="O133" i="55" s="1"/>
  <c r="O153" i="55" s="1"/>
  <c r="O164" i="55" s="1"/>
  <c r="O180" i="55" s="1"/>
  <c r="O190" i="55" s="1"/>
  <c r="O208" i="55" s="1"/>
  <c r="O220" i="55" s="1"/>
  <c r="O237" i="55" s="1"/>
  <c r="O249" i="55" s="1"/>
  <c r="O269" i="55" s="1"/>
  <c r="O281" i="55" s="1"/>
  <c r="O301" i="55" s="1"/>
  <c r="O311" i="55" s="1"/>
  <c r="O328" i="55" s="1"/>
  <c r="O340" i="55" s="1"/>
  <c r="M29" i="55"/>
  <c r="M40" i="55" s="1"/>
  <c r="M56" i="55" s="1"/>
  <c r="M69" i="55" s="1"/>
  <c r="M86" i="55" s="1"/>
  <c r="M99" i="55" s="1"/>
  <c r="M121" i="55" s="1"/>
  <c r="M133" i="55" s="1"/>
  <c r="M153" i="55" s="1"/>
  <c r="M164" i="55" s="1"/>
  <c r="M180" i="55" s="1"/>
  <c r="M190" i="55" s="1"/>
  <c r="M208" i="55" s="1"/>
  <c r="M220" i="55" s="1"/>
  <c r="M237" i="55" s="1"/>
  <c r="M249" i="55" s="1"/>
  <c r="M269" i="55" s="1"/>
  <c r="M281" i="55" s="1"/>
  <c r="M301" i="55" s="1"/>
  <c r="M311" i="55" s="1"/>
  <c r="M328" i="55" s="1"/>
  <c r="M340" i="55" s="1"/>
  <c r="L29" i="55"/>
  <c r="L40" i="55" s="1"/>
  <c r="L56" i="55" s="1"/>
  <c r="L69" i="55" s="1"/>
  <c r="L86" i="55" s="1"/>
  <c r="L99" i="55" s="1"/>
  <c r="L121" i="55" s="1"/>
  <c r="L133" i="55" s="1"/>
  <c r="L153" i="55" s="1"/>
  <c r="L164" i="55" s="1"/>
  <c r="L180" i="55" s="1"/>
  <c r="L190" i="55" s="1"/>
  <c r="L208" i="55" s="1"/>
  <c r="L220" i="55" s="1"/>
  <c r="L237" i="55" s="1"/>
  <c r="L249" i="55" s="1"/>
  <c r="L269" i="55" s="1"/>
  <c r="L281" i="55" s="1"/>
  <c r="L301" i="55" s="1"/>
  <c r="L311" i="55" s="1"/>
  <c r="L328" i="55" s="1"/>
  <c r="L340" i="55" s="1"/>
  <c r="K29" i="55"/>
  <c r="K40" i="55" s="1"/>
  <c r="K56" i="55" s="1"/>
  <c r="K69" i="55" s="1"/>
  <c r="K86" i="55" s="1"/>
  <c r="K99" i="55" s="1"/>
  <c r="K121" i="55" s="1"/>
  <c r="K133" i="55" s="1"/>
  <c r="K153" i="55" s="1"/>
  <c r="K164" i="55" s="1"/>
  <c r="K180" i="55" s="1"/>
  <c r="K190" i="55" s="1"/>
  <c r="K208" i="55" s="1"/>
  <c r="K220" i="55" s="1"/>
  <c r="K237" i="55" s="1"/>
  <c r="K249" i="55" s="1"/>
  <c r="K269" i="55" s="1"/>
  <c r="K281" i="55" s="1"/>
  <c r="K301" i="55" s="1"/>
  <c r="K311" i="55" s="1"/>
  <c r="K328" i="55" s="1"/>
  <c r="K340" i="55" s="1"/>
  <c r="I29" i="55"/>
  <c r="I40" i="55" s="1"/>
  <c r="I56" i="55" s="1"/>
  <c r="I69" i="55" s="1"/>
  <c r="I86" i="55" s="1"/>
  <c r="I99" i="55" s="1"/>
  <c r="I121" i="55" s="1"/>
  <c r="I133" i="55" s="1"/>
  <c r="I153" i="55" s="1"/>
  <c r="I164" i="55" s="1"/>
  <c r="I180" i="55" s="1"/>
  <c r="I190" i="55" s="1"/>
  <c r="I208" i="55" s="1"/>
  <c r="I220" i="55" s="1"/>
  <c r="I237" i="55" s="1"/>
  <c r="I249" i="55" s="1"/>
  <c r="I269" i="55" s="1"/>
  <c r="I281" i="55" s="1"/>
  <c r="I301" i="55" s="1"/>
  <c r="I311" i="55" s="1"/>
  <c r="I328" i="55" s="1"/>
  <c r="I340" i="55" s="1"/>
  <c r="F29" i="55"/>
  <c r="F40" i="55" s="1"/>
  <c r="E29" i="55"/>
  <c r="E40" i="55" s="1"/>
  <c r="Q28" i="55"/>
  <c r="J28" i="55" s="1"/>
  <c r="AR28" i="55" s="1"/>
  <c r="J27" i="55"/>
  <c r="AR27" i="55" s="1"/>
  <c r="H27" i="55"/>
  <c r="Q26" i="55"/>
  <c r="N26" i="55"/>
  <c r="H26" i="55"/>
  <c r="AU25" i="55"/>
  <c r="AU29" i="55" s="1"/>
  <c r="AU40" i="55" s="1"/>
  <c r="AU56" i="55" s="1"/>
  <c r="AU69" i="55" s="1"/>
  <c r="AU86" i="55" s="1"/>
  <c r="AU99" i="55" s="1"/>
  <c r="AU121" i="55" s="1"/>
  <c r="AU133" i="55" s="1"/>
  <c r="AU153" i="55" s="1"/>
  <c r="AU164" i="55" s="1"/>
  <c r="AU180" i="55" s="1"/>
  <c r="AU190" i="55" s="1"/>
  <c r="AU208" i="55" s="1"/>
  <c r="AU220" i="55" s="1"/>
  <c r="AU237" i="55" s="1"/>
  <c r="AU249" i="55" s="1"/>
  <c r="AU269" i="55" s="1"/>
  <c r="AU281" i="55" s="1"/>
  <c r="AU301" i="55" s="1"/>
  <c r="AU311" i="55" s="1"/>
  <c r="AU328" i="55" s="1"/>
  <c r="AU340" i="55" s="1"/>
  <c r="AU397" i="55" s="1"/>
  <c r="P25" i="55"/>
  <c r="J25" i="55" s="1"/>
  <c r="AR25" i="55" s="1"/>
  <c r="H25" i="55"/>
  <c r="N24" i="55"/>
  <c r="J24" i="55" s="1"/>
  <c r="H24" i="55"/>
  <c r="AO23" i="55"/>
  <c r="Q23" i="55"/>
  <c r="N23" i="55"/>
  <c r="H23" i="55"/>
  <c r="AO22" i="55"/>
  <c r="Q22" i="55"/>
  <c r="J22" i="55" s="1"/>
  <c r="H22" i="55"/>
  <c r="Q21" i="55"/>
  <c r="N21" i="55"/>
  <c r="H21" i="55"/>
  <c r="AO20" i="55"/>
  <c r="AE20" i="55"/>
  <c r="AD20" i="55" s="1"/>
  <c r="Q20" i="55"/>
  <c r="N20" i="55"/>
  <c r="Q19" i="55"/>
  <c r="N19" i="55"/>
  <c r="H19" i="55"/>
  <c r="J18" i="55"/>
  <c r="AR18" i="55" s="1"/>
  <c r="H18" i="55"/>
  <c r="Q17" i="55"/>
  <c r="N17" i="55"/>
  <c r="H17" i="55"/>
  <c r="Q16" i="55"/>
  <c r="H16" i="55"/>
  <c r="AQ15" i="55"/>
  <c r="AE15" i="55"/>
  <c r="AD15" i="55" s="1"/>
  <c r="Q15" i="55"/>
  <c r="J15" i="55" s="1"/>
  <c r="AR15" i="55" s="1"/>
  <c r="H15" i="55"/>
  <c r="Q14" i="55"/>
  <c r="J14" i="55" s="1"/>
  <c r="H14" i="55"/>
  <c r="Q13" i="55"/>
  <c r="J13" i="55" s="1"/>
  <c r="AR13" i="55" s="1"/>
  <c r="AS13" i="55" s="1"/>
  <c r="H13" i="55"/>
  <c r="J12" i="55"/>
  <c r="H12" i="55"/>
  <c r="R230" i="14"/>
  <c r="R79" i="14"/>
  <c r="R78" i="14"/>
  <c r="R77" i="14"/>
  <c r="S75" i="14"/>
  <c r="S74" i="14"/>
  <c r="R71" i="14"/>
  <c r="R70" i="14"/>
  <c r="S68" i="14"/>
  <c r="R68" i="14"/>
  <c r="R66" i="14"/>
  <c r="R65" i="14"/>
  <c r="R57" i="14"/>
  <c r="R55" i="14"/>
  <c r="U135" i="50"/>
  <c r="F132" i="50"/>
  <c r="P131" i="50"/>
  <c r="N131" i="50"/>
  <c r="J131" i="50"/>
  <c r="G131" i="50"/>
  <c r="I130" i="50"/>
  <c r="T130" i="50" s="1"/>
  <c r="U130" i="50" s="1"/>
  <c r="I129" i="50"/>
  <c r="T129" i="50" s="1"/>
  <c r="U129" i="50" s="1"/>
  <c r="U128" i="50"/>
  <c r="I127" i="50"/>
  <c r="T127" i="50" s="1"/>
  <c r="U127" i="50" s="1"/>
  <c r="I126" i="50"/>
  <c r="T126" i="50" s="1"/>
  <c r="U126" i="50" s="1"/>
  <c r="I125" i="50"/>
  <c r="T125" i="50" s="1"/>
  <c r="U125" i="50" s="1"/>
  <c r="T124" i="50"/>
  <c r="U124" i="50" s="1"/>
  <c r="U123" i="50"/>
  <c r="I121" i="50"/>
  <c r="I131" i="50" s="1"/>
  <c r="I98" i="50"/>
  <c r="T98" i="50" s="1"/>
  <c r="U98" i="50" s="1"/>
  <c r="I97" i="50"/>
  <c r="T97" i="50" s="1"/>
  <c r="U97" i="50" s="1"/>
  <c r="I96" i="50"/>
  <c r="T96" i="50" s="1"/>
  <c r="U96" i="50" s="1"/>
  <c r="I95" i="50"/>
  <c r="T95" i="50" s="1"/>
  <c r="U95" i="50" s="1"/>
  <c r="I94" i="50"/>
  <c r="T94" i="50" s="1"/>
  <c r="U94" i="50" s="1"/>
  <c r="I93" i="50"/>
  <c r="T93" i="50" s="1"/>
  <c r="U93" i="50" s="1"/>
  <c r="I92" i="50"/>
  <c r="T92" i="50" s="1"/>
  <c r="U92" i="50" s="1"/>
  <c r="I91" i="50"/>
  <c r="T91" i="50" s="1"/>
  <c r="U91" i="50" s="1"/>
  <c r="I90" i="50"/>
  <c r="T90" i="50" s="1"/>
  <c r="U90" i="50" s="1"/>
  <c r="I89" i="50"/>
  <c r="T89" i="50" s="1"/>
  <c r="U89" i="50" s="1"/>
  <c r="I88" i="50"/>
  <c r="T88" i="50" s="1"/>
  <c r="U88" i="50" s="1"/>
  <c r="I87" i="50"/>
  <c r="I86" i="50"/>
  <c r="T86" i="50" s="1"/>
  <c r="U86" i="50" s="1"/>
  <c r="I85" i="50"/>
  <c r="T85" i="50" s="1"/>
  <c r="U85" i="50" s="1"/>
  <c r="I84" i="50"/>
  <c r="T84" i="50" s="1"/>
  <c r="U84" i="50" s="1"/>
  <c r="I83" i="50"/>
  <c r="T83" i="50" s="1"/>
  <c r="U83" i="50" s="1"/>
  <c r="I82" i="50"/>
  <c r="T82" i="50" s="1"/>
  <c r="U82" i="50" s="1"/>
  <c r="I81" i="50"/>
  <c r="T81" i="50" s="1"/>
  <c r="U81" i="50" s="1"/>
  <c r="I80" i="50"/>
  <c r="T80" i="50" s="1"/>
  <c r="U80" i="50" s="1"/>
  <c r="V78" i="50"/>
  <c r="F78" i="50"/>
  <c r="F110" i="50" s="1"/>
  <c r="F120" i="50" s="1"/>
  <c r="T74" i="50"/>
  <c r="U74" i="50" s="1"/>
  <c r="T73" i="50"/>
  <c r="U73" i="50" s="1"/>
  <c r="T72" i="50"/>
  <c r="U72" i="50" s="1"/>
  <c r="T71" i="50"/>
  <c r="U71" i="50" s="1"/>
  <c r="T70" i="50"/>
  <c r="U70" i="50" s="1"/>
  <c r="T69" i="50"/>
  <c r="U69" i="50" s="1"/>
  <c r="M68" i="50"/>
  <c r="M78" i="50" s="1"/>
  <c r="M110" i="50" s="1"/>
  <c r="M120" i="50" s="1"/>
  <c r="L68" i="50"/>
  <c r="K68" i="50"/>
  <c r="J68" i="50"/>
  <c r="J78" i="50" s="1"/>
  <c r="I67" i="50"/>
  <c r="T67" i="50" s="1"/>
  <c r="U67" i="50" s="1"/>
  <c r="I66" i="50"/>
  <c r="T66" i="50" s="1"/>
  <c r="U66" i="50" s="1"/>
  <c r="I65" i="50"/>
  <c r="T65" i="50" s="1"/>
  <c r="U65" i="50" s="1"/>
  <c r="I64" i="50"/>
  <c r="T64" i="50" s="1"/>
  <c r="U64" i="50" s="1"/>
  <c r="I63" i="50"/>
  <c r="T63" i="50" s="1"/>
  <c r="U63" i="50" s="1"/>
  <c r="I58" i="50"/>
  <c r="T58" i="50" s="1"/>
  <c r="U58" i="50" s="1"/>
  <c r="I57" i="50"/>
  <c r="T57" i="50" s="1"/>
  <c r="U57" i="50" s="1"/>
  <c r="I56" i="50"/>
  <c r="T56" i="50" s="1"/>
  <c r="U56" i="50" s="1"/>
  <c r="I55" i="50"/>
  <c r="T55" i="50" s="1"/>
  <c r="U55" i="50" s="1"/>
  <c r="I54" i="50"/>
  <c r="T54" i="50" s="1"/>
  <c r="U54" i="50" s="1"/>
  <c r="I53" i="50"/>
  <c r="T53" i="50" s="1"/>
  <c r="U53" i="50" s="1"/>
  <c r="I52" i="50"/>
  <c r="T52" i="50" s="1"/>
  <c r="U52" i="50" s="1"/>
  <c r="I51" i="50"/>
  <c r="T51" i="50" s="1"/>
  <c r="U51" i="50" s="1"/>
  <c r="I50" i="50"/>
  <c r="T50" i="50" s="1"/>
  <c r="U50" i="50" s="1"/>
  <c r="I49" i="50"/>
  <c r="T49" i="50" s="1"/>
  <c r="U49" i="50" s="1"/>
  <c r="I48" i="50"/>
  <c r="T48" i="50" s="1"/>
  <c r="U48" i="50" s="1"/>
  <c r="I47" i="50"/>
  <c r="T47" i="50" s="1"/>
  <c r="U47" i="50" s="1"/>
  <c r="I46" i="50"/>
  <c r="T46" i="50" s="1"/>
  <c r="U46" i="50" s="1"/>
  <c r="I45" i="50"/>
  <c r="T45" i="50" s="1"/>
  <c r="U45" i="50" s="1"/>
  <c r="I44" i="50"/>
  <c r="T44" i="50" s="1"/>
  <c r="U44" i="50" s="1"/>
  <c r="I43" i="50"/>
  <c r="T43" i="50" s="1"/>
  <c r="U43" i="50" s="1"/>
  <c r="T41" i="50"/>
  <c r="U41" i="50" s="1"/>
  <c r="T40" i="50"/>
  <c r="U40" i="50" s="1"/>
  <c r="T39" i="50"/>
  <c r="U39" i="50" s="1"/>
  <c r="T38" i="50"/>
  <c r="U38" i="50" s="1"/>
  <c r="T37" i="50"/>
  <c r="U37" i="50" s="1"/>
  <c r="T36" i="50"/>
  <c r="U36" i="50" s="1"/>
  <c r="T35" i="50"/>
  <c r="U35" i="50" s="1"/>
  <c r="T34" i="50"/>
  <c r="U34" i="50" s="1"/>
  <c r="T33" i="50"/>
  <c r="U33" i="50" s="1"/>
  <c r="T32" i="50"/>
  <c r="U32" i="50" s="1"/>
  <c r="T31" i="50"/>
  <c r="U31" i="50" s="1"/>
  <c r="Q30" i="50"/>
  <c r="P30" i="50"/>
  <c r="O30" i="50"/>
  <c r="O42" i="50" s="1"/>
  <c r="O68" i="50" s="1"/>
  <c r="O78" i="50" s="1"/>
  <c r="N30" i="50"/>
  <c r="M30" i="50"/>
  <c r="L30" i="50"/>
  <c r="K30" i="50"/>
  <c r="J30" i="50"/>
  <c r="H68" i="50"/>
  <c r="H78" i="50" s="1"/>
  <c r="H110" i="50" s="1"/>
  <c r="H120" i="50" s="1"/>
  <c r="G30" i="50"/>
  <c r="G42" i="50" s="1"/>
  <c r="G68" i="50" s="1"/>
  <c r="G78" i="50" s="1"/>
  <c r="G110" i="50" s="1"/>
  <c r="G120" i="50" s="1"/>
  <c r="F30" i="50"/>
  <c r="F42" i="50" s="1"/>
  <c r="F68" i="50" s="1"/>
  <c r="I29" i="50"/>
  <c r="I28" i="50"/>
  <c r="T28" i="50" s="1"/>
  <c r="U28" i="50" s="1"/>
  <c r="V27" i="50"/>
  <c r="I27" i="50"/>
  <c r="T27" i="50" s="1"/>
  <c r="U27" i="50" s="1"/>
  <c r="I26" i="50"/>
  <c r="T26" i="50" s="1"/>
  <c r="U26" i="50" s="1"/>
  <c r="I25" i="50"/>
  <c r="T25" i="50" s="1"/>
  <c r="U25" i="50" s="1"/>
  <c r="I24" i="50"/>
  <c r="T24" i="50" s="1"/>
  <c r="U24" i="50" s="1"/>
  <c r="I23" i="50"/>
  <c r="T23" i="50" s="1"/>
  <c r="U23" i="50" s="1"/>
  <c r="I22" i="50"/>
  <c r="T22" i="50" s="1"/>
  <c r="U22" i="50" s="1"/>
  <c r="I21" i="50"/>
  <c r="T21" i="50" s="1"/>
  <c r="U21" i="50" s="1"/>
  <c r="I15" i="50"/>
  <c r="T15" i="50" s="1"/>
  <c r="U15" i="50" s="1"/>
  <c r="I14" i="50"/>
  <c r="T14" i="50" s="1"/>
  <c r="U14" i="50" s="1"/>
  <c r="I13" i="50"/>
  <c r="T13" i="50" s="1"/>
  <c r="U13" i="50" s="1"/>
  <c r="I12" i="50"/>
  <c r="T12" i="50" s="1"/>
  <c r="U12" i="50" s="1"/>
  <c r="I11" i="50"/>
  <c r="T11" i="50" s="1"/>
  <c r="U11" i="50" s="1"/>
  <c r="T9" i="50"/>
  <c r="U9" i="50" s="1"/>
  <c r="U7" i="50"/>
  <c r="T6" i="50"/>
  <c r="T5" i="50"/>
  <c r="I76" i="13"/>
  <c r="E76" i="13"/>
  <c r="S58" i="13"/>
  <c r="G58" i="13"/>
  <c r="S55" i="13"/>
  <c r="L54" i="13"/>
  <c r="G54" i="13"/>
  <c r="T53" i="13"/>
  <c r="S50" i="13"/>
  <c r="S36" i="13"/>
  <c r="K35" i="13"/>
  <c r="J35" i="13"/>
  <c r="H35" i="13"/>
  <c r="M14" i="13" s="1"/>
  <c r="O34" i="13"/>
  <c r="S34" i="13" s="1"/>
  <c r="N34" i="13"/>
  <c r="M34" i="13"/>
  <c r="L34" i="13"/>
  <c r="K34" i="13"/>
  <c r="J34" i="13"/>
  <c r="I34" i="13"/>
  <c r="U33" i="13"/>
  <c r="S33" i="13"/>
  <c r="R33" i="13"/>
  <c r="S32" i="13"/>
  <c r="R32" i="13"/>
  <c r="S31" i="13"/>
  <c r="R31" i="13"/>
  <c r="N30" i="13"/>
  <c r="N35" i="13" s="1"/>
  <c r="M30" i="13"/>
  <c r="L30" i="13"/>
  <c r="K30" i="13"/>
  <c r="J30" i="13"/>
  <c r="I30" i="13"/>
  <c r="S29" i="13"/>
  <c r="R29" i="13"/>
  <c r="S28" i="13"/>
  <c r="R28" i="13"/>
  <c r="R27" i="13"/>
  <c r="R26" i="13"/>
  <c r="S25" i="13"/>
  <c r="R25" i="13"/>
  <c r="T25" i="13" s="1"/>
  <c r="R24" i="13"/>
  <c r="O30" i="13"/>
  <c r="F17" i="13"/>
  <c r="M15" i="13"/>
  <c r="H15" i="13"/>
  <c r="J83" i="12"/>
  <c r="Y47" i="12"/>
  <c r="J206" i="72"/>
  <c r="J198" i="72"/>
  <c r="H188" i="72"/>
  <c r="G188" i="72"/>
  <c r="F188" i="72"/>
  <c r="N187" i="72"/>
  <c r="N186" i="72"/>
  <c r="N185" i="72"/>
  <c r="N184" i="72"/>
  <c r="N183" i="72"/>
  <c r="N182" i="72"/>
  <c r="N181" i="72"/>
  <c r="N180" i="72"/>
  <c r="N179" i="72"/>
  <c r="N178" i="72"/>
  <c r="N164" i="72"/>
  <c r="N163" i="72"/>
  <c r="N162" i="72"/>
  <c r="N161" i="72"/>
  <c r="N160" i="72"/>
  <c r="N159" i="72"/>
  <c r="N158" i="72"/>
  <c r="N157" i="72"/>
  <c r="N156" i="72"/>
  <c r="N155" i="72"/>
  <c r="N154" i="72"/>
  <c r="N153" i="72"/>
  <c r="N104" i="72"/>
  <c r="N103" i="72"/>
  <c r="N102" i="72"/>
  <c r="N101" i="72"/>
  <c r="N100" i="72"/>
  <c r="N99" i="72"/>
  <c r="N98" i="72"/>
  <c r="N97" i="72"/>
  <c r="N96" i="72"/>
  <c r="N95" i="72"/>
  <c r="N94" i="72"/>
  <c r="N93" i="72"/>
  <c r="N92" i="72"/>
  <c r="N90" i="72"/>
  <c r="N89" i="72"/>
  <c r="N86" i="72"/>
  <c r="N85" i="72"/>
  <c r="N84" i="72"/>
  <c r="N83" i="72"/>
  <c r="N82" i="72"/>
  <c r="N81" i="72"/>
  <c r="N80" i="72"/>
  <c r="N78" i="72"/>
  <c r="N77" i="72"/>
  <c r="N76" i="72"/>
  <c r="N75" i="72"/>
  <c r="N74" i="72"/>
  <c r="N73" i="72"/>
  <c r="N72" i="72"/>
  <c r="N71" i="72"/>
  <c r="N70" i="72"/>
  <c r="N69" i="72"/>
  <c r="N68" i="72"/>
  <c r="N67" i="72"/>
  <c r="N66" i="72"/>
  <c r="N65" i="72"/>
  <c r="N64" i="72"/>
  <c r="N63" i="72"/>
  <c r="N62" i="72"/>
  <c r="N61" i="72"/>
  <c r="N60" i="72"/>
  <c r="N59" i="72"/>
  <c r="N58" i="72"/>
  <c r="N57" i="72"/>
  <c r="N56" i="72"/>
  <c r="N55" i="72"/>
  <c r="N54" i="72"/>
  <c r="N53" i="72"/>
  <c r="N51" i="72"/>
  <c r="N50" i="72"/>
  <c r="N47" i="72"/>
  <c r="N46" i="72"/>
  <c r="N45" i="72"/>
  <c r="N44" i="72"/>
  <c r="N43" i="72"/>
  <c r="N42" i="72"/>
  <c r="N41" i="72"/>
  <c r="J40" i="72"/>
  <c r="J52" i="72" s="1"/>
  <c r="J79" i="72" s="1"/>
  <c r="J91" i="72" s="1"/>
  <c r="J139" i="72" s="1"/>
  <c r="I40" i="72"/>
  <c r="I52" i="72" s="1"/>
  <c r="I79" i="72" s="1"/>
  <c r="I91" i="72" s="1"/>
  <c r="H40" i="72"/>
  <c r="H52" i="72" s="1"/>
  <c r="H79" i="72" s="1"/>
  <c r="G40" i="72"/>
  <c r="G52" i="72" s="1"/>
  <c r="G79" i="72" s="1"/>
  <c r="G91" i="72" s="1"/>
  <c r="G139" i="72" s="1"/>
  <c r="F52" i="72"/>
  <c r="N39" i="72"/>
  <c r="N38" i="72"/>
  <c r="N37" i="72"/>
  <c r="N36" i="72"/>
  <c r="N35" i="72"/>
  <c r="N34" i="72"/>
  <c r="N33" i="72"/>
  <c r="N32" i="72"/>
  <c r="N31" i="72"/>
  <c r="N30" i="72"/>
  <c r="N29" i="72"/>
  <c r="N28" i="72"/>
  <c r="N27" i="72"/>
  <c r="N26" i="72"/>
  <c r="N25" i="72"/>
  <c r="N24" i="72"/>
  <c r="N23" i="72"/>
  <c r="N22" i="72"/>
  <c r="N21" i="72"/>
  <c r="N20" i="72"/>
  <c r="N19" i="72"/>
  <c r="N18" i="72"/>
  <c r="N17" i="72"/>
  <c r="N16" i="72"/>
  <c r="N15" i="72"/>
  <c r="N14" i="72"/>
  <c r="J276" i="71"/>
  <c r="I276" i="71"/>
  <c r="I14" i="71"/>
  <c r="I138" i="71"/>
  <c r="I130" i="71"/>
  <c r="I106" i="71"/>
  <c r="I103" i="71"/>
  <c r="I62" i="71"/>
  <c r="I64" i="71" s="1"/>
  <c r="I52" i="71"/>
  <c r="I31" i="71"/>
  <c r="G52" i="4"/>
  <c r="G50" i="4"/>
  <c r="J27" i="4"/>
  <c r="G26" i="4"/>
  <c r="K26" i="4" s="1"/>
  <c r="G23" i="4"/>
  <c r="I18" i="4"/>
  <c r="G18" i="4"/>
  <c r="I17" i="4"/>
  <c r="G17" i="4"/>
  <c r="F15" i="108"/>
  <c r="O23" i="3"/>
  <c r="J23" i="3"/>
  <c r="J20" i="3"/>
  <c r="J29" i="2"/>
  <c r="R10" i="2"/>
  <c r="W24" i="52" l="1"/>
  <c r="K59" i="52"/>
  <c r="X53" i="52"/>
  <c r="T203" i="23"/>
  <c r="X26" i="52"/>
  <c r="W39" i="52"/>
  <c r="W49" i="52" s="1"/>
  <c r="W58" i="52" s="1"/>
  <c r="X51" i="52"/>
  <c r="X55" i="52"/>
  <c r="T472" i="23"/>
  <c r="X10" i="52"/>
  <c r="U24" i="52"/>
  <c r="X39" i="52"/>
  <c r="X27" i="52"/>
  <c r="T195" i="23"/>
  <c r="X31" i="52"/>
  <c r="T220" i="23"/>
  <c r="AB220" i="23" s="1"/>
  <c r="X37" i="52"/>
  <c r="T226" i="23"/>
  <c r="AB226" i="23" s="1"/>
  <c r="J59" i="52"/>
  <c r="X50" i="52"/>
  <c r="T255" i="23"/>
  <c r="AB255" i="23" s="1"/>
  <c r="V75" i="23"/>
  <c r="V92" i="23" s="1"/>
  <c r="V112" i="23" s="1"/>
  <c r="V127" i="23" s="1"/>
  <c r="V144" i="23" s="1"/>
  <c r="V156" i="23" s="1"/>
  <c r="V175" i="23" s="1"/>
  <c r="V189" i="23" s="1"/>
  <c r="V204" i="23" s="1"/>
  <c r="V219" i="23" s="1"/>
  <c r="V234" i="23" s="1"/>
  <c r="V248" i="23" s="1"/>
  <c r="V268" i="23" s="1"/>
  <c r="V282" i="23" s="1"/>
  <c r="V305" i="23" s="1"/>
  <c r="V320" i="23" s="1"/>
  <c r="V337" i="23" s="1"/>
  <c r="V349" i="23" s="1"/>
  <c r="V363" i="23" s="1"/>
  <c r="V377" i="23" s="1"/>
  <c r="V392" i="23" s="1"/>
  <c r="V405" i="23" s="1"/>
  <c r="V421" i="23" s="1"/>
  <c r="V434" i="23" s="1"/>
  <c r="V451" i="23" s="1"/>
  <c r="V464" i="23" s="1"/>
  <c r="V482" i="23" s="1"/>
  <c r="V494" i="23" s="1"/>
  <c r="V511" i="23" s="1"/>
  <c r="V565" i="23" s="1"/>
  <c r="D26" i="48"/>
  <c r="H26" i="48"/>
  <c r="G26" i="48"/>
  <c r="U168" i="73"/>
  <c r="AG168" i="73" s="1"/>
  <c r="AC168" i="73" s="1"/>
  <c r="AE168" i="73" s="1"/>
  <c r="AC172" i="73"/>
  <c r="AE172" i="73" s="1"/>
  <c r="S71" i="73"/>
  <c r="L71" i="73"/>
  <c r="L82" i="73" s="1"/>
  <c r="L111" i="73" s="1"/>
  <c r="L121" i="73" s="1"/>
  <c r="L142" i="73" s="1"/>
  <c r="U40" i="73"/>
  <c r="AF60" i="73"/>
  <c r="J71" i="73"/>
  <c r="N42" i="73"/>
  <c r="AH16" i="73"/>
  <c r="AN16" i="73" s="1"/>
  <c r="U43" i="73"/>
  <c r="AG43" i="73" s="1"/>
  <c r="AC43" i="73" s="1"/>
  <c r="AE43" i="73" s="1"/>
  <c r="S28" i="73"/>
  <c r="K82" i="73"/>
  <c r="K111" i="73" s="1"/>
  <c r="K121" i="73" s="1"/>
  <c r="K142" i="73" s="1"/>
  <c r="G111" i="73"/>
  <c r="G121" i="73" s="1"/>
  <c r="G142" i="73" s="1"/>
  <c r="G143" i="73" s="1"/>
  <c r="G153" i="73" s="1"/>
  <c r="G194" i="73" s="1"/>
  <c r="M111" i="73"/>
  <c r="M121" i="73" s="1"/>
  <c r="M142" i="73" s="1"/>
  <c r="M143" i="73" s="1"/>
  <c r="M153" i="73" s="1"/>
  <c r="M194" i="73" s="1"/>
  <c r="M206" i="73" s="1"/>
  <c r="X111" i="73"/>
  <c r="X121" i="73" s="1"/>
  <c r="X142" i="73" s="1"/>
  <c r="X143" i="73" s="1"/>
  <c r="X153" i="73" s="1"/>
  <c r="X194" i="73" s="1"/>
  <c r="AB111" i="73"/>
  <c r="AB121" i="73" s="1"/>
  <c r="AB142" i="73" s="1"/>
  <c r="AB143" i="73" s="1"/>
  <c r="AB153" i="73" s="1"/>
  <c r="AB194" i="73" s="1"/>
  <c r="AL111" i="73"/>
  <c r="AL121" i="73" s="1"/>
  <c r="AL142" i="73" s="1"/>
  <c r="AL143" i="73" s="1"/>
  <c r="AL153" i="73" s="1"/>
  <c r="AL194" i="73" s="1"/>
  <c r="AL200" i="73" s="1"/>
  <c r="O111" i="73"/>
  <c r="O121" i="73" s="1"/>
  <c r="O142" i="73" s="1"/>
  <c r="O143" i="73" s="1"/>
  <c r="O153" i="73" s="1"/>
  <c r="O194" i="73" s="1"/>
  <c r="T111" i="73"/>
  <c r="T121" i="73" s="1"/>
  <c r="T142" i="73" s="1"/>
  <c r="T143" i="73" s="1"/>
  <c r="T153" i="73" s="1"/>
  <c r="T194" i="73" s="1"/>
  <c r="AM111" i="73"/>
  <c r="AM121" i="73" s="1"/>
  <c r="AM142" i="73" s="1"/>
  <c r="AM143" i="73" s="1"/>
  <c r="AM153" i="73" s="1"/>
  <c r="P111" i="73"/>
  <c r="P121" i="73" s="1"/>
  <c r="P142" i="73" s="1"/>
  <c r="P143" i="73" s="1"/>
  <c r="P153" i="73" s="1"/>
  <c r="P194" i="73" s="1"/>
  <c r="V111" i="73"/>
  <c r="V121" i="73" s="1"/>
  <c r="V142" i="73" s="1"/>
  <c r="V143" i="73" s="1"/>
  <c r="V153" i="73" s="1"/>
  <c r="V194" i="73" s="1"/>
  <c r="Q111" i="73"/>
  <c r="Q121" i="73" s="1"/>
  <c r="Q142" i="73" s="1"/>
  <c r="Q143" i="73" s="1"/>
  <c r="Q153" i="73" s="1"/>
  <c r="Q194" i="73" s="1"/>
  <c r="W111" i="73"/>
  <c r="W121" i="73" s="1"/>
  <c r="W142" i="73" s="1"/>
  <c r="W143" i="73" s="1"/>
  <c r="W153" i="73" s="1"/>
  <c r="W194" i="73" s="1"/>
  <c r="AG96" i="73"/>
  <c r="N90" i="73"/>
  <c r="AC25" i="73"/>
  <c r="AE25" i="73" s="1"/>
  <c r="AH182" i="73"/>
  <c r="AN182" i="73" s="1"/>
  <c r="S82" i="73"/>
  <c r="S111" i="73" s="1"/>
  <c r="S121" i="73" s="1"/>
  <c r="S142" i="73" s="1"/>
  <c r="K193" i="73"/>
  <c r="H19" i="32" s="1"/>
  <c r="AH177" i="73"/>
  <c r="AN177" i="73" s="1"/>
  <c r="AC192" i="73"/>
  <c r="AE192" i="73" s="1"/>
  <c r="H95" i="73"/>
  <c r="AH95" i="73" s="1"/>
  <c r="AN95" i="73" s="1"/>
  <c r="BF174" i="73"/>
  <c r="AI193" i="73"/>
  <c r="H88" i="73"/>
  <c r="AH88" i="73" s="1"/>
  <c r="AN88" i="73" s="1"/>
  <c r="E28" i="73"/>
  <c r="Y12" i="73"/>
  <c r="Z28" i="73"/>
  <c r="Z143" i="73" s="1"/>
  <c r="Z153" i="73" s="1"/>
  <c r="Z194" i="73" s="1"/>
  <c r="AH15" i="73"/>
  <c r="AN15" i="73" s="1"/>
  <c r="AI28" i="73"/>
  <c r="AI143" i="73" s="1"/>
  <c r="J82" i="73"/>
  <c r="J111" i="73" s="1"/>
  <c r="J121" i="73" s="1"/>
  <c r="J142" i="73" s="1"/>
  <c r="AH56" i="73"/>
  <c r="AN56" i="73" s="1"/>
  <c r="AC56" i="73"/>
  <c r="AE56" i="73" s="1"/>
  <c r="BD56" i="73" s="1"/>
  <c r="BE56" i="73" s="1"/>
  <c r="AH58" i="73"/>
  <c r="AN58" i="73" s="1"/>
  <c r="AC58" i="73"/>
  <c r="AE58" i="73" s="1"/>
  <c r="BA58" i="73" s="1"/>
  <c r="AH65" i="73"/>
  <c r="AN65" i="73" s="1"/>
  <c r="AC65" i="73"/>
  <c r="AE65" i="73" s="1"/>
  <c r="AH167" i="73"/>
  <c r="AN167" i="73" s="1"/>
  <c r="AC167" i="73"/>
  <c r="AE167" i="73" s="1"/>
  <c r="AC191" i="73"/>
  <c r="AE191" i="73" s="1"/>
  <c r="AH191" i="73"/>
  <c r="AN191" i="73" s="1"/>
  <c r="H104" i="73"/>
  <c r="AH104" i="73" s="1"/>
  <c r="AN104" i="73" s="1"/>
  <c r="AH44" i="73"/>
  <c r="AN44" i="73" s="1"/>
  <c r="AC44" i="73"/>
  <c r="AE44" i="73" s="1"/>
  <c r="BA30" i="73" s="1"/>
  <c r="U59" i="73"/>
  <c r="AG59" i="73" s="1"/>
  <c r="AC59" i="73" s="1"/>
  <c r="AE59" i="73" s="1"/>
  <c r="BA59" i="73" s="1"/>
  <c r="BB59" i="73" s="1"/>
  <c r="AC174" i="73"/>
  <c r="AE174" i="73" s="1"/>
  <c r="BD174" i="73" s="1"/>
  <c r="BE174" i="73" s="1"/>
  <c r="AC170" i="73"/>
  <c r="AE170" i="73" s="1"/>
  <c r="H84" i="73"/>
  <c r="AH84" i="73" s="1"/>
  <c r="AN84" i="73" s="1"/>
  <c r="H96" i="73"/>
  <c r="AH96" i="73" s="1"/>
  <c r="AN96" i="73" s="1"/>
  <c r="H98" i="73"/>
  <c r="AH98" i="73" s="1"/>
  <c r="AN98" i="73" s="1"/>
  <c r="J28" i="73"/>
  <c r="AH19" i="73"/>
  <c r="AN19" i="73" s="1"/>
  <c r="AH49" i="73"/>
  <c r="AN49" i="73" s="1"/>
  <c r="AC49" i="73"/>
  <c r="AE49" i="73" s="1"/>
  <c r="G9" i="4"/>
  <c r="AJ153" i="73"/>
  <c r="AJ194" i="73" s="1"/>
  <c r="H107" i="73"/>
  <c r="AH107" i="73" s="1"/>
  <c r="AN107" i="73" s="1"/>
  <c r="H166" i="73"/>
  <c r="E193" i="73"/>
  <c r="AH169" i="73"/>
  <c r="AN169" i="73" s="1"/>
  <c r="AC169" i="73"/>
  <c r="AE169" i="73" s="1"/>
  <c r="AH180" i="73"/>
  <c r="AN180" i="73" s="1"/>
  <c r="AC180" i="73"/>
  <c r="AE180" i="73" s="1"/>
  <c r="BA180" i="73" s="1"/>
  <c r="H97" i="73"/>
  <c r="AH97" i="73" s="1"/>
  <c r="AN97" i="73" s="1"/>
  <c r="AH46" i="73"/>
  <c r="AN46" i="73" s="1"/>
  <c r="AC46" i="73"/>
  <c r="AE46" i="73" s="1"/>
  <c r="AH48" i="73"/>
  <c r="AN48" i="73" s="1"/>
  <c r="AC48" i="73"/>
  <c r="AE48" i="73" s="1"/>
  <c r="AH181" i="73"/>
  <c r="AN181" i="73" s="1"/>
  <c r="AC181" i="73"/>
  <c r="AE181" i="73" s="1"/>
  <c r="BD181" i="73" s="1"/>
  <c r="BE181" i="73" s="1"/>
  <c r="AH183" i="73"/>
  <c r="AN183" i="73" s="1"/>
  <c r="AC183" i="73"/>
  <c r="AE183" i="73" s="1"/>
  <c r="H87" i="73"/>
  <c r="AH87" i="73" s="1"/>
  <c r="AN87" i="73" s="1"/>
  <c r="AF11" i="73"/>
  <c r="L28" i="73"/>
  <c r="K28" i="73"/>
  <c r="I9" i="4"/>
  <c r="AK143" i="73"/>
  <c r="AK153" i="73" s="1"/>
  <c r="AK194" i="73" s="1"/>
  <c r="AH55" i="73"/>
  <c r="AC55" i="73"/>
  <c r="AE55" i="73" s="1"/>
  <c r="BA55" i="73" s="1"/>
  <c r="AH66" i="73"/>
  <c r="AN66" i="73" s="1"/>
  <c r="AC66" i="73"/>
  <c r="AE66" i="73" s="1"/>
  <c r="BA66" i="73" s="1"/>
  <c r="J193" i="73"/>
  <c r="G19" i="32" s="1"/>
  <c r="AH174" i="73"/>
  <c r="AN174" i="73" s="1"/>
  <c r="AH178" i="73"/>
  <c r="AN178" i="73" s="1"/>
  <c r="AC178" i="73"/>
  <c r="AE178" i="73" s="1"/>
  <c r="AC184" i="73"/>
  <c r="AE184" i="73" s="1"/>
  <c r="O368" i="55"/>
  <c r="O378" i="55" s="1"/>
  <c r="O397" i="55" s="1"/>
  <c r="O407" i="55" s="1"/>
  <c r="Z340" i="55"/>
  <c r="Z368" i="55"/>
  <c r="K368" i="55"/>
  <c r="K378" i="55" s="1"/>
  <c r="K397" i="55" s="1"/>
  <c r="K407" i="55" s="1"/>
  <c r="R368" i="55"/>
  <c r="R378" i="55" s="1"/>
  <c r="R397" i="55" s="1"/>
  <c r="R407" i="55" s="1"/>
  <c r="V368" i="55"/>
  <c r="V378" i="55" s="1"/>
  <c r="V397" i="55" s="1"/>
  <c r="V407" i="55" s="1"/>
  <c r="AA340" i="55"/>
  <c r="AA368" i="55"/>
  <c r="I368" i="55"/>
  <c r="I378" i="55" s="1"/>
  <c r="I397" i="55" s="1"/>
  <c r="I407" i="55" s="1"/>
  <c r="U368" i="55"/>
  <c r="U378" i="55" s="1"/>
  <c r="U397" i="55" s="1"/>
  <c r="U407" i="55" s="1"/>
  <c r="L368" i="55"/>
  <c r="L378" i="55" s="1"/>
  <c r="L397" i="55" s="1"/>
  <c r="L407" i="55" s="1"/>
  <c r="S368" i="55"/>
  <c r="S378" i="55" s="1"/>
  <c r="S397" i="55" s="1"/>
  <c r="S407" i="55" s="1"/>
  <c r="M368" i="55"/>
  <c r="M378" i="55" s="1"/>
  <c r="M397" i="55" s="1"/>
  <c r="M407" i="55" s="1"/>
  <c r="T368" i="55"/>
  <c r="T378" i="55" s="1"/>
  <c r="T397" i="55" s="1"/>
  <c r="T407" i="55" s="1"/>
  <c r="Y340" i="55"/>
  <c r="Y368" i="55"/>
  <c r="J166" i="55"/>
  <c r="U51" i="73"/>
  <c r="AG51" i="73" s="1"/>
  <c r="AC51" i="73" s="1"/>
  <c r="AE51" i="73" s="1"/>
  <c r="U107" i="73"/>
  <c r="AG107" i="73" s="1"/>
  <c r="I9" i="22"/>
  <c r="P167" i="22"/>
  <c r="I8" i="22"/>
  <c r="L59" i="52"/>
  <c r="AN141" i="73"/>
  <c r="N15" i="32"/>
  <c r="Z14" i="32"/>
  <c r="T15" i="32"/>
  <c r="AJ12" i="32"/>
  <c r="Z12" i="32"/>
  <c r="W15" i="32"/>
  <c r="Z11" i="32"/>
  <c r="AN102" i="73"/>
  <c r="AN105" i="73"/>
  <c r="AN54" i="73"/>
  <c r="AN99" i="73"/>
  <c r="AN101" i="73"/>
  <c r="AM192" i="73"/>
  <c r="AN103" i="73"/>
  <c r="AN57" i="73"/>
  <c r="AN100" i="73"/>
  <c r="AH20" i="32"/>
  <c r="Z20" i="32"/>
  <c r="Y20" i="32"/>
  <c r="N104" i="73"/>
  <c r="L187" i="56"/>
  <c r="H211" i="56"/>
  <c r="H212" i="56" s="1"/>
  <c r="D287" i="56"/>
  <c r="N105" i="73"/>
  <c r="U105" i="73" s="1"/>
  <c r="AG105" i="73" s="1"/>
  <c r="AC105" i="73" s="1"/>
  <c r="AE105" i="73" s="1"/>
  <c r="K187" i="56"/>
  <c r="K212" i="56"/>
  <c r="AG157" i="73"/>
  <c r="AG41" i="73"/>
  <c r="AC41" i="73" s="1"/>
  <c r="AE41" i="73" s="1"/>
  <c r="AG159" i="73"/>
  <c r="AC159" i="73" s="1"/>
  <c r="AE159" i="73" s="1"/>
  <c r="BA159" i="73" s="1"/>
  <c r="BB159" i="73" s="1"/>
  <c r="AG161" i="73"/>
  <c r="AC161" i="73" s="1"/>
  <c r="AE161" i="73" s="1"/>
  <c r="BA161" i="73" s="1"/>
  <c r="BB161" i="73" s="1"/>
  <c r="AG156" i="73"/>
  <c r="AM169" i="73"/>
  <c r="BF11" i="73"/>
  <c r="AF164" i="73"/>
  <c r="BA163" i="73"/>
  <c r="BB163" i="73" s="1"/>
  <c r="AN41" i="73"/>
  <c r="AG40" i="73"/>
  <c r="AG160" i="73"/>
  <c r="AC160" i="73" s="1"/>
  <c r="AE160" i="73" s="1"/>
  <c r="BA160" i="73" s="1"/>
  <c r="E164" i="73"/>
  <c r="H157" i="73"/>
  <c r="H164" i="73" s="1"/>
  <c r="AH164" i="73" s="1"/>
  <c r="AH158" i="73"/>
  <c r="AH162" i="73"/>
  <c r="BD163" i="73"/>
  <c r="BE163" i="73" s="1"/>
  <c r="AM173" i="73"/>
  <c r="AH42" i="73"/>
  <c r="AN42" i="73" s="1"/>
  <c r="AG158" i="73"/>
  <c r="AC158" i="73" s="1"/>
  <c r="AE158" i="73" s="1"/>
  <c r="AG162" i="73"/>
  <c r="AC162" i="73" s="1"/>
  <c r="AE162" i="73" s="1"/>
  <c r="AH40" i="73"/>
  <c r="AG155" i="73"/>
  <c r="AH160" i="73"/>
  <c r="BD100" i="73"/>
  <c r="BE100" i="73" s="1"/>
  <c r="AC156" i="73"/>
  <c r="AE156" i="73" s="1"/>
  <c r="BA156" i="73" s="1"/>
  <c r="BB156" i="73" s="1"/>
  <c r="N164" i="73"/>
  <c r="BD101" i="73"/>
  <c r="BE101" i="73" s="1"/>
  <c r="BD175" i="73"/>
  <c r="BE175" i="73" s="1"/>
  <c r="AN189" i="56"/>
  <c r="AO189" i="56" s="1"/>
  <c r="AN192" i="56"/>
  <c r="AO192" i="56" s="1"/>
  <c r="AN193" i="56"/>
  <c r="AO193" i="56" s="1"/>
  <c r="AN195" i="56"/>
  <c r="AO195" i="56" s="1"/>
  <c r="AN76" i="56"/>
  <c r="AO76" i="56" s="1"/>
  <c r="AN241" i="56"/>
  <c r="AO241" i="56" s="1"/>
  <c r="AH196" i="56"/>
  <c r="AI196" i="56" s="1"/>
  <c r="AN196" i="56"/>
  <c r="AO196" i="56" s="1"/>
  <c r="AH197" i="56"/>
  <c r="AI197" i="56" s="1"/>
  <c r="AN197" i="56"/>
  <c r="AO197" i="56" s="1"/>
  <c r="R187" i="73"/>
  <c r="R193" i="73" s="1"/>
  <c r="AN204" i="56"/>
  <c r="AO204" i="56" s="1"/>
  <c r="F16" i="48"/>
  <c r="AN223" i="56"/>
  <c r="AO223" i="56" s="1"/>
  <c r="I53" i="56"/>
  <c r="AN53" i="56" s="1"/>
  <c r="AO53" i="56" s="1"/>
  <c r="I48" i="56"/>
  <c r="AN188" i="56"/>
  <c r="AO188" i="56" s="1"/>
  <c r="AN190" i="56"/>
  <c r="AO190" i="56" s="1"/>
  <c r="AH210" i="56"/>
  <c r="AI210" i="56" s="1"/>
  <c r="AN210" i="56"/>
  <c r="AO210" i="56" s="1"/>
  <c r="R231" i="56"/>
  <c r="AR201" i="56"/>
  <c r="AS201" i="56" s="1"/>
  <c r="AT201" i="56" s="1"/>
  <c r="AN201" i="56"/>
  <c r="AO201" i="56" s="1"/>
  <c r="AQ291" i="56"/>
  <c r="AL199" i="56"/>
  <c r="AR166" i="56"/>
  <c r="AS166" i="56" s="1"/>
  <c r="AQ186" i="56"/>
  <c r="AL194" i="56"/>
  <c r="AB166" i="56"/>
  <c r="AC166" i="56" s="1"/>
  <c r="AB195" i="56"/>
  <c r="AC195" i="56" s="1"/>
  <c r="AJ188" i="56"/>
  <c r="AQ464" i="55"/>
  <c r="AL166" i="56"/>
  <c r="AJ193" i="56"/>
  <c r="AL205" i="56"/>
  <c r="AR193" i="56"/>
  <c r="AS193" i="56" s="1"/>
  <c r="AT193" i="56" s="1"/>
  <c r="AR210" i="56"/>
  <c r="AS210" i="56" s="1"/>
  <c r="AL50" i="56"/>
  <c r="AL165" i="56"/>
  <c r="AE193" i="56"/>
  <c r="AF193" i="56" s="1"/>
  <c r="AB106" i="56"/>
  <c r="AC106" i="56" s="1"/>
  <c r="AE167" i="56"/>
  <c r="AF167" i="56" s="1"/>
  <c r="AH195" i="56"/>
  <c r="AI195" i="56" s="1"/>
  <c r="AR204" i="56"/>
  <c r="AS204" i="56" s="1"/>
  <c r="AT204" i="56" s="1"/>
  <c r="AL204" i="56"/>
  <c r="AR170" i="56"/>
  <c r="AS170" i="56" s="1"/>
  <c r="AR165" i="56"/>
  <c r="AS165" i="56" s="1"/>
  <c r="U106" i="56"/>
  <c r="V106" i="56" s="1"/>
  <c r="AL106" i="56"/>
  <c r="AH166" i="56"/>
  <c r="AI166" i="56" s="1"/>
  <c r="AJ166" i="56"/>
  <c r="F231" i="56"/>
  <c r="I224" i="56"/>
  <c r="AR169" i="56"/>
  <c r="AS169" i="56" s="1"/>
  <c r="AE166" i="56"/>
  <c r="AF166" i="56" s="1"/>
  <c r="L224" i="56"/>
  <c r="L231" i="56" s="1"/>
  <c r="N231" i="56"/>
  <c r="AE106" i="56"/>
  <c r="AF106" i="56" s="1"/>
  <c r="AR130" i="56"/>
  <c r="AS130" i="56" s="1"/>
  <c r="AE210" i="56"/>
  <c r="AF210" i="56" s="1"/>
  <c r="AB210" i="56"/>
  <c r="AC210" i="56" s="1"/>
  <c r="AK211" i="56"/>
  <c r="AL197" i="56"/>
  <c r="AL196" i="56"/>
  <c r="AB197" i="56"/>
  <c r="AC197" i="56" s="1"/>
  <c r="AL210" i="56"/>
  <c r="AL195" i="56"/>
  <c r="AB196" i="56"/>
  <c r="AC196" i="56" s="1"/>
  <c r="AE188" i="56"/>
  <c r="AF188" i="56" s="1"/>
  <c r="AL188" i="56"/>
  <c r="U193" i="56"/>
  <c r="V193" i="56" s="1"/>
  <c r="AH193" i="56"/>
  <c r="AI193" i="56" s="1"/>
  <c r="AL193" i="56"/>
  <c r="AL200" i="56"/>
  <c r="AL203" i="56"/>
  <c r="AR188" i="56"/>
  <c r="AS188" i="56" s="1"/>
  <c r="AT188" i="56" s="1"/>
  <c r="AH188" i="56"/>
  <c r="AI188" i="56" s="1"/>
  <c r="AB193" i="56"/>
  <c r="AC193" i="56" s="1"/>
  <c r="AL198" i="56"/>
  <c r="U199" i="56"/>
  <c r="V199" i="56" s="1"/>
  <c r="AL201" i="56"/>
  <c r="AR205" i="56"/>
  <c r="AS205" i="56" s="1"/>
  <c r="AT205" i="56" s="1"/>
  <c r="AH199" i="56"/>
  <c r="AI199" i="56" s="1"/>
  <c r="AB199" i="56"/>
  <c r="AC199" i="56" s="1"/>
  <c r="AE199" i="56"/>
  <c r="AF199" i="56" s="1"/>
  <c r="AR199" i="56"/>
  <c r="AS199" i="56" s="1"/>
  <c r="AT199" i="56" s="1"/>
  <c r="AE195" i="56"/>
  <c r="AF195" i="56" s="1"/>
  <c r="AJ195" i="56"/>
  <c r="AR195" i="56"/>
  <c r="AS195" i="56" s="1"/>
  <c r="AT195" i="56" s="1"/>
  <c r="AE196" i="56"/>
  <c r="AF196" i="56" s="1"/>
  <c r="AJ196" i="56"/>
  <c r="AR196" i="56"/>
  <c r="AS196" i="56" s="1"/>
  <c r="AT196" i="56" s="1"/>
  <c r="AE197" i="56"/>
  <c r="AF197" i="56" s="1"/>
  <c r="AJ197" i="56"/>
  <c r="AR197" i="56"/>
  <c r="AS197" i="56" s="1"/>
  <c r="AT197" i="56" s="1"/>
  <c r="AE198" i="56"/>
  <c r="AF198" i="56" s="1"/>
  <c r="AR198" i="56"/>
  <c r="AS198" i="56" s="1"/>
  <c r="AT198" i="56" s="1"/>
  <c r="AE205" i="56"/>
  <c r="AF205" i="56" s="1"/>
  <c r="AE201" i="56"/>
  <c r="AF201" i="56" s="1"/>
  <c r="U198" i="56"/>
  <c r="V198" i="56" s="1"/>
  <c r="AB201" i="56"/>
  <c r="AC201" i="56" s="1"/>
  <c r="AH201" i="56"/>
  <c r="AI201" i="56" s="1"/>
  <c r="AB204" i="56"/>
  <c r="AC204" i="56" s="1"/>
  <c r="AH204" i="56"/>
  <c r="AI204" i="56" s="1"/>
  <c r="AE204" i="56"/>
  <c r="AF204" i="56" s="1"/>
  <c r="U195" i="56"/>
  <c r="V195" i="56" s="1"/>
  <c r="U196" i="56"/>
  <c r="V196" i="56" s="1"/>
  <c r="U197" i="56"/>
  <c r="V197" i="56" s="1"/>
  <c r="AB198" i="56"/>
  <c r="AC198" i="56" s="1"/>
  <c r="AH198" i="56"/>
  <c r="AI198" i="56" s="1"/>
  <c r="AJ201" i="56"/>
  <c r="AJ204" i="56"/>
  <c r="AB205" i="56"/>
  <c r="AC205" i="56" s="1"/>
  <c r="AH205" i="56"/>
  <c r="AI205" i="56" s="1"/>
  <c r="BA102" i="73"/>
  <c r="AR171" i="56"/>
  <c r="AS171" i="56" s="1"/>
  <c r="AL171" i="56"/>
  <c r="AE171" i="56"/>
  <c r="AF171" i="56" s="1"/>
  <c r="U171" i="56"/>
  <c r="V171" i="56" s="1"/>
  <c r="AH171" i="56"/>
  <c r="AI171" i="56" s="1"/>
  <c r="AB171" i="56"/>
  <c r="AC171" i="56" s="1"/>
  <c r="AJ171" i="56"/>
  <c r="U166" i="56"/>
  <c r="V166" i="56" s="1"/>
  <c r="AL167" i="56"/>
  <c r="AL130" i="56"/>
  <c r="AE130" i="56"/>
  <c r="AF130" i="56" s="1"/>
  <c r="AR106" i="56"/>
  <c r="AS106" i="56" s="1"/>
  <c r="AJ106" i="56"/>
  <c r="AH106" i="56"/>
  <c r="AI106" i="56" s="1"/>
  <c r="AL169" i="56"/>
  <c r="U169" i="56"/>
  <c r="V169" i="56" s="1"/>
  <c r="R19" i="73"/>
  <c r="N19" i="73" s="1"/>
  <c r="R47" i="73"/>
  <c r="N47" i="73" s="1"/>
  <c r="R106" i="73"/>
  <c r="R18" i="73"/>
  <c r="N18" i="73" s="1"/>
  <c r="U167" i="56"/>
  <c r="V167" i="56" s="1"/>
  <c r="AH167" i="56"/>
  <c r="AI167" i="56" s="1"/>
  <c r="AB169" i="56"/>
  <c r="AC169" i="56" s="1"/>
  <c r="AH169" i="56"/>
  <c r="AI169" i="56" s="1"/>
  <c r="U130" i="56"/>
  <c r="V130" i="56" s="1"/>
  <c r="AH130" i="56"/>
  <c r="AI130" i="56" s="1"/>
  <c r="AB167" i="56"/>
  <c r="AC167" i="56" s="1"/>
  <c r="AJ167" i="56"/>
  <c r="AR167" i="56"/>
  <c r="AS167" i="56" s="1"/>
  <c r="AB130" i="56"/>
  <c r="AC130" i="56" s="1"/>
  <c r="AJ130" i="56"/>
  <c r="AE169" i="56"/>
  <c r="AF169" i="56" s="1"/>
  <c r="AJ169" i="56"/>
  <c r="AL170" i="56"/>
  <c r="R22" i="73"/>
  <c r="N22" i="73" s="1"/>
  <c r="R69" i="73"/>
  <c r="N69" i="73" s="1"/>
  <c r="AL54" i="56"/>
  <c r="R86" i="73"/>
  <c r="N86" i="73" s="1"/>
  <c r="R93" i="73"/>
  <c r="N93" i="73" s="1"/>
  <c r="AB170" i="56"/>
  <c r="AC170" i="56" s="1"/>
  <c r="R17" i="73"/>
  <c r="N17" i="73" s="1"/>
  <c r="R12" i="73"/>
  <c r="R13" i="73"/>
  <c r="N13" i="73" s="1"/>
  <c r="AH165" i="56"/>
  <c r="AI165" i="56" s="1"/>
  <c r="AH170" i="56"/>
  <c r="AI170" i="56" s="1"/>
  <c r="U165" i="56"/>
  <c r="V165" i="56" s="1"/>
  <c r="U170" i="56"/>
  <c r="V170" i="56" s="1"/>
  <c r="AJ170" i="56"/>
  <c r="G313" i="16"/>
  <c r="H313" i="16"/>
  <c r="I313" i="16"/>
  <c r="F313" i="16"/>
  <c r="E321" i="16" s="1"/>
  <c r="E56" i="16"/>
  <c r="E66" i="16" s="1"/>
  <c r="E110" i="16" s="1"/>
  <c r="E120" i="16" s="1"/>
  <c r="E168" i="16" s="1"/>
  <c r="E179" i="16" s="1"/>
  <c r="E219" i="16" s="1"/>
  <c r="E231" i="16" s="1"/>
  <c r="E261" i="16" s="1"/>
  <c r="E313" i="16" s="1"/>
  <c r="E96" i="98"/>
  <c r="E97" i="98" s="1"/>
  <c r="H97" i="98"/>
  <c r="G96" i="98"/>
  <c r="G97" i="98" s="1"/>
  <c r="J147" i="55"/>
  <c r="AO145" i="55" s="1"/>
  <c r="J410" i="55"/>
  <c r="I166" i="73" s="1"/>
  <c r="N430" i="55"/>
  <c r="H430" i="55"/>
  <c r="H439" i="55" s="1"/>
  <c r="H456" i="55" s="1"/>
  <c r="X328" i="55"/>
  <c r="X340" i="55" s="1"/>
  <c r="H20" i="55"/>
  <c r="AS33" i="55"/>
  <c r="AS185" i="55"/>
  <c r="AS216" i="55"/>
  <c r="AF317" i="55"/>
  <c r="AG317" i="55" s="1"/>
  <c r="AS258" i="55"/>
  <c r="AP258" i="55"/>
  <c r="AF227" i="55"/>
  <c r="AG227" i="55" s="1"/>
  <c r="AF231" i="55"/>
  <c r="AG231" i="55" s="1"/>
  <c r="N91" i="87"/>
  <c r="J44" i="55"/>
  <c r="AR44" i="55" s="1"/>
  <c r="AS44" i="55" s="1"/>
  <c r="J53" i="55"/>
  <c r="AR53" i="55" s="1"/>
  <c r="AF234" i="55"/>
  <c r="AG234" i="55" s="1"/>
  <c r="T131" i="50"/>
  <c r="T133" i="50" s="1"/>
  <c r="T87" i="50"/>
  <c r="U87" i="50" s="1"/>
  <c r="BA168" i="73"/>
  <c r="T29" i="50"/>
  <c r="U29" i="50" s="1"/>
  <c r="U131" i="50"/>
  <c r="J17" i="55"/>
  <c r="AK17" i="55" s="1"/>
  <c r="AL17" i="55" s="1"/>
  <c r="AF76" i="55"/>
  <c r="AG76" i="55" s="1"/>
  <c r="J78" i="55"/>
  <c r="J85" i="55"/>
  <c r="I52" i="73" s="1"/>
  <c r="U52" i="73" s="1"/>
  <c r="AG52" i="73" s="1"/>
  <c r="AC52" i="73" s="1"/>
  <c r="AE52" i="73" s="1"/>
  <c r="AS128" i="55"/>
  <c r="AP157" i="55"/>
  <c r="AS305" i="55"/>
  <c r="J343" i="55"/>
  <c r="AR343" i="55" s="1"/>
  <c r="AS343" i="55" s="1"/>
  <c r="AR359" i="55"/>
  <c r="AP359" i="55" s="1"/>
  <c r="AS37" i="55"/>
  <c r="AF230" i="55"/>
  <c r="AG230" i="55" s="1"/>
  <c r="AP270" i="55"/>
  <c r="J342" i="55"/>
  <c r="AR342" i="55" s="1"/>
  <c r="AP342" i="55" s="1"/>
  <c r="AS64" i="55"/>
  <c r="AF100" i="55"/>
  <c r="AG100" i="55" s="1"/>
  <c r="AF112" i="55"/>
  <c r="AG112" i="55" s="1"/>
  <c r="AS241" i="55"/>
  <c r="AP335" i="55"/>
  <c r="AP434" i="55"/>
  <c r="AS161" i="55"/>
  <c r="AK100" i="55"/>
  <c r="AL100" i="55" s="1"/>
  <c r="AF226" i="55"/>
  <c r="AG226" i="55" s="1"/>
  <c r="AP331" i="55"/>
  <c r="AP431" i="55"/>
  <c r="AS57" i="55"/>
  <c r="AS61" i="55"/>
  <c r="AS65" i="55"/>
  <c r="AS90" i="55"/>
  <c r="AS160" i="55"/>
  <c r="AF198" i="55"/>
  <c r="AG198" i="55" s="1"/>
  <c r="Y208" i="55"/>
  <c r="Y220" i="55" s="1"/>
  <c r="AS244" i="55"/>
  <c r="AS245" i="55"/>
  <c r="AS274" i="55"/>
  <c r="AS278" i="55"/>
  <c r="AF284" i="55"/>
  <c r="AG284" i="55" s="1"/>
  <c r="AF288" i="55"/>
  <c r="AG288" i="55" s="1"/>
  <c r="AF292" i="55"/>
  <c r="AG292" i="55" s="1"/>
  <c r="AS303" i="55"/>
  <c r="AS307" i="55"/>
  <c r="J84" i="55"/>
  <c r="AF109" i="55"/>
  <c r="AG109" i="55" s="1"/>
  <c r="AP125" i="55"/>
  <c r="AP126" i="55"/>
  <c r="AS212" i="55"/>
  <c r="AS240" i="55"/>
  <c r="AP243" i="55"/>
  <c r="AK312" i="55"/>
  <c r="AL312" i="55" s="1"/>
  <c r="AF314" i="55"/>
  <c r="AG314" i="55" s="1"/>
  <c r="AS333" i="55"/>
  <c r="AS337" i="55"/>
  <c r="AR442" i="55"/>
  <c r="AS442" i="55" s="1"/>
  <c r="AK139" i="55"/>
  <c r="AL139" i="55" s="1"/>
  <c r="AF143" i="55"/>
  <c r="AG143" i="55" s="1"/>
  <c r="J152" i="55"/>
  <c r="AK152" i="55" s="1"/>
  <c r="AL152" i="55" s="1"/>
  <c r="AQ243" i="55"/>
  <c r="AK253" i="55"/>
  <c r="AL253" i="55" s="1"/>
  <c r="AS100" i="55"/>
  <c r="AP100" i="55"/>
  <c r="AP34" i="55"/>
  <c r="AP35" i="55"/>
  <c r="J42" i="55"/>
  <c r="I68" i="73" s="1"/>
  <c r="U68" i="73" s="1"/>
  <c r="AG68" i="73" s="1"/>
  <c r="AC68" i="73" s="1"/>
  <c r="AE68" i="73" s="1"/>
  <c r="AP87" i="55"/>
  <c r="AP91" i="55"/>
  <c r="AP92" i="55"/>
  <c r="AP94" i="55"/>
  <c r="AP129" i="55"/>
  <c r="AP130" i="55"/>
  <c r="AK140" i="55"/>
  <c r="AL140" i="55" s="1"/>
  <c r="AP155" i="55"/>
  <c r="AP182" i="55"/>
  <c r="AP186" i="55"/>
  <c r="AP213" i="55"/>
  <c r="AP217" i="55"/>
  <c r="AF229" i="55"/>
  <c r="AG229" i="55" s="1"/>
  <c r="AP276" i="55"/>
  <c r="AF313" i="55"/>
  <c r="AG313" i="55" s="1"/>
  <c r="AK443" i="55"/>
  <c r="AL443" i="55" s="1"/>
  <c r="AF444" i="55"/>
  <c r="AG444" i="55" s="1"/>
  <c r="AR41" i="55"/>
  <c r="AS41" i="55" s="1"/>
  <c r="AK71" i="55"/>
  <c r="AL71" i="55" s="1"/>
  <c r="AP95" i="55"/>
  <c r="AP96" i="55"/>
  <c r="AK106" i="55"/>
  <c r="AL106" i="55" s="1"/>
  <c r="AK113" i="55"/>
  <c r="AL113" i="55" s="1"/>
  <c r="AK115" i="55"/>
  <c r="AL115" i="55" s="1"/>
  <c r="AF138" i="55"/>
  <c r="AG138" i="55" s="1"/>
  <c r="J150" i="55"/>
  <c r="AR150" i="55" s="1"/>
  <c r="AS150" i="55" s="1"/>
  <c r="AS156" i="55"/>
  <c r="AS184" i="55"/>
  <c r="AF203" i="55"/>
  <c r="AG203" i="55" s="1"/>
  <c r="AP214" i="55"/>
  <c r="Z220" i="55"/>
  <c r="Z237" i="55" s="1"/>
  <c r="Z249" i="55" s="1"/>
  <c r="Z269" i="55" s="1"/>
  <c r="AK235" i="55"/>
  <c r="AL235" i="55" s="1"/>
  <c r="AF251" i="55"/>
  <c r="AG251" i="55" s="1"/>
  <c r="AS273" i="55"/>
  <c r="AS277" i="55"/>
  <c r="AF322" i="55"/>
  <c r="AG322" i="55" s="1"/>
  <c r="AF49" i="55"/>
  <c r="AG49" i="55" s="1"/>
  <c r="AP62" i="55"/>
  <c r="AP66" i="55"/>
  <c r="AP67" i="55"/>
  <c r="AK73" i="55"/>
  <c r="AL73" i="55" s="1"/>
  <c r="AK77" i="55"/>
  <c r="AL77" i="55" s="1"/>
  <c r="AK105" i="55"/>
  <c r="AL105" i="55" s="1"/>
  <c r="AP158" i="55"/>
  <c r="AF204" i="55"/>
  <c r="AG204" i="55" s="1"/>
  <c r="AF206" i="55"/>
  <c r="AG206" i="55" s="1"/>
  <c r="AK221" i="55"/>
  <c r="AL221" i="55" s="1"/>
  <c r="AK223" i="55"/>
  <c r="AL223" i="55" s="1"/>
  <c r="AK232" i="55"/>
  <c r="AL232" i="55" s="1"/>
  <c r="AK234" i="55"/>
  <c r="AL234" i="55" s="1"/>
  <c r="AP242" i="55"/>
  <c r="AP251" i="55"/>
  <c r="AF257" i="55"/>
  <c r="AG257" i="55" s="1"/>
  <c r="AF259" i="55"/>
  <c r="AG259" i="55" s="1"/>
  <c r="AK261" i="55"/>
  <c r="AL261" i="55" s="1"/>
  <c r="AF263" i="55"/>
  <c r="AG263" i="55" s="1"/>
  <c r="AK265" i="55"/>
  <c r="AL265" i="55" s="1"/>
  <c r="AK267" i="55"/>
  <c r="AL267" i="55" s="1"/>
  <c r="AR322" i="55"/>
  <c r="AP322" i="55" s="1"/>
  <c r="J346" i="55"/>
  <c r="AR346" i="55" s="1"/>
  <c r="AS346" i="55" s="1"/>
  <c r="AS436" i="55"/>
  <c r="AF445" i="55"/>
  <c r="AG445" i="55" s="1"/>
  <c r="AS32" i="55"/>
  <c r="AS60" i="55"/>
  <c r="AF71" i="55"/>
  <c r="AG71" i="55" s="1"/>
  <c r="H78" i="55"/>
  <c r="AS93" i="55"/>
  <c r="AF101" i="55"/>
  <c r="AG101" i="55" s="1"/>
  <c r="AS122" i="55"/>
  <c r="AS127" i="55"/>
  <c r="AR144" i="55"/>
  <c r="AS144" i="55" s="1"/>
  <c r="AP183" i="55"/>
  <c r="AS183" i="55"/>
  <c r="AP187" i="55"/>
  <c r="AS187" i="55"/>
  <c r="AS227" i="55"/>
  <c r="AP227" i="55"/>
  <c r="E56" i="55"/>
  <c r="E69" i="55" s="1"/>
  <c r="E86" i="55" s="1"/>
  <c r="E99" i="55" s="1"/>
  <c r="E121" i="55" s="1"/>
  <c r="E133" i="55" s="1"/>
  <c r="E153" i="55" s="1"/>
  <c r="E164" i="55" s="1"/>
  <c r="E180" i="55" s="1"/>
  <c r="E190" i="55" s="1"/>
  <c r="E208" i="55" s="1"/>
  <c r="E220" i="55" s="1"/>
  <c r="E237" i="55" s="1"/>
  <c r="E249" i="55" s="1"/>
  <c r="E269" i="55" s="1"/>
  <c r="E281" i="55" s="1"/>
  <c r="E301" i="55" s="1"/>
  <c r="E311" i="55" s="1"/>
  <c r="E328" i="55" s="1"/>
  <c r="E340" i="55" s="1"/>
  <c r="AS63" i="55"/>
  <c r="AR71" i="55"/>
  <c r="AS71" i="55" s="1"/>
  <c r="AF105" i="55"/>
  <c r="AG105" i="55" s="1"/>
  <c r="AF139" i="55"/>
  <c r="AG139" i="55" s="1"/>
  <c r="AP159" i="55"/>
  <c r="AK165" i="55"/>
  <c r="AL165" i="55" s="1"/>
  <c r="AR165" i="55"/>
  <c r="AF165" i="55"/>
  <c r="AG165" i="55" s="1"/>
  <c r="AK41" i="55"/>
  <c r="AL41" i="55" s="1"/>
  <c r="J43" i="55"/>
  <c r="AK43" i="55" s="1"/>
  <c r="AL43" i="55" s="1"/>
  <c r="AF45" i="55"/>
  <c r="AG45" i="55" s="1"/>
  <c r="AK46" i="55"/>
  <c r="AL46" i="55" s="1"/>
  <c r="J47" i="55"/>
  <c r="I45" i="73" s="1"/>
  <c r="U45" i="73" s="1"/>
  <c r="AG45" i="73" s="1"/>
  <c r="AC45" i="73" s="1"/>
  <c r="J70" i="55"/>
  <c r="AK70" i="55" s="1"/>
  <c r="AL70" i="55" s="1"/>
  <c r="AK79" i="55"/>
  <c r="AL79" i="55" s="1"/>
  <c r="AK81" i="55"/>
  <c r="AL81" i="55" s="1"/>
  <c r="AK101" i="55"/>
  <c r="AL101" i="55" s="1"/>
  <c r="AR105" i="55"/>
  <c r="AS105" i="55" s="1"/>
  <c r="J114" i="55"/>
  <c r="AR114" i="55" s="1"/>
  <c r="AS114" i="55" s="1"/>
  <c r="AK118" i="55"/>
  <c r="AL118" i="55" s="1"/>
  <c r="AF120" i="55"/>
  <c r="AG120" i="55" s="1"/>
  <c r="AP131" i="55"/>
  <c r="AS131" i="55"/>
  <c r="AS139" i="55"/>
  <c r="AP139" i="55"/>
  <c r="AK144" i="55"/>
  <c r="AL144" i="55" s="1"/>
  <c r="AK151" i="55"/>
  <c r="AL151" i="55" s="1"/>
  <c r="AP211" i="55"/>
  <c r="AS211" i="55"/>
  <c r="AP215" i="55"/>
  <c r="AS215" i="55"/>
  <c r="AR230" i="55"/>
  <c r="AP230" i="55" s="1"/>
  <c r="AS279" i="55"/>
  <c r="AP279" i="55"/>
  <c r="AF135" i="55"/>
  <c r="AG135" i="55" s="1"/>
  <c r="AF145" i="55"/>
  <c r="AG145" i="55" s="1"/>
  <c r="AA220" i="55"/>
  <c r="AA237" i="55" s="1"/>
  <c r="AA249" i="55" s="1"/>
  <c r="AA269" i="55" s="1"/>
  <c r="AF222" i="55"/>
  <c r="AG222" i="55" s="1"/>
  <c r="AF223" i="55"/>
  <c r="AG223" i="55" s="1"/>
  <c r="AK225" i="55"/>
  <c r="AL225" i="55" s="1"/>
  <c r="AK227" i="55"/>
  <c r="AL227" i="55" s="1"/>
  <c r="AK231" i="55"/>
  <c r="AL231" i="55" s="1"/>
  <c r="AF255" i="55"/>
  <c r="AG255" i="55" s="1"/>
  <c r="AS304" i="55"/>
  <c r="AP304" i="55"/>
  <c r="AS308" i="55"/>
  <c r="AP308" i="55"/>
  <c r="AK196" i="55"/>
  <c r="AL196" i="55" s="1"/>
  <c r="AK230" i="55"/>
  <c r="AL230" i="55" s="1"/>
  <c r="AP246" i="55"/>
  <c r="AP255" i="55"/>
  <c r="AP275" i="55"/>
  <c r="AS355" i="55"/>
  <c r="AP355" i="55"/>
  <c r="AU457" i="55"/>
  <c r="AK251" i="55"/>
  <c r="AL251" i="55" s="1"/>
  <c r="AK255" i="55"/>
  <c r="AL255" i="55" s="1"/>
  <c r="AK289" i="55"/>
  <c r="AL289" i="55" s="1"/>
  <c r="AF295" i="55"/>
  <c r="AG295" i="55" s="1"/>
  <c r="AS306" i="55"/>
  <c r="AK322" i="55"/>
  <c r="AL322" i="55" s="1"/>
  <c r="AK326" i="55"/>
  <c r="AL326" i="55" s="1"/>
  <c r="AR327" i="55"/>
  <c r="AS327" i="55" s="1"/>
  <c r="AS330" i="55"/>
  <c r="AP332" i="55"/>
  <c r="AS334" i="55"/>
  <c r="AP336" i="55"/>
  <c r="AS432" i="55"/>
  <c r="AS435" i="55"/>
  <c r="AS437" i="55"/>
  <c r="AF440" i="55"/>
  <c r="AG440" i="55" s="1"/>
  <c r="AK442" i="55"/>
  <c r="AL442" i="55" s="1"/>
  <c r="AF443" i="55"/>
  <c r="AG443" i="55" s="1"/>
  <c r="AR444" i="55"/>
  <c r="AS444" i="55" s="1"/>
  <c r="AF348" i="55"/>
  <c r="AG348" i="55" s="1"/>
  <c r="AK445" i="55"/>
  <c r="AL445" i="55" s="1"/>
  <c r="AK284" i="55"/>
  <c r="AL284" i="55" s="1"/>
  <c r="AK327" i="55"/>
  <c r="AL327" i="55" s="1"/>
  <c r="AK341" i="55"/>
  <c r="AL341" i="55" s="1"/>
  <c r="AK345" i="55"/>
  <c r="AL345" i="55" s="1"/>
  <c r="AF441" i="55"/>
  <c r="AG441" i="55" s="1"/>
  <c r="AK444" i="55"/>
  <c r="AL444" i="55" s="1"/>
  <c r="AK447" i="55"/>
  <c r="AL447" i="55" s="1"/>
  <c r="I176" i="73"/>
  <c r="U176" i="73" s="1"/>
  <c r="AG176" i="73" s="1"/>
  <c r="AC176" i="73" s="1"/>
  <c r="AE176" i="73" s="1"/>
  <c r="P75" i="23"/>
  <c r="AB299" i="23"/>
  <c r="AB303" i="23"/>
  <c r="AB331" i="23"/>
  <c r="O529" i="23"/>
  <c r="AB523" i="23"/>
  <c r="N529" i="23"/>
  <c r="AB284" i="23"/>
  <c r="AB288" i="23"/>
  <c r="AB292" i="23"/>
  <c r="AB296" i="23"/>
  <c r="AB335" i="23"/>
  <c r="H529" i="23"/>
  <c r="H565" i="23" s="1"/>
  <c r="AB286" i="23"/>
  <c r="AB290" i="23"/>
  <c r="L565" i="23"/>
  <c r="AB294" i="23"/>
  <c r="AB283" i="23"/>
  <c r="AB287" i="23"/>
  <c r="AB291" i="23"/>
  <c r="AB295" i="23"/>
  <c r="AB298" i="23"/>
  <c r="AB302" i="23"/>
  <c r="AB322" i="23"/>
  <c r="AB330" i="23"/>
  <c r="AB334" i="23"/>
  <c r="AB285" i="23"/>
  <c r="AB289" i="23"/>
  <c r="AB293" i="23"/>
  <c r="AB300" i="23"/>
  <c r="AB297" i="23"/>
  <c r="AB301" i="23"/>
  <c r="AE25" i="45"/>
  <c r="N21" i="23"/>
  <c r="AE20" i="45"/>
  <c r="N18" i="23"/>
  <c r="AE27" i="45"/>
  <c r="N23" i="23"/>
  <c r="N20" i="23"/>
  <c r="AE26" i="45"/>
  <c r="N19" i="23"/>
  <c r="X21" i="45"/>
  <c r="AE21" i="45"/>
  <c r="Z57" i="23"/>
  <c r="Z494" i="23" s="1"/>
  <c r="Z511" i="23" s="1"/>
  <c r="T57" i="23"/>
  <c r="I57" i="23"/>
  <c r="U57" i="23"/>
  <c r="AB321" i="23"/>
  <c r="AB324" i="23"/>
  <c r="AB328" i="23"/>
  <c r="AB332" i="23"/>
  <c r="AB336" i="23"/>
  <c r="AB304" i="23"/>
  <c r="AB323" i="23"/>
  <c r="AB327" i="23"/>
  <c r="AB333" i="23"/>
  <c r="AB325" i="23"/>
  <c r="AB326" i="23"/>
  <c r="AB329" i="23"/>
  <c r="Y201" i="23"/>
  <c r="AB352" i="23"/>
  <c r="AB356" i="23"/>
  <c r="AB360" i="23"/>
  <c r="AB420" i="23"/>
  <c r="AB386" i="23"/>
  <c r="AB406" i="23"/>
  <c r="AB381" i="23"/>
  <c r="AB385" i="23"/>
  <c r="AB418" i="23"/>
  <c r="AB436" i="23"/>
  <c r="AB440" i="23"/>
  <c r="AB444" i="23"/>
  <c r="AB448" i="23"/>
  <c r="AB408" i="23"/>
  <c r="AB412" i="23"/>
  <c r="AB416" i="23"/>
  <c r="AB407" i="23"/>
  <c r="AB411" i="23"/>
  <c r="AB415" i="23"/>
  <c r="AB410" i="23"/>
  <c r="AB414" i="23"/>
  <c r="AB435" i="23"/>
  <c r="AB439" i="23"/>
  <c r="AB443" i="23"/>
  <c r="K494" i="23"/>
  <c r="K511" i="23" s="1"/>
  <c r="AB419" i="23"/>
  <c r="Y202" i="23"/>
  <c r="AB441" i="23"/>
  <c r="AB445" i="23"/>
  <c r="AB449" i="23"/>
  <c r="Y29" i="23"/>
  <c r="Y57" i="23" s="1"/>
  <c r="Y200" i="23"/>
  <c r="AB447" i="23"/>
  <c r="AB351" i="23"/>
  <c r="AB355" i="23"/>
  <c r="AB359" i="23"/>
  <c r="I517" i="23"/>
  <c r="I529" i="23" s="1"/>
  <c r="AB353" i="23"/>
  <c r="AB357" i="23"/>
  <c r="AB361" i="23"/>
  <c r="AB380" i="23"/>
  <c r="AB384" i="23"/>
  <c r="AB388" i="23"/>
  <c r="AB391" i="23"/>
  <c r="AB438" i="23"/>
  <c r="AB442" i="23"/>
  <c r="AB446" i="23"/>
  <c r="AB450" i="23"/>
  <c r="AB437" i="23"/>
  <c r="F518" i="23"/>
  <c r="F529" i="23" s="1"/>
  <c r="F564" i="23" s="1"/>
  <c r="R565" i="23"/>
  <c r="X565" i="23"/>
  <c r="Q565" i="23"/>
  <c r="M565" i="23"/>
  <c r="S565" i="23"/>
  <c r="AB378" i="23"/>
  <c r="AB382" i="23"/>
  <c r="J565" i="23"/>
  <c r="J576" i="23" s="1"/>
  <c r="AB350" i="23"/>
  <c r="AB354" i="23"/>
  <c r="AB358" i="23"/>
  <c r="AB362" i="23"/>
  <c r="AB379" i="23"/>
  <c r="AB383" i="23"/>
  <c r="AB387" i="23"/>
  <c r="AB390" i="23"/>
  <c r="K38" i="22"/>
  <c r="K50" i="22" s="1"/>
  <c r="K81" i="22" s="1"/>
  <c r="K166" i="22"/>
  <c r="F50" i="54"/>
  <c r="L124" i="22"/>
  <c r="L135" i="22" s="1"/>
  <c r="L159" i="22" s="1"/>
  <c r="P169" i="22" s="1"/>
  <c r="D164" i="22"/>
  <c r="G50" i="54"/>
  <c r="H50" i="54"/>
  <c r="M21" i="22"/>
  <c r="W13" i="23"/>
  <c r="W57" i="23" s="1"/>
  <c r="P41" i="63"/>
  <c r="H47" i="63"/>
  <c r="G47" i="63"/>
  <c r="J23" i="32" s="1"/>
  <c r="J110" i="50"/>
  <c r="J120" i="50" s="1"/>
  <c r="P42" i="50"/>
  <c r="P68" i="50" s="1"/>
  <c r="P78" i="50" s="1"/>
  <c r="P110" i="50" s="1"/>
  <c r="P120" i="50" s="1"/>
  <c r="D34" i="48"/>
  <c r="I139" i="72"/>
  <c r="I149" i="72" s="1"/>
  <c r="X34" i="52"/>
  <c r="T59" i="52"/>
  <c r="X28" i="52"/>
  <c r="X36" i="52"/>
  <c r="Q59" i="52"/>
  <c r="X25" i="52"/>
  <c r="X33" i="52"/>
  <c r="R59" i="52"/>
  <c r="X32" i="52"/>
  <c r="X56" i="52"/>
  <c r="J17" i="90"/>
  <c r="F25" i="62"/>
  <c r="AC40" i="45"/>
  <c r="AC42" i="45" s="1"/>
  <c r="AC36" i="45"/>
  <c r="H42" i="45"/>
  <c r="H25" i="62"/>
  <c r="Q77" i="24"/>
  <c r="N233" i="23" s="1"/>
  <c r="AB77" i="24"/>
  <c r="Q81" i="24"/>
  <c r="AB81" i="24"/>
  <c r="AB83" i="24"/>
  <c r="Q83" i="24"/>
  <c r="Q85" i="24"/>
  <c r="AB85" i="24"/>
  <c r="AB88" i="24"/>
  <c r="E106" i="73" s="1"/>
  <c r="H106" i="73" s="1"/>
  <c r="AH106" i="73" s="1"/>
  <c r="Q88" i="24"/>
  <c r="AB75" i="24"/>
  <c r="Q75" i="24"/>
  <c r="AA87" i="73"/>
  <c r="AF87" i="73" s="1"/>
  <c r="AB79" i="24"/>
  <c r="Q79" i="24"/>
  <c r="N224" i="23" s="1"/>
  <c r="AA28" i="24"/>
  <c r="Q89" i="24"/>
  <c r="AB89" i="24"/>
  <c r="O475" i="23" s="1"/>
  <c r="AB475" i="23" s="1"/>
  <c r="AA92" i="73"/>
  <c r="Q82" i="24"/>
  <c r="N228" i="23" s="1"/>
  <c r="AB82" i="24"/>
  <c r="AB84" i="24"/>
  <c r="Q84" i="24"/>
  <c r="Q86" i="24"/>
  <c r="N470" i="23" s="1"/>
  <c r="AB86" i="24"/>
  <c r="AB76" i="24"/>
  <c r="Q76" i="24"/>
  <c r="N197" i="23" s="1"/>
  <c r="AB197" i="23" s="1"/>
  <c r="AA23" i="24"/>
  <c r="AA54" i="24" s="1"/>
  <c r="Q78" i="24"/>
  <c r="AB78" i="24"/>
  <c r="AA88" i="73"/>
  <c r="AF88" i="73" s="1"/>
  <c r="AB80" i="24"/>
  <c r="Q80" i="24"/>
  <c r="N225" i="23" s="1"/>
  <c r="AB87" i="24"/>
  <c r="Q87" i="24"/>
  <c r="AB30" i="24"/>
  <c r="Q30" i="24"/>
  <c r="N472" i="23" s="1"/>
  <c r="AB472" i="23" s="1"/>
  <c r="Q29" i="24"/>
  <c r="AB29" i="24"/>
  <c r="Q28" i="24"/>
  <c r="AA89" i="73"/>
  <c r="AF89" i="73" s="1"/>
  <c r="Q27" i="24"/>
  <c r="N226" i="23" s="1"/>
  <c r="AB26" i="24"/>
  <c r="Q26" i="24"/>
  <c r="N223" i="23" s="1"/>
  <c r="AB25" i="24"/>
  <c r="Q25" i="24"/>
  <c r="N222" i="23" s="1"/>
  <c r="AB24" i="24"/>
  <c r="Q24" i="24"/>
  <c r="Q23" i="24"/>
  <c r="AB54" i="24"/>
  <c r="AB22" i="24"/>
  <c r="X32" i="45"/>
  <c r="W24" i="45"/>
  <c r="X25" i="45"/>
  <c r="F14" i="73"/>
  <c r="H14" i="73" s="1"/>
  <c r="AH14" i="73" s="1"/>
  <c r="AN14" i="73" s="1"/>
  <c r="W19" i="45"/>
  <c r="X19" i="45" s="1"/>
  <c r="W22" i="45"/>
  <c r="X22" i="45" s="1"/>
  <c r="W20" i="45"/>
  <c r="O18" i="23" s="1"/>
  <c r="X18" i="45"/>
  <c r="AB19" i="45"/>
  <c r="W27" i="45"/>
  <c r="X27" i="45" s="1"/>
  <c r="W28" i="45"/>
  <c r="X28" i="45" s="1"/>
  <c r="W30" i="45"/>
  <c r="O13" i="23" s="1"/>
  <c r="AB21" i="45"/>
  <c r="X26" i="45"/>
  <c r="K36" i="45"/>
  <c r="O36" i="45" s="1"/>
  <c r="AE24" i="45"/>
  <c r="V37" i="45"/>
  <c r="W34" i="45"/>
  <c r="X34" i="45" s="1"/>
  <c r="AB25" i="45"/>
  <c r="AB20" i="45"/>
  <c r="AB32" i="45"/>
  <c r="M37" i="45"/>
  <c r="M42" i="45" s="1"/>
  <c r="S36" i="45"/>
  <c r="AB36" i="45" s="1"/>
  <c r="L37" i="45"/>
  <c r="K63" i="24" s="1"/>
  <c r="Q37" i="45"/>
  <c r="U37" i="45"/>
  <c r="W33" i="45"/>
  <c r="X33" i="45" s="1"/>
  <c r="N37" i="45"/>
  <c r="N42" i="45" s="1"/>
  <c r="M11" i="4"/>
  <c r="H41" i="20"/>
  <c r="D203" i="20"/>
  <c r="Y17" i="32"/>
  <c r="AA17" i="32"/>
  <c r="J142" i="55"/>
  <c r="I53" i="73" s="1"/>
  <c r="U53" i="73" s="1"/>
  <c r="AF344" i="55"/>
  <c r="AG344" i="55" s="1"/>
  <c r="J19" i="55"/>
  <c r="I11" i="73" s="1"/>
  <c r="J23" i="55"/>
  <c r="Q29" i="55"/>
  <c r="Q40" i="55" s="1"/>
  <c r="Q56" i="55" s="1"/>
  <c r="Q69" i="55" s="1"/>
  <c r="Q86" i="55" s="1"/>
  <c r="Q99" i="55" s="1"/>
  <c r="Q121" i="55" s="1"/>
  <c r="Q133" i="55" s="1"/>
  <c r="Q153" i="55" s="1"/>
  <c r="Q164" i="55" s="1"/>
  <c r="Q180" i="55" s="1"/>
  <c r="Q190" i="55" s="1"/>
  <c r="Q208" i="55" s="1"/>
  <c r="Q220" i="55" s="1"/>
  <c r="Q237" i="55" s="1"/>
  <c r="Q249" i="55" s="1"/>
  <c r="Q269" i="55" s="1"/>
  <c r="Q281" i="55" s="1"/>
  <c r="Q301" i="55" s="1"/>
  <c r="Q311" i="55" s="1"/>
  <c r="Q328" i="55" s="1"/>
  <c r="Q340" i="55" s="1"/>
  <c r="J21" i="55"/>
  <c r="AR21" i="55" s="1"/>
  <c r="H47" i="55"/>
  <c r="AK47" i="55" s="1"/>
  <c r="AL47" i="55" s="1"/>
  <c r="H114" i="55"/>
  <c r="H142" i="55"/>
  <c r="H150" i="55"/>
  <c r="AK85" i="55"/>
  <c r="AL85" i="55" s="1"/>
  <c r="J168" i="55"/>
  <c r="AK13" i="55"/>
  <c r="AL13" i="55" s="1"/>
  <c r="AK14" i="55"/>
  <c r="AL14" i="55" s="1"/>
  <c r="H42" i="55"/>
  <c r="AF42" i="55" s="1"/>
  <c r="AG42" i="55" s="1"/>
  <c r="G56" i="55"/>
  <c r="G69" i="55" s="1"/>
  <c r="G86" i="55" s="1"/>
  <c r="G99" i="55" s="1"/>
  <c r="G121" i="55" s="1"/>
  <c r="G133" i="55" s="1"/>
  <c r="G153" i="55" s="1"/>
  <c r="G164" i="55" s="1"/>
  <c r="G180" i="55" s="1"/>
  <c r="G190" i="55" s="1"/>
  <c r="G208" i="55" s="1"/>
  <c r="G220" i="55" s="1"/>
  <c r="G237" i="55" s="1"/>
  <c r="G249" i="55" s="1"/>
  <c r="G269" i="55" s="1"/>
  <c r="G281" i="55" s="1"/>
  <c r="G301" i="55" s="1"/>
  <c r="G311" i="55" s="1"/>
  <c r="G328" i="55" s="1"/>
  <c r="G340" i="55" s="1"/>
  <c r="H168" i="51"/>
  <c r="F77" i="87"/>
  <c r="J323" i="55"/>
  <c r="AP328" i="55" s="1"/>
  <c r="F76" i="87"/>
  <c r="F35" i="87"/>
  <c r="E40" i="87"/>
  <c r="E51" i="87" s="1"/>
  <c r="E90" i="87" s="1"/>
  <c r="J20" i="55"/>
  <c r="F27" i="87"/>
  <c r="F40" i="87" s="1"/>
  <c r="F51" i="87" s="1"/>
  <c r="K40" i="87"/>
  <c r="K51" i="87" s="1"/>
  <c r="Q90" i="87" s="1"/>
  <c r="J75" i="55"/>
  <c r="AR75" i="55" s="1"/>
  <c r="AS75" i="55" s="1"/>
  <c r="J119" i="55"/>
  <c r="AR119" i="55" s="1"/>
  <c r="AP119" i="55" s="1"/>
  <c r="J172" i="55"/>
  <c r="AF172" i="55" s="1"/>
  <c r="AG172" i="55" s="1"/>
  <c r="J201" i="55"/>
  <c r="I91" i="73" s="1"/>
  <c r="J55" i="55"/>
  <c r="AR55" i="55" s="1"/>
  <c r="AP55" i="55" s="1"/>
  <c r="F34" i="51"/>
  <c r="F44" i="51" s="1"/>
  <c r="F72" i="51" s="1"/>
  <c r="F82" i="51" s="1"/>
  <c r="F109" i="51" s="1"/>
  <c r="F119" i="51" s="1"/>
  <c r="F168" i="51" s="1"/>
  <c r="P29" i="55"/>
  <c r="P40" i="55" s="1"/>
  <c r="P56" i="55" s="1"/>
  <c r="P69" i="55" s="1"/>
  <c r="P86" i="55" s="1"/>
  <c r="P99" i="55" s="1"/>
  <c r="P121" i="55" s="1"/>
  <c r="P133" i="55" s="1"/>
  <c r="P153" i="55" s="1"/>
  <c r="P164" i="55" s="1"/>
  <c r="P180" i="55" s="1"/>
  <c r="P190" i="55" s="1"/>
  <c r="P208" i="55" s="1"/>
  <c r="P220" i="55" s="1"/>
  <c r="P237" i="55" s="1"/>
  <c r="P249" i="55" s="1"/>
  <c r="P269" i="55" s="1"/>
  <c r="P281" i="55" s="1"/>
  <c r="P301" i="55" s="1"/>
  <c r="P311" i="55" s="1"/>
  <c r="P328" i="55" s="1"/>
  <c r="P340" i="55" s="1"/>
  <c r="J178" i="55"/>
  <c r="AR178" i="55" s="1"/>
  <c r="AS178" i="55" s="1"/>
  <c r="J324" i="55"/>
  <c r="AF324" i="55" s="1"/>
  <c r="AG324" i="55" s="1"/>
  <c r="J83" i="55"/>
  <c r="AR83" i="55" s="1"/>
  <c r="AP83" i="55" s="1"/>
  <c r="G179" i="51"/>
  <c r="J52" i="55"/>
  <c r="AK52" i="55" s="1"/>
  <c r="AL52" i="55" s="1"/>
  <c r="J51" i="55"/>
  <c r="I57" i="73" s="1"/>
  <c r="U57" i="73" s="1"/>
  <c r="AG57" i="73" s="1"/>
  <c r="AC57" i="73" s="1"/>
  <c r="AE57" i="73" s="1"/>
  <c r="J50" i="55"/>
  <c r="AR50" i="55" s="1"/>
  <c r="AS50" i="55" s="1"/>
  <c r="J54" i="55"/>
  <c r="I18" i="73" s="1"/>
  <c r="J116" i="55"/>
  <c r="I50" i="73" s="1"/>
  <c r="U50" i="73" s="1"/>
  <c r="AG50" i="73" s="1"/>
  <c r="AC50" i="73" s="1"/>
  <c r="AE50" i="73" s="1"/>
  <c r="J191" i="55"/>
  <c r="I94" i="73" s="1"/>
  <c r="U94" i="73" s="1"/>
  <c r="AG94" i="73" s="1"/>
  <c r="AC94" i="73" s="1"/>
  <c r="AE94" i="73" s="1"/>
  <c r="J137" i="55"/>
  <c r="AR137" i="55" s="1"/>
  <c r="J179" i="55"/>
  <c r="I93" i="73" s="1"/>
  <c r="D72" i="51"/>
  <c r="D82" i="51" s="1"/>
  <c r="D109" i="51" s="1"/>
  <c r="D119" i="51" s="1"/>
  <c r="F56" i="55"/>
  <c r="F69" i="55" s="1"/>
  <c r="F86" i="55" s="1"/>
  <c r="F99" i="55" s="1"/>
  <c r="F121" i="55" s="1"/>
  <c r="F133" i="55" s="1"/>
  <c r="F153" i="55" s="1"/>
  <c r="F164" i="55" s="1"/>
  <c r="F180" i="55" s="1"/>
  <c r="F190" i="55" s="1"/>
  <c r="F208" i="55" s="1"/>
  <c r="F220" i="55" s="1"/>
  <c r="F237" i="55" s="1"/>
  <c r="F249" i="55" s="1"/>
  <c r="F269" i="55" s="1"/>
  <c r="F281" i="55" s="1"/>
  <c r="F301" i="55" s="1"/>
  <c r="F311" i="55" s="1"/>
  <c r="F328" i="55" s="1"/>
  <c r="F340" i="55" s="1"/>
  <c r="AK50" i="55"/>
  <c r="AL50" i="55" s="1"/>
  <c r="J74" i="55"/>
  <c r="AR74" i="55" s="1"/>
  <c r="AP74" i="55" s="1"/>
  <c r="J136" i="55"/>
  <c r="AR136" i="55" s="1"/>
  <c r="H137" i="55"/>
  <c r="J148" i="55"/>
  <c r="AK148" i="55" s="1"/>
  <c r="AL148" i="55" s="1"/>
  <c r="J282" i="55"/>
  <c r="AR282" i="55" s="1"/>
  <c r="AP282" i="55" s="1"/>
  <c r="L44" i="51"/>
  <c r="J72" i="55"/>
  <c r="AR72" i="55" s="1"/>
  <c r="AP72" i="55" s="1"/>
  <c r="J80" i="55"/>
  <c r="AR80" i="55" s="1"/>
  <c r="AS80" i="55" s="1"/>
  <c r="J169" i="55"/>
  <c r="AF169" i="55" s="1"/>
  <c r="AG169" i="55" s="1"/>
  <c r="J170" i="55"/>
  <c r="AF170" i="55" s="1"/>
  <c r="AG170" i="55" s="1"/>
  <c r="J171" i="55"/>
  <c r="AK171" i="55" s="1"/>
  <c r="AL171" i="55" s="1"/>
  <c r="J176" i="55"/>
  <c r="I89" i="73" s="1"/>
  <c r="U89" i="73" s="1"/>
  <c r="J177" i="55"/>
  <c r="AK177" i="55" s="1"/>
  <c r="AL177" i="55" s="1"/>
  <c r="J325" i="55"/>
  <c r="AR325" i="55" s="1"/>
  <c r="AS325" i="55" s="1"/>
  <c r="J349" i="55"/>
  <c r="I97" i="73" s="1"/>
  <c r="U97" i="73" s="1"/>
  <c r="J356" i="55"/>
  <c r="H191" i="55"/>
  <c r="H192" i="55"/>
  <c r="AF192" i="55" s="1"/>
  <c r="AG192" i="55" s="1"/>
  <c r="H282" i="55"/>
  <c r="H349" i="55"/>
  <c r="H136" i="55"/>
  <c r="J173" i="55"/>
  <c r="AF173" i="55" s="1"/>
  <c r="AG173" i="55" s="1"/>
  <c r="J350" i="55"/>
  <c r="AK350" i="55" s="1"/>
  <c r="AL350" i="55" s="1"/>
  <c r="J351" i="55"/>
  <c r="I99" i="73" s="1"/>
  <c r="U99" i="73" s="1"/>
  <c r="J174" i="55"/>
  <c r="AK174" i="55" s="1"/>
  <c r="AL174" i="55" s="1"/>
  <c r="J175" i="55"/>
  <c r="AK175" i="55" s="1"/>
  <c r="AL175" i="55" s="1"/>
  <c r="H72" i="55"/>
  <c r="H74" i="55"/>
  <c r="H80" i="55"/>
  <c r="H325" i="55"/>
  <c r="H51" i="55"/>
  <c r="L72" i="51"/>
  <c r="L82" i="51" s="1"/>
  <c r="L109" i="51" s="1"/>
  <c r="L119" i="51" s="1"/>
  <c r="N42" i="50"/>
  <c r="N68" i="50" s="1"/>
  <c r="N78" i="50" s="1"/>
  <c r="N110" i="50" s="1"/>
  <c r="N120" i="50" s="1"/>
  <c r="Q42" i="50"/>
  <c r="O110" i="50"/>
  <c r="O120" i="50" s="1"/>
  <c r="L35" i="13"/>
  <c r="Q83" i="12"/>
  <c r="Q90" i="12" s="1"/>
  <c r="U82" i="12"/>
  <c r="V82" i="12" s="1"/>
  <c r="K83" i="12"/>
  <c r="O83" i="12"/>
  <c r="M83" i="12"/>
  <c r="L83" i="12"/>
  <c r="P83" i="12"/>
  <c r="H83" i="12"/>
  <c r="N83" i="12"/>
  <c r="J149" i="72"/>
  <c r="J176" i="72" s="1"/>
  <c r="M188" i="72"/>
  <c r="N188" i="72" s="1"/>
  <c r="M52" i="72"/>
  <c r="N52" i="72" s="1"/>
  <c r="M40" i="72"/>
  <c r="N40" i="72" s="1"/>
  <c r="G149" i="72"/>
  <c r="G176" i="72" s="1"/>
  <c r="H91" i="72"/>
  <c r="AB11" i="32"/>
  <c r="AB15" i="32" s="1"/>
  <c r="BA101" i="73"/>
  <c r="BB101" i="73" s="1"/>
  <c r="P47" i="63"/>
  <c r="W194" i="23"/>
  <c r="E25" i="62"/>
  <c r="I25" i="62"/>
  <c r="AM184" i="73"/>
  <c r="AB18" i="45"/>
  <c r="AB22" i="45"/>
  <c r="AB28" i="45"/>
  <c r="AB26" i="45"/>
  <c r="AB30" i="45"/>
  <c r="AC17" i="45"/>
  <c r="AB17" i="45"/>
  <c r="F12" i="73"/>
  <c r="AB27" i="45"/>
  <c r="F22" i="73"/>
  <c r="H22" i="73" s="1"/>
  <c r="AH22" i="73" s="1"/>
  <c r="AN22" i="73" s="1"/>
  <c r="F17" i="73"/>
  <c r="H17" i="73" s="1"/>
  <c r="AH17" i="73" s="1"/>
  <c r="AN17" i="73" s="1"/>
  <c r="AB24" i="45"/>
  <c r="H11" i="73"/>
  <c r="AH11" i="73" s="1"/>
  <c r="T31" i="45"/>
  <c r="P37" i="45"/>
  <c r="AA17" i="73"/>
  <c r="AF17" i="73" s="1"/>
  <c r="H37" i="45"/>
  <c r="AM187" i="73"/>
  <c r="P11" i="4"/>
  <c r="Q31" i="88"/>
  <c r="F49" i="88"/>
  <c r="F13" i="3"/>
  <c r="AA64" i="73"/>
  <c r="AF64" i="73" s="1"/>
  <c r="AF71" i="73" s="1"/>
  <c r="N44" i="45"/>
  <c r="AB74" i="24"/>
  <c r="O196" i="23"/>
  <c r="AB196" i="23" s="1"/>
  <c r="E90" i="73"/>
  <c r="H60" i="73"/>
  <c r="AH60" i="73" s="1"/>
  <c r="AN60" i="73" s="1"/>
  <c r="E85" i="73"/>
  <c r="H85" i="73" s="1"/>
  <c r="AH85" i="73" s="1"/>
  <c r="E92" i="73"/>
  <c r="H92" i="73" s="1"/>
  <c r="AH92" i="73" s="1"/>
  <c r="O224" i="23"/>
  <c r="O228" i="23"/>
  <c r="O229" i="23"/>
  <c r="E64" i="73"/>
  <c r="H64" i="73" s="1"/>
  <c r="AH64" i="73" s="1"/>
  <c r="AN64" i="73" s="1"/>
  <c r="E86" i="73"/>
  <c r="O223" i="23"/>
  <c r="O471" i="23"/>
  <c r="AB471" i="23" s="1"/>
  <c r="O474" i="23"/>
  <c r="AB474" i="23" s="1"/>
  <c r="E89" i="73"/>
  <c r="H89" i="73" s="1"/>
  <c r="AH89" i="73" s="1"/>
  <c r="E93" i="73"/>
  <c r="H93" i="73" s="1"/>
  <c r="AH93" i="73" s="1"/>
  <c r="O194" i="23"/>
  <c r="O221" i="23"/>
  <c r="O225" i="23"/>
  <c r="O230" i="23"/>
  <c r="O470" i="23"/>
  <c r="AA97" i="73"/>
  <c r="AF97" i="73" s="1"/>
  <c r="AA95" i="73"/>
  <c r="AF95" i="73" s="1"/>
  <c r="AA86" i="73"/>
  <c r="AF86" i="73" s="1"/>
  <c r="AA99" i="73"/>
  <c r="AF99" i="73" s="1"/>
  <c r="I165" i="22"/>
  <c r="I164" i="22"/>
  <c r="M26" i="22"/>
  <c r="AC49" i="52"/>
  <c r="P49" i="52"/>
  <c r="P58" i="52" s="1"/>
  <c r="P59" i="52" s="1"/>
  <c r="M49" i="52"/>
  <c r="M58" i="52" s="1"/>
  <c r="O59" i="52"/>
  <c r="X15" i="52"/>
  <c r="U59" i="52"/>
  <c r="X19" i="52"/>
  <c r="X12" i="52"/>
  <c r="X14" i="52"/>
  <c r="X16" i="52"/>
  <c r="X20" i="52"/>
  <c r="X22" i="52"/>
  <c r="X13" i="52"/>
  <c r="X17" i="52"/>
  <c r="X21" i="52"/>
  <c r="W59" i="52"/>
  <c r="X18" i="52"/>
  <c r="X11" i="52"/>
  <c r="AC24" i="52"/>
  <c r="H59" i="52"/>
  <c r="AP213" i="56"/>
  <c r="AB165" i="56"/>
  <c r="AC165" i="56" s="1"/>
  <c r="AJ165" i="56"/>
  <c r="AE170" i="56"/>
  <c r="AF170" i="56" s="1"/>
  <c r="AE165" i="56"/>
  <c r="AF165" i="56" s="1"/>
  <c r="K22" i="56"/>
  <c r="AK448" i="55"/>
  <c r="AL448" i="55" s="1"/>
  <c r="AF442" i="55"/>
  <c r="AG442" i="55" s="1"/>
  <c r="AK446" i="55"/>
  <c r="AL446" i="55" s="1"/>
  <c r="I185" i="73"/>
  <c r="U185" i="73" s="1"/>
  <c r="AG185" i="73" s="1"/>
  <c r="AC185" i="73" s="1"/>
  <c r="AE185" i="73" s="1"/>
  <c r="AK440" i="55"/>
  <c r="AL440" i="55" s="1"/>
  <c r="AK441" i="55"/>
  <c r="AL441" i="55" s="1"/>
  <c r="AR448" i="55"/>
  <c r="AS448" i="55" s="1"/>
  <c r="AR449" i="55"/>
  <c r="AS449" i="55" s="1"/>
  <c r="AR450" i="55"/>
  <c r="AS450" i="55" s="1"/>
  <c r="AR451" i="55"/>
  <c r="AS451" i="55" s="1"/>
  <c r="AR452" i="55"/>
  <c r="AS452" i="55" s="1"/>
  <c r="AR453" i="55"/>
  <c r="AS453" i="55" s="1"/>
  <c r="AR455" i="55"/>
  <c r="I173" i="73"/>
  <c r="U173" i="73" s="1"/>
  <c r="AG173" i="73" s="1"/>
  <c r="AC173" i="73" s="1"/>
  <c r="AE173" i="73" s="1"/>
  <c r="E13" i="48"/>
  <c r="AD471" i="55"/>
  <c r="AR412" i="55"/>
  <c r="AS412" i="55" s="1"/>
  <c r="AK409" i="55"/>
  <c r="AL409" i="55" s="1"/>
  <c r="AF412" i="55"/>
  <c r="AG412" i="55" s="1"/>
  <c r="AS408" i="55"/>
  <c r="AP408" i="55"/>
  <c r="AS409" i="55"/>
  <c r="AP409" i="55"/>
  <c r="AF408" i="55"/>
  <c r="AG408" i="55" s="1"/>
  <c r="AK412" i="55"/>
  <c r="AL412" i="55" s="1"/>
  <c r="I177" i="73"/>
  <c r="U177" i="73" s="1"/>
  <c r="AG177" i="73" s="1"/>
  <c r="AC177" i="73" s="1"/>
  <c r="AE177" i="73" s="1"/>
  <c r="AF409" i="55"/>
  <c r="AG409" i="55" s="1"/>
  <c r="AK408" i="55"/>
  <c r="AL408" i="55" s="1"/>
  <c r="AR410" i="55"/>
  <c r="AS410" i="55" s="1"/>
  <c r="AR357" i="55"/>
  <c r="AP357" i="55" s="1"/>
  <c r="AK342" i="55"/>
  <c r="AL342" i="55" s="1"/>
  <c r="AK352" i="55"/>
  <c r="AL352" i="55" s="1"/>
  <c r="AP348" i="55"/>
  <c r="AS348" i="55"/>
  <c r="AS342" i="55"/>
  <c r="AS341" i="55"/>
  <c r="AP341" i="55"/>
  <c r="AP343" i="55"/>
  <c r="AS345" i="55"/>
  <c r="AP345" i="55"/>
  <c r="AS352" i="55"/>
  <c r="AP352" i="55"/>
  <c r="AS353" i="55"/>
  <c r="AP353" i="55"/>
  <c r="I54" i="73"/>
  <c r="U54" i="73" s="1"/>
  <c r="AG54" i="73" s="1"/>
  <c r="AC54" i="73" s="1"/>
  <c r="AE54" i="73" s="1"/>
  <c r="AF341" i="55"/>
  <c r="AG341" i="55" s="1"/>
  <c r="AF342" i="55"/>
  <c r="AG342" i="55" s="1"/>
  <c r="AR344" i="55"/>
  <c r="AF345" i="55"/>
  <c r="AG345" i="55" s="1"/>
  <c r="AK348" i="55"/>
  <c r="AL348" i="55" s="1"/>
  <c r="AF352" i="55"/>
  <c r="AG352" i="55" s="1"/>
  <c r="AS354" i="55"/>
  <c r="I104" i="73"/>
  <c r="AK344" i="55"/>
  <c r="AL344" i="55" s="1"/>
  <c r="AP315" i="55"/>
  <c r="AS315" i="55"/>
  <c r="AP318" i="55"/>
  <c r="AS318" i="55"/>
  <c r="AF315" i="55"/>
  <c r="AG315" i="55" s="1"/>
  <c r="AF316" i="55"/>
  <c r="AG316" i="55" s="1"/>
  <c r="AF318" i="55"/>
  <c r="AG318" i="55" s="1"/>
  <c r="AK319" i="55"/>
  <c r="AL319" i="55" s="1"/>
  <c r="AF321" i="55"/>
  <c r="AG321" i="55" s="1"/>
  <c r="AK315" i="55"/>
  <c r="AL315" i="55" s="1"/>
  <c r="AK318" i="55"/>
  <c r="AL318" i="55" s="1"/>
  <c r="AF320" i="55"/>
  <c r="AG320" i="55" s="1"/>
  <c r="AF326" i="55"/>
  <c r="AG326" i="55" s="1"/>
  <c r="AS312" i="55"/>
  <c r="AP312" i="55"/>
  <c r="AP320" i="55"/>
  <c r="AS320" i="55"/>
  <c r="AP313" i="55"/>
  <c r="AS313" i="55"/>
  <c r="AS319" i="55"/>
  <c r="AP319" i="55"/>
  <c r="AK320" i="55"/>
  <c r="AL320" i="55" s="1"/>
  <c r="AR326" i="55"/>
  <c r="AF312" i="55"/>
  <c r="AG312" i="55" s="1"/>
  <c r="AK314" i="55"/>
  <c r="AL314" i="55" s="1"/>
  <c r="AS314" i="55"/>
  <c r="AK316" i="55"/>
  <c r="AL316" i="55" s="1"/>
  <c r="AK317" i="55"/>
  <c r="AL317" i="55" s="1"/>
  <c r="AS317" i="55"/>
  <c r="AF319" i="55"/>
  <c r="AG319" i="55" s="1"/>
  <c r="AK321" i="55"/>
  <c r="AL321" i="55" s="1"/>
  <c r="AS321" i="55"/>
  <c r="AF327" i="55"/>
  <c r="AG327" i="55" s="1"/>
  <c r="AK313" i="55"/>
  <c r="AL313" i="55" s="1"/>
  <c r="AF296" i="55"/>
  <c r="AG296" i="55" s="1"/>
  <c r="AF289" i="55"/>
  <c r="AG289" i="55" s="1"/>
  <c r="AF299" i="55"/>
  <c r="AG299" i="55" s="1"/>
  <c r="AK287" i="55"/>
  <c r="AL287" i="55" s="1"/>
  <c r="AR288" i="55"/>
  <c r="AP288" i="55" s="1"/>
  <c r="AK292" i="55"/>
  <c r="AL292" i="55" s="1"/>
  <c r="AK290" i="55"/>
  <c r="AL290" i="55" s="1"/>
  <c r="AF283" i="55"/>
  <c r="AG283" i="55" s="1"/>
  <c r="AR284" i="55"/>
  <c r="AP284" i="55" s="1"/>
  <c r="AK286" i="55"/>
  <c r="AL286" i="55" s="1"/>
  <c r="AK288" i="55"/>
  <c r="AL288" i="55" s="1"/>
  <c r="AF291" i="55"/>
  <c r="AG291" i="55" s="1"/>
  <c r="AR292" i="55"/>
  <c r="AP292" i="55" s="1"/>
  <c r="AK294" i="55"/>
  <c r="AL294" i="55" s="1"/>
  <c r="AK296" i="55"/>
  <c r="AL296" i="55" s="1"/>
  <c r="AK298" i="55"/>
  <c r="AL298" i="55" s="1"/>
  <c r="AK299" i="55"/>
  <c r="AL299" i="55" s="1"/>
  <c r="AF285" i="55"/>
  <c r="AG285" i="55" s="1"/>
  <c r="AF293" i="55"/>
  <c r="AG293" i="55" s="1"/>
  <c r="AF297" i="55"/>
  <c r="AG297" i="55" s="1"/>
  <c r="AK285" i="55"/>
  <c r="AL285" i="55" s="1"/>
  <c r="AK293" i="55"/>
  <c r="AL293" i="55" s="1"/>
  <c r="AK297" i="55"/>
  <c r="AL297" i="55" s="1"/>
  <c r="AF300" i="55"/>
  <c r="AG300" i="55" s="1"/>
  <c r="AS285" i="55"/>
  <c r="AP285" i="55"/>
  <c r="AP293" i="55"/>
  <c r="AS293" i="55"/>
  <c r="AS297" i="55"/>
  <c r="AP297" i="55"/>
  <c r="AS287" i="55"/>
  <c r="AP287" i="55"/>
  <c r="AS290" i="55"/>
  <c r="AP290" i="55"/>
  <c r="AS295" i="55"/>
  <c r="AP295" i="55"/>
  <c r="AP299" i="55"/>
  <c r="AS299" i="55"/>
  <c r="AS289" i="55"/>
  <c r="AP289" i="55"/>
  <c r="AP283" i="55"/>
  <c r="AS283" i="55"/>
  <c r="AS286" i="55"/>
  <c r="AP286" i="55"/>
  <c r="AP291" i="55"/>
  <c r="AS291" i="55"/>
  <c r="AS294" i="55"/>
  <c r="AP294" i="55"/>
  <c r="AS298" i="55"/>
  <c r="AP298" i="55"/>
  <c r="AK283" i="55"/>
  <c r="AL283" i="55" s="1"/>
  <c r="AK295" i="55"/>
  <c r="AL295" i="55" s="1"/>
  <c r="AS284" i="55"/>
  <c r="AF286" i="55"/>
  <c r="AG286" i="55" s="1"/>
  <c r="AF290" i="55"/>
  <c r="AG290" i="55" s="1"/>
  <c r="AF294" i="55"/>
  <c r="AG294" i="55" s="1"/>
  <c r="AS296" i="55"/>
  <c r="AF298" i="55"/>
  <c r="AG298" i="55" s="1"/>
  <c r="AK300" i="55"/>
  <c r="AL300" i="55" s="1"/>
  <c r="AS300" i="55"/>
  <c r="AK291" i="55"/>
  <c r="AL291" i="55" s="1"/>
  <c r="AF287" i="55"/>
  <c r="AG287" i="55" s="1"/>
  <c r="AS260" i="55"/>
  <c r="AP260" i="55"/>
  <c r="AS264" i="55"/>
  <c r="AP264" i="55"/>
  <c r="AF260" i="55"/>
  <c r="AG260" i="55" s="1"/>
  <c r="AF264" i="55"/>
  <c r="AG264" i="55" s="1"/>
  <c r="AF250" i="55"/>
  <c r="AG250" i="55" s="1"/>
  <c r="AK252" i="55"/>
  <c r="AL252" i="55" s="1"/>
  <c r="AF254" i="55"/>
  <c r="AG254" i="55" s="1"/>
  <c r="AK256" i="55"/>
  <c r="AL256" i="55" s="1"/>
  <c r="AF258" i="55"/>
  <c r="AG258" i="55" s="1"/>
  <c r="AK262" i="55"/>
  <c r="AL262" i="55" s="1"/>
  <c r="AF266" i="55"/>
  <c r="AG266" i="55" s="1"/>
  <c r="AK260" i="55"/>
  <c r="AL260" i="55" s="1"/>
  <c r="AK264" i="55"/>
  <c r="AL264" i="55" s="1"/>
  <c r="AK268" i="55"/>
  <c r="AL268" i="55" s="1"/>
  <c r="AS261" i="55"/>
  <c r="AP261" i="55"/>
  <c r="AS265" i="55"/>
  <c r="AP265" i="55"/>
  <c r="AS252" i="55"/>
  <c r="AP252" i="55"/>
  <c r="AS256" i="55"/>
  <c r="AP256" i="55"/>
  <c r="AP262" i="55"/>
  <c r="AS262" i="55"/>
  <c r="AP266" i="55"/>
  <c r="AS266" i="55"/>
  <c r="AS267" i="55"/>
  <c r="AP267" i="55"/>
  <c r="AS253" i="55"/>
  <c r="AP253" i="55"/>
  <c r="AS257" i="55"/>
  <c r="AP257" i="55"/>
  <c r="AP268" i="55"/>
  <c r="AS268" i="55"/>
  <c r="AK257" i="55"/>
  <c r="AL257" i="55" s="1"/>
  <c r="AK250" i="55"/>
  <c r="AL250" i="55" s="1"/>
  <c r="AS250" i="55"/>
  <c r="AF252" i="55"/>
  <c r="AG252" i="55" s="1"/>
  <c r="AK254" i="55"/>
  <c r="AL254" i="55" s="1"/>
  <c r="AS254" i="55"/>
  <c r="AF256" i="55"/>
  <c r="AG256" i="55" s="1"/>
  <c r="AK258" i="55"/>
  <c r="AL258" i="55" s="1"/>
  <c r="AK259" i="55"/>
  <c r="AL259" i="55" s="1"/>
  <c r="AS259" i="55"/>
  <c r="AF261" i="55"/>
  <c r="AG261" i="55" s="1"/>
  <c r="AK263" i="55"/>
  <c r="AL263" i="55" s="1"/>
  <c r="AS263" i="55"/>
  <c r="AF265" i="55"/>
  <c r="AG265" i="55" s="1"/>
  <c r="AF267" i="55"/>
  <c r="AG267" i="55" s="1"/>
  <c r="AF253" i="55"/>
  <c r="AG253" i="55" s="1"/>
  <c r="AF262" i="55"/>
  <c r="AG262" i="55" s="1"/>
  <c r="AK266" i="55"/>
  <c r="AL266" i="55" s="1"/>
  <c r="AF268" i="55"/>
  <c r="AG268" i="55" s="1"/>
  <c r="AP229" i="55"/>
  <c r="AS229" i="55"/>
  <c r="AF224" i="55"/>
  <c r="AG224" i="55" s="1"/>
  <c r="AK224" i="55"/>
  <c r="AL224" i="55" s="1"/>
  <c r="AK228" i="55"/>
  <c r="AL228" i="55" s="1"/>
  <c r="AF233" i="55"/>
  <c r="AG233" i="55" s="1"/>
  <c r="AF236" i="55"/>
  <c r="AG236" i="55" s="1"/>
  <c r="AS221" i="55"/>
  <c r="AP221" i="55"/>
  <c r="AS225" i="55"/>
  <c r="AP225" i="55"/>
  <c r="AS232" i="55"/>
  <c r="AP232" i="55"/>
  <c r="AP224" i="55"/>
  <c r="AS224" i="55"/>
  <c r="AS231" i="55"/>
  <c r="AP231" i="55"/>
  <c r="AS235" i="55"/>
  <c r="AP235" i="55"/>
  <c r="AP236" i="55"/>
  <c r="AS236" i="55"/>
  <c r="AP222" i="55"/>
  <c r="AS222" i="55"/>
  <c r="AS226" i="55"/>
  <c r="AP226" i="55"/>
  <c r="AS228" i="55"/>
  <c r="AP228" i="55"/>
  <c r="AS234" i="55"/>
  <c r="AP234" i="55"/>
  <c r="AK222" i="55"/>
  <c r="AL222" i="55" s="1"/>
  <c r="AK229" i="55"/>
  <c r="AL229" i="55" s="1"/>
  <c r="AF221" i="55"/>
  <c r="AG221" i="55" s="1"/>
  <c r="AS223" i="55"/>
  <c r="AF225" i="55"/>
  <c r="AG225" i="55" s="1"/>
  <c r="AF228" i="55"/>
  <c r="AG228" i="55" s="1"/>
  <c r="AF232" i="55"/>
  <c r="AG232" i="55" s="1"/>
  <c r="AK233" i="55"/>
  <c r="AL233" i="55" s="1"/>
  <c r="AS233" i="55"/>
  <c r="AF235" i="55"/>
  <c r="AG235" i="55" s="1"/>
  <c r="AK226" i="55"/>
  <c r="AL226" i="55" s="1"/>
  <c r="AK236" i="55"/>
  <c r="AL236" i="55" s="1"/>
  <c r="AF197" i="55"/>
  <c r="AG197" i="55" s="1"/>
  <c r="AF194" i="55"/>
  <c r="AG194" i="55" s="1"/>
  <c r="AF202" i="55"/>
  <c r="AG202" i="55" s="1"/>
  <c r="AS197" i="55"/>
  <c r="AP197" i="55"/>
  <c r="AS194" i="55"/>
  <c r="AP194" i="55"/>
  <c r="AS202" i="55"/>
  <c r="AP202" i="55"/>
  <c r="AS206" i="55"/>
  <c r="AP206" i="55"/>
  <c r="AK198" i="55"/>
  <c r="AL198" i="55" s="1"/>
  <c r="AK200" i="55"/>
  <c r="AL200" i="55" s="1"/>
  <c r="AK203" i="55"/>
  <c r="AL203" i="55" s="1"/>
  <c r="AF205" i="55"/>
  <c r="AG205" i="55" s="1"/>
  <c r="AK207" i="55"/>
  <c r="AL207" i="55" s="1"/>
  <c r="AK194" i="55"/>
  <c r="AL194" i="55" s="1"/>
  <c r="AK199" i="55"/>
  <c r="AL199" i="55" s="1"/>
  <c r="R91" i="73"/>
  <c r="N91" i="73" s="1"/>
  <c r="AK195" i="55"/>
  <c r="AL195" i="55" s="1"/>
  <c r="AK197" i="55"/>
  <c r="AL197" i="55" s="1"/>
  <c r="AK202" i="55"/>
  <c r="AL202" i="55" s="1"/>
  <c r="AK206" i="55"/>
  <c r="AL206" i="55" s="1"/>
  <c r="AS199" i="55"/>
  <c r="AP199" i="55"/>
  <c r="AS207" i="55"/>
  <c r="AP207" i="55"/>
  <c r="AS196" i="55"/>
  <c r="AP196" i="55"/>
  <c r="AS195" i="55"/>
  <c r="AP195" i="55"/>
  <c r="AS200" i="55"/>
  <c r="AP200" i="55"/>
  <c r="AS192" i="55"/>
  <c r="AP192" i="55"/>
  <c r="AP204" i="55"/>
  <c r="AS204" i="55"/>
  <c r="AF199" i="55"/>
  <c r="AG199" i="55" s="1"/>
  <c r="AK204" i="55"/>
  <c r="AL204" i="55" s="1"/>
  <c r="AF195" i="55"/>
  <c r="AG195" i="55" s="1"/>
  <c r="AF200" i="55"/>
  <c r="AG200" i="55" s="1"/>
  <c r="AK205" i="55"/>
  <c r="AL205" i="55" s="1"/>
  <c r="AS205" i="55"/>
  <c r="AF207" i="55"/>
  <c r="AG207" i="55" s="1"/>
  <c r="AF196" i="55"/>
  <c r="AG196" i="55" s="1"/>
  <c r="AR198" i="55"/>
  <c r="AR203" i="55"/>
  <c r="R92" i="73"/>
  <c r="N92" i="73" s="1"/>
  <c r="AS146" i="55"/>
  <c r="AP146" i="55"/>
  <c r="AF146" i="55"/>
  <c r="AG146" i="55" s="1"/>
  <c r="AF144" i="55"/>
  <c r="AG144" i="55" s="1"/>
  <c r="AF134" i="55"/>
  <c r="AG134" i="55" s="1"/>
  <c r="AK146" i="55"/>
  <c r="AL146" i="55" s="1"/>
  <c r="AS140" i="55"/>
  <c r="AP140" i="55"/>
  <c r="AP145" i="55"/>
  <c r="AS145" i="55"/>
  <c r="AP134" i="55"/>
  <c r="AS134" i="55"/>
  <c r="AK145" i="55"/>
  <c r="AL145" i="55" s="1"/>
  <c r="AF151" i="55"/>
  <c r="AG151" i="55" s="1"/>
  <c r="AK135" i="55"/>
  <c r="AL135" i="55" s="1"/>
  <c r="AS135" i="55"/>
  <c r="AK138" i="55"/>
  <c r="AL138" i="55" s="1"/>
  <c r="AS138" i="55"/>
  <c r="AF140" i="55"/>
  <c r="AG140" i="55" s="1"/>
  <c r="AK143" i="55"/>
  <c r="AL143" i="55" s="1"/>
  <c r="AS143" i="55"/>
  <c r="AR151" i="55"/>
  <c r="AK134" i="55"/>
  <c r="AL134" i="55" s="1"/>
  <c r="AK108" i="55"/>
  <c r="AL108" i="55" s="1"/>
  <c r="AK110" i="55"/>
  <c r="AL110" i="55" s="1"/>
  <c r="AS117" i="55"/>
  <c r="AP117" i="55"/>
  <c r="AS107" i="55"/>
  <c r="AP107" i="55"/>
  <c r="AP101" i="55"/>
  <c r="AK103" i="55"/>
  <c r="AL103" i="55" s="1"/>
  <c r="AF107" i="55"/>
  <c r="AG107" i="55" s="1"/>
  <c r="AF117" i="55"/>
  <c r="AG117" i="55" s="1"/>
  <c r="AK102" i="55"/>
  <c r="AL102" i="55" s="1"/>
  <c r="AF104" i="55"/>
  <c r="AG104" i="55" s="1"/>
  <c r="AK107" i="55"/>
  <c r="AL107" i="55" s="1"/>
  <c r="AK112" i="55"/>
  <c r="AL112" i="55" s="1"/>
  <c r="AK117" i="55"/>
  <c r="AL117" i="55" s="1"/>
  <c r="I47" i="73"/>
  <c r="AS106" i="55"/>
  <c r="AP106" i="55"/>
  <c r="AS108" i="55"/>
  <c r="AP108" i="55"/>
  <c r="AS110" i="55"/>
  <c r="AP110" i="55"/>
  <c r="AS118" i="55"/>
  <c r="AP118" i="55"/>
  <c r="AS103" i="55"/>
  <c r="AP103" i="55"/>
  <c r="AP115" i="55"/>
  <c r="AS115" i="55"/>
  <c r="AP109" i="55"/>
  <c r="AS109" i="55"/>
  <c r="AS113" i="55"/>
  <c r="AP113" i="55"/>
  <c r="AS102" i="55"/>
  <c r="AP102" i="55"/>
  <c r="AS120" i="55"/>
  <c r="AP120" i="55"/>
  <c r="AF102" i="55"/>
  <c r="AG102" i="55" s="1"/>
  <c r="AK104" i="55"/>
  <c r="AL104" i="55" s="1"/>
  <c r="AS104" i="55"/>
  <c r="AF108" i="55"/>
  <c r="AG108" i="55" s="1"/>
  <c r="AF110" i="55"/>
  <c r="AG110" i="55" s="1"/>
  <c r="AF118" i="55"/>
  <c r="AG118" i="55" s="1"/>
  <c r="AK109" i="55"/>
  <c r="AL109" i="55" s="1"/>
  <c r="AK120" i="55"/>
  <c r="AL120" i="55" s="1"/>
  <c r="AF113" i="55"/>
  <c r="AG113" i="55" s="1"/>
  <c r="AF103" i="55"/>
  <c r="AG103" i="55" s="1"/>
  <c r="AF106" i="55"/>
  <c r="AG106" i="55" s="1"/>
  <c r="AF115" i="55"/>
  <c r="AG115" i="55" s="1"/>
  <c r="AP71" i="55"/>
  <c r="AK76" i="55"/>
  <c r="AL76" i="55" s="1"/>
  <c r="AP82" i="55"/>
  <c r="AS82" i="55"/>
  <c r="AR76" i="55"/>
  <c r="AF79" i="55"/>
  <c r="AG79" i="55" s="1"/>
  <c r="AF82" i="55"/>
  <c r="AG82" i="55" s="1"/>
  <c r="AF84" i="55"/>
  <c r="AG84" i="55" s="1"/>
  <c r="AS79" i="55"/>
  <c r="AP79" i="55"/>
  <c r="AS81" i="55"/>
  <c r="AP81" i="55"/>
  <c r="AS77" i="55"/>
  <c r="AP77" i="55"/>
  <c r="AS73" i="55"/>
  <c r="AP73" i="55"/>
  <c r="AF73" i="55"/>
  <c r="AG73" i="55" s="1"/>
  <c r="AK82" i="55"/>
  <c r="AL82" i="55" s="1"/>
  <c r="AF77" i="55"/>
  <c r="AG77" i="55" s="1"/>
  <c r="AF81" i="55"/>
  <c r="AG81" i="55" s="1"/>
  <c r="AK84" i="55"/>
  <c r="AL84" i="55" s="1"/>
  <c r="AK48" i="55"/>
  <c r="AL48" i="55" s="1"/>
  <c r="AR47" i="55"/>
  <c r="AP47" i="55" s="1"/>
  <c r="AP53" i="55"/>
  <c r="AS53" i="55"/>
  <c r="AF41" i="55"/>
  <c r="AG41" i="55" s="1"/>
  <c r="AK45" i="55"/>
  <c r="AL45" i="55" s="1"/>
  <c r="AS45" i="55"/>
  <c r="AF46" i="55"/>
  <c r="AG46" i="55" s="1"/>
  <c r="AP46" i="55"/>
  <c r="AF48" i="55"/>
  <c r="AG48" i="55" s="1"/>
  <c r="AP48" i="55"/>
  <c r="AK49" i="55"/>
  <c r="AL49" i="55" s="1"/>
  <c r="AS49" i="55"/>
  <c r="AF43" i="55"/>
  <c r="AG43" i="55" s="1"/>
  <c r="Z49" i="55"/>
  <c r="AK12" i="55"/>
  <c r="AL12" i="55" s="1"/>
  <c r="AF12" i="55"/>
  <c r="AG12" i="55" s="1"/>
  <c r="AR12" i="55"/>
  <c r="AP12" i="55" s="1"/>
  <c r="AK18" i="55"/>
  <c r="AL18" i="55" s="1"/>
  <c r="H29" i="55"/>
  <c r="H40" i="55" s="1"/>
  <c r="AK25" i="55"/>
  <c r="AL25" i="55" s="1"/>
  <c r="I42" i="73"/>
  <c r="AK28" i="55"/>
  <c r="AL28" i="55" s="1"/>
  <c r="AF15" i="55"/>
  <c r="AG15" i="55" s="1"/>
  <c r="AF14" i="55"/>
  <c r="AG14" i="55" s="1"/>
  <c r="AF27" i="55"/>
  <c r="AG27" i="55" s="1"/>
  <c r="AF28" i="55"/>
  <c r="AG28" i="55" s="1"/>
  <c r="AS15" i="55"/>
  <c r="AP15" i="55"/>
  <c r="AS18" i="55"/>
  <c r="AP18" i="55"/>
  <c r="AP25" i="55"/>
  <c r="AS25" i="55"/>
  <c r="AP27" i="55"/>
  <c r="AS27" i="55"/>
  <c r="AP28" i="55"/>
  <c r="AS28" i="55"/>
  <c r="AK27" i="55"/>
  <c r="AL27" i="55" s="1"/>
  <c r="AF13" i="55"/>
  <c r="AG13" i="55" s="1"/>
  <c r="AP13" i="55"/>
  <c r="AF18" i="55"/>
  <c r="AG18" i="55" s="1"/>
  <c r="I16" i="73"/>
  <c r="U16" i="73" s="1"/>
  <c r="AG16" i="73" s="1"/>
  <c r="AC16" i="73" s="1"/>
  <c r="AE16" i="73" s="1"/>
  <c r="AR14" i="55"/>
  <c r="AK15" i="55"/>
  <c r="AL15" i="55" s="1"/>
  <c r="AF22" i="55"/>
  <c r="AG22" i="55" s="1"/>
  <c r="AF25" i="55"/>
  <c r="AG25" i="55" s="1"/>
  <c r="AS36" i="55"/>
  <c r="AP438" i="55"/>
  <c r="AP339" i="55"/>
  <c r="AP338" i="55"/>
  <c r="AP310" i="55"/>
  <c r="AP309" i="55"/>
  <c r="AP280" i="55"/>
  <c r="AS248" i="55"/>
  <c r="AS247" i="55"/>
  <c r="AP219" i="55"/>
  <c r="AP218" i="55"/>
  <c r="AS189" i="55"/>
  <c r="AS188" i="55"/>
  <c r="AS163" i="55"/>
  <c r="AS162" i="55"/>
  <c r="AS132" i="55"/>
  <c r="AS97" i="55"/>
  <c r="AP98" i="55"/>
  <c r="AS68" i="55"/>
  <c r="AP39" i="55"/>
  <c r="AP38" i="55"/>
  <c r="R69" i="14"/>
  <c r="R67" i="14"/>
  <c r="E12" i="48"/>
  <c r="T121" i="50"/>
  <c r="U121" i="50" s="1"/>
  <c r="I30" i="50"/>
  <c r="I35" i="13"/>
  <c r="R34" i="13"/>
  <c r="R30" i="13"/>
  <c r="AB52" i="56"/>
  <c r="AC52" i="56" s="1"/>
  <c r="O35" i="13"/>
  <c r="S30" i="13"/>
  <c r="M35" i="13"/>
  <c r="AR52" i="56"/>
  <c r="AS52" i="56" s="1"/>
  <c r="AK52" i="56"/>
  <c r="AL52" i="56" s="1"/>
  <c r="G59" i="13"/>
  <c r="L59" i="13"/>
  <c r="AP410" i="55"/>
  <c r="I186" i="73"/>
  <c r="U186" i="73" s="1"/>
  <c r="AG186" i="73" s="1"/>
  <c r="AC186" i="73" s="1"/>
  <c r="AE186" i="73" s="1"/>
  <c r="AK410" i="55"/>
  <c r="AL410" i="55" s="1"/>
  <c r="E11" i="48"/>
  <c r="G83" i="12"/>
  <c r="AF410" i="55"/>
  <c r="AG410" i="55" s="1"/>
  <c r="N29" i="55"/>
  <c r="N40" i="55" s="1"/>
  <c r="N56" i="55" s="1"/>
  <c r="N69" i="55" s="1"/>
  <c r="N86" i="55" s="1"/>
  <c r="N99" i="55" s="1"/>
  <c r="N121" i="55" s="1"/>
  <c r="N133" i="55" s="1"/>
  <c r="N153" i="55" s="1"/>
  <c r="N164" i="55" s="1"/>
  <c r="N180" i="55" s="1"/>
  <c r="N190" i="55" s="1"/>
  <c r="N208" i="55" s="1"/>
  <c r="N220" i="55" s="1"/>
  <c r="N237" i="55" s="1"/>
  <c r="N249" i="55" s="1"/>
  <c r="N269" i="55" s="1"/>
  <c r="N281" i="55" s="1"/>
  <c r="N301" i="55" s="1"/>
  <c r="N311" i="55" s="1"/>
  <c r="N328" i="55" s="1"/>
  <c r="N340" i="55" s="1"/>
  <c r="J16" i="55"/>
  <c r="AR16" i="55" s="1"/>
  <c r="I60" i="73"/>
  <c r="J149" i="55"/>
  <c r="AR149" i="55" s="1"/>
  <c r="J111" i="55"/>
  <c r="AF24" i="55"/>
  <c r="AG24" i="55" s="1"/>
  <c r="I15" i="73"/>
  <c r="U15" i="73" s="1"/>
  <c r="AG15" i="73" s="1"/>
  <c r="AC15" i="73" s="1"/>
  <c r="AE15" i="73" s="1"/>
  <c r="AK24" i="55"/>
  <c r="AL24" i="55" s="1"/>
  <c r="AR24" i="55"/>
  <c r="AK21" i="55"/>
  <c r="AL21" i="55" s="1"/>
  <c r="J167" i="55"/>
  <c r="J347" i="55"/>
  <c r="I20" i="73"/>
  <c r="U20" i="73" s="1"/>
  <c r="AG20" i="73" s="1"/>
  <c r="AC20" i="73" s="1"/>
  <c r="AE20" i="73" s="1"/>
  <c r="F83" i="12"/>
  <c r="J26" i="55"/>
  <c r="AR26" i="55" s="1"/>
  <c r="AR112" i="55"/>
  <c r="J141" i="55"/>
  <c r="J193" i="55"/>
  <c r="F79" i="72"/>
  <c r="M79" i="72" s="1"/>
  <c r="BA181" i="73"/>
  <c r="AN55" i="73"/>
  <c r="BA100" i="73"/>
  <c r="AM183" i="73"/>
  <c r="BF15" i="73"/>
  <c r="P26" i="4"/>
  <c r="BF23" i="73"/>
  <c r="BF64" i="73"/>
  <c r="BF177" i="73"/>
  <c r="BF172" i="73"/>
  <c r="BF179" i="73"/>
  <c r="BF184" i="73"/>
  <c r="BF178" i="73"/>
  <c r="BF67" i="73"/>
  <c r="BF22" i="73"/>
  <c r="BF71" i="73"/>
  <c r="BF88" i="73"/>
  <c r="BF92" i="73"/>
  <c r="BF95" i="73"/>
  <c r="AB19" i="32"/>
  <c r="BF176" i="73"/>
  <c r="BF61" i="73"/>
  <c r="BF166" i="73"/>
  <c r="BF170" i="73"/>
  <c r="I15" i="71"/>
  <c r="BF87" i="73"/>
  <c r="BF60" i="73"/>
  <c r="BF69" i="73"/>
  <c r="BF16" i="73"/>
  <c r="BF86" i="73"/>
  <c r="BF90" i="73"/>
  <c r="BF96" i="73"/>
  <c r="I26" i="4"/>
  <c r="AH52" i="56"/>
  <c r="AI52" i="56" s="1"/>
  <c r="U52" i="56"/>
  <c r="V52" i="56" s="1"/>
  <c r="AE52" i="56"/>
  <c r="AF52" i="56" s="1"/>
  <c r="AJ52" i="56"/>
  <c r="R24" i="73"/>
  <c r="N24" i="73" s="1"/>
  <c r="V473" i="55"/>
  <c r="AK55" i="56"/>
  <c r="AL55" i="56" s="1"/>
  <c r="AK22" i="55"/>
  <c r="AL22" i="55" s="1"/>
  <c r="AR22" i="55"/>
  <c r="I13" i="73"/>
  <c r="W479" i="55"/>
  <c r="AR479" i="55" s="1"/>
  <c r="P23" i="32" l="1"/>
  <c r="V206" i="73"/>
  <c r="U494" i="23"/>
  <c r="U511" i="23" s="1"/>
  <c r="AE511" i="23" s="1"/>
  <c r="U75" i="23"/>
  <c r="U92" i="23" s="1"/>
  <c r="U112" i="23" s="1"/>
  <c r="U127" i="23" s="1"/>
  <c r="U144" i="23" s="1"/>
  <c r="U156" i="23" s="1"/>
  <c r="U175" i="23" s="1"/>
  <c r="U189" i="23" s="1"/>
  <c r="U204" i="23" s="1"/>
  <c r="U219" i="23" s="1"/>
  <c r="U234" i="23" s="1"/>
  <c r="U248" i="23" s="1"/>
  <c r="U268" i="23" s="1"/>
  <c r="U282" i="23" s="1"/>
  <c r="U305" i="23" s="1"/>
  <c r="U320" i="23" s="1"/>
  <c r="U337" i="23" s="1"/>
  <c r="U349" i="23" s="1"/>
  <c r="U363" i="23" s="1"/>
  <c r="U377" i="23" s="1"/>
  <c r="U392" i="23" s="1"/>
  <c r="U405" i="23" s="1"/>
  <c r="U421" i="23" s="1"/>
  <c r="U434" i="23" s="1"/>
  <c r="U451" i="23" s="1"/>
  <c r="U464" i="23" s="1"/>
  <c r="U482" i="23" s="1"/>
  <c r="T494" i="23"/>
  <c r="T511" i="23" s="1"/>
  <c r="T75" i="23"/>
  <c r="T92" i="23" s="1"/>
  <c r="T112" i="23" s="1"/>
  <c r="T127" i="23" s="1"/>
  <c r="T144" i="23" s="1"/>
  <c r="T156" i="23" s="1"/>
  <c r="T175" i="23" s="1"/>
  <c r="T189" i="23" s="1"/>
  <c r="T204" i="23" s="1"/>
  <c r="T219" i="23" s="1"/>
  <c r="T234" i="23" s="1"/>
  <c r="T248" i="23" s="1"/>
  <c r="T268" i="23" s="1"/>
  <c r="T282" i="23" s="1"/>
  <c r="T305" i="23" s="1"/>
  <c r="T320" i="23" s="1"/>
  <c r="T337" i="23" s="1"/>
  <c r="T349" i="23" s="1"/>
  <c r="T363" i="23" s="1"/>
  <c r="T377" i="23" s="1"/>
  <c r="T392" i="23" s="1"/>
  <c r="T405" i="23" s="1"/>
  <c r="T421" i="23" s="1"/>
  <c r="T434" i="23" s="1"/>
  <c r="T451" i="23" s="1"/>
  <c r="T464" i="23" s="1"/>
  <c r="T482" i="23" s="1"/>
  <c r="X24" i="52"/>
  <c r="AF55" i="55"/>
  <c r="AG55" i="55" s="1"/>
  <c r="AF346" i="55"/>
  <c r="AG346" i="55" s="1"/>
  <c r="AR43" i="55"/>
  <c r="I17" i="71"/>
  <c r="K30" i="4"/>
  <c r="AB23" i="32"/>
  <c r="AM181" i="73"/>
  <c r="U42" i="73"/>
  <c r="AA71" i="73"/>
  <c r="AC40" i="73"/>
  <c r="AH71" i="73"/>
  <c r="H71" i="73"/>
  <c r="E71" i="73"/>
  <c r="BB181" i="73"/>
  <c r="AG89" i="73"/>
  <c r="S143" i="73"/>
  <c r="S153" i="73" s="1"/>
  <c r="S194" i="73" s="1"/>
  <c r="BB30" i="73"/>
  <c r="AC107" i="73"/>
  <c r="AE107" i="73" s="1"/>
  <c r="AM167" i="73"/>
  <c r="BB55" i="73"/>
  <c r="AF92" i="73"/>
  <c r="H90" i="73"/>
  <c r="BB66" i="73"/>
  <c r="AC89" i="73"/>
  <c r="AE89" i="73" s="1"/>
  <c r="BD89" i="73" s="1"/>
  <c r="BE89" i="73" s="1"/>
  <c r="AI153" i="73"/>
  <c r="AI194" i="73" s="1"/>
  <c r="AQ145" i="73"/>
  <c r="AG99" i="73"/>
  <c r="AC99" i="73" s="1"/>
  <c r="AE99" i="73" s="1"/>
  <c r="AH166" i="73"/>
  <c r="H193" i="73"/>
  <c r="G16" i="4"/>
  <c r="G19" i="4" s="1"/>
  <c r="G12" i="4"/>
  <c r="J143" i="73"/>
  <c r="J153" i="73" s="1"/>
  <c r="J194" i="73" s="1"/>
  <c r="AG97" i="73"/>
  <c r="AC97" i="73" s="1"/>
  <c r="AE97" i="73" s="1"/>
  <c r="BA97" i="73" s="1"/>
  <c r="BB97" i="73" s="1"/>
  <c r="BD66" i="73"/>
  <c r="BE66" i="73" s="1"/>
  <c r="H82" i="73"/>
  <c r="I12" i="4"/>
  <c r="I16" i="4"/>
  <c r="I19" i="4" s="1"/>
  <c r="L143" i="73"/>
  <c r="L153" i="73" s="1"/>
  <c r="L194" i="73" s="1"/>
  <c r="K143" i="73"/>
  <c r="K153" i="73" s="1"/>
  <c r="K194" i="73" s="1"/>
  <c r="F28" i="73"/>
  <c r="F143" i="73" s="1"/>
  <c r="F153" i="73" s="1"/>
  <c r="F194" i="73" s="1"/>
  <c r="AM180" i="73"/>
  <c r="AF82" i="73"/>
  <c r="AF111" i="73" s="1"/>
  <c r="AA28" i="73"/>
  <c r="E82" i="73"/>
  <c r="E111" i="73" s="1"/>
  <c r="E121" i="73" s="1"/>
  <c r="E142" i="73" s="1"/>
  <c r="E143" i="73" s="1"/>
  <c r="E153" i="73" s="1"/>
  <c r="AF12" i="73"/>
  <c r="AF28" i="73" s="1"/>
  <c r="Y28" i="73"/>
  <c r="Y143" i="73" s="1"/>
  <c r="Y153" i="73" s="1"/>
  <c r="Y194" i="73" s="1"/>
  <c r="H86" i="73"/>
  <c r="AH86" i="73" s="1"/>
  <c r="AN86" i="73" s="1"/>
  <c r="R28" i="73"/>
  <c r="N12" i="73"/>
  <c r="BB58" i="73"/>
  <c r="BB180" i="73"/>
  <c r="AA82" i="73"/>
  <c r="AA111" i="73" s="1"/>
  <c r="AA121" i="73" s="1"/>
  <c r="AA142" i="73" s="1"/>
  <c r="AC96" i="73"/>
  <c r="H12" i="73"/>
  <c r="J430" i="55"/>
  <c r="J439" i="55" s="1"/>
  <c r="J456" i="55" s="1"/>
  <c r="P368" i="55"/>
  <c r="P378" i="55" s="1"/>
  <c r="P397" i="55" s="1"/>
  <c r="P407" i="55" s="1"/>
  <c r="G368" i="55"/>
  <c r="G378" i="55" s="1"/>
  <c r="G397" i="55" s="1"/>
  <c r="G407" i="55" s="1"/>
  <c r="T457" i="55"/>
  <c r="S457" i="55"/>
  <c r="U457" i="55"/>
  <c r="R457" i="55"/>
  <c r="F368" i="55"/>
  <c r="F378" i="55" s="1"/>
  <c r="F397" i="55" s="1"/>
  <c r="F407" i="55" s="1"/>
  <c r="E368" i="55"/>
  <c r="E378" i="55" s="1"/>
  <c r="E397" i="55" s="1"/>
  <c r="X368" i="55"/>
  <c r="X378" i="55" s="1"/>
  <c r="X397" i="55" s="1"/>
  <c r="N368" i="55"/>
  <c r="N378" i="55" s="1"/>
  <c r="N397" i="55" s="1"/>
  <c r="N407" i="55" s="1"/>
  <c r="Q368" i="55"/>
  <c r="Q378" i="55" s="1"/>
  <c r="Q397" i="55" s="1"/>
  <c r="Q407" i="55" s="1"/>
  <c r="M457" i="55"/>
  <c r="L457" i="55"/>
  <c r="I457" i="55"/>
  <c r="V457" i="55"/>
  <c r="D475" i="55" s="1"/>
  <c r="K457" i="55"/>
  <c r="O457" i="55"/>
  <c r="AR52" i="55"/>
  <c r="U91" i="73"/>
  <c r="AG91" i="73" s="1"/>
  <c r="AC91" i="73" s="1"/>
  <c r="AE91" i="73" s="1"/>
  <c r="BA91" i="73" s="1"/>
  <c r="BB91" i="73" s="1"/>
  <c r="AF52" i="55"/>
  <c r="AG52" i="55" s="1"/>
  <c r="AR84" i="55"/>
  <c r="I141" i="73"/>
  <c r="U141" i="73" s="1"/>
  <c r="AG141" i="73" s="1"/>
  <c r="AC141" i="73" s="1"/>
  <c r="AE141" i="73" s="1"/>
  <c r="U166" i="73"/>
  <c r="I193" i="73"/>
  <c r="U47" i="73"/>
  <c r="AG47" i="73" s="1"/>
  <c r="AC47" i="73" s="1"/>
  <c r="AE47" i="73" s="1"/>
  <c r="U18" i="73"/>
  <c r="AG18" i="73" s="1"/>
  <c r="AC18" i="73" s="1"/>
  <c r="AE18" i="73" s="1"/>
  <c r="U13" i="73"/>
  <c r="AG13" i="73" s="1"/>
  <c r="AC13" i="73" s="1"/>
  <c r="AE13" i="73" s="1"/>
  <c r="BA13" i="73" s="1"/>
  <c r="BB13" i="73" s="1"/>
  <c r="U93" i="73"/>
  <c r="AG93" i="73" s="1"/>
  <c r="AC93" i="73" s="1"/>
  <c r="AE93" i="73" s="1"/>
  <c r="U104" i="73"/>
  <c r="AG104" i="73" s="1"/>
  <c r="AC104" i="73" s="1"/>
  <c r="AE104" i="73" s="1"/>
  <c r="I11" i="22"/>
  <c r="P11" i="2" s="1"/>
  <c r="P13" i="2" s="1"/>
  <c r="M38" i="22"/>
  <c r="M50" i="22" s="1"/>
  <c r="M81" i="22" s="1"/>
  <c r="AE45" i="73"/>
  <c r="P17" i="2"/>
  <c r="P27" i="2"/>
  <c r="N28" i="73"/>
  <c r="U60" i="73"/>
  <c r="AO143" i="55"/>
  <c r="AO144" i="55" s="1"/>
  <c r="U11" i="73"/>
  <c r="BB102" i="73"/>
  <c r="AD23" i="32"/>
  <c r="AD15" i="32"/>
  <c r="AD11" i="32" s="1"/>
  <c r="AC23" i="32"/>
  <c r="AC15" i="32"/>
  <c r="AC11" i="32" s="1"/>
  <c r="Z15" i="32"/>
  <c r="BA175" i="73"/>
  <c r="BB175" i="73" s="1"/>
  <c r="BA56" i="73"/>
  <c r="BB56" i="73" s="1"/>
  <c r="BA183" i="73"/>
  <c r="BB183" i="73" s="1"/>
  <c r="BD183" i="73"/>
  <c r="BE183" i="73" s="1"/>
  <c r="AN93" i="73"/>
  <c r="B22" i="32"/>
  <c r="B19" i="32" s="1"/>
  <c r="BD173" i="73"/>
  <c r="BE173" i="73" s="1"/>
  <c r="AN89" i="73"/>
  <c r="AN92" i="73"/>
  <c r="BA57" i="73"/>
  <c r="BB57" i="73" s="1"/>
  <c r="BA68" i="73"/>
  <c r="BB68" i="73" s="1"/>
  <c r="AH82" i="73"/>
  <c r="BB100" i="73"/>
  <c r="BD58" i="73"/>
  <c r="BE58" i="73" s="1"/>
  <c r="AN85" i="73"/>
  <c r="AG53" i="73"/>
  <c r="BA15" i="73"/>
  <c r="BB15" i="73" s="1"/>
  <c r="AN91" i="73"/>
  <c r="AN106" i="73"/>
  <c r="BD105" i="73"/>
  <c r="BE105" i="73" s="1"/>
  <c r="BA105" i="73"/>
  <c r="BB105" i="73" s="1"/>
  <c r="N106" i="73"/>
  <c r="U106" i="73" s="1"/>
  <c r="AG106" i="73" s="1"/>
  <c r="AC106" i="73" s="1"/>
  <c r="AE106" i="73" s="1"/>
  <c r="N187" i="73"/>
  <c r="BD180" i="73"/>
  <c r="BE180" i="73" s="1"/>
  <c r="F12" i="2"/>
  <c r="BA65" i="73"/>
  <c r="BB65" i="73" s="1"/>
  <c r="BD65" i="73"/>
  <c r="BE65" i="73" s="1"/>
  <c r="BD41" i="73"/>
  <c r="BE41" i="73" s="1"/>
  <c r="BA41" i="73"/>
  <c r="BB41" i="73" s="1"/>
  <c r="BD55" i="73"/>
  <c r="BE55" i="73" s="1"/>
  <c r="BA167" i="73"/>
  <c r="BB167" i="73" s="1"/>
  <c r="BD167" i="73"/>
  <c r="BE167" i="73" s="1"/>
  <c r="BD169" i="73"/>
  <c r="BE169" i="73" s="1"/>
  <c r="BA169" i="73"/>
  <c r="BB169" i="73" s="1"/>
  <c r="BA162" i="73"/>
  <c r="BB162" i="73" s="1"/>
  <c r="BD162" i="73"/>
  <c r="BE162" i="73" s="1"/>
  <c r="BA158" i="73"/>
  <c r="BB158" i="73" s="1"/>
  <c r="BD158" i="73"/>
  <c r="BE158" i="73" s="1"/>
  <c r="BD159" i="73"/>
  <c r="BE159" i="73" s="1"/>
  <c r="BD161" i="73"/>
  <c r="BE161" i="73" s="1"/>
  <c r="I23" i="4"/>
  <c r="U164" i="73"/>
  <c r="K17" i="32"/>
  <c r="N17" i="32" s="1"/>
  <c r="Z17" i="32" s="1"/>
  <c r="AN158" i="73"/>
  <c r="AC155" i="73"/>
  <c r="AG164" i="73"/>
  <c r="AN40" i="73"/>
  <c r="AN71" i="73" s="1"/>
  <c r="AN162" i="73"/>
  <c r="AH157" i="73"/>
  <c r="AC157" i="73"/>
  <c r="AE157" i="73" s="1"/>
  <c r="BD160" i="73"/>
  <c r="BE160" i="73" s="1"/>
  <c r="BB160" i="73"/>
  <c r="AN160" i="73"/>
  <c r="BD156" i="73"/>
  <c r="BE156" i="73" s="1"/>
  <c r="O579" i="23"/>
  <c r="O587" i="23"/>
  <c r="L211" i="56"/>
  <c r="L212" i="56" s="1"/>
  <c r="I63" i="56"/>
  <c r="I72" i="56" s="1"/>
  <c r="I90" i="56" s="1"/>
  <c r="I100" i="56" s="1"/>
  <c r="I120" i="56" s="1"/>
  <c r="AN48" i="56"/>
  <c r="AO48" i="56" s="1"/>
  <c r="I231" i="56"/>
  <c r="AN231" i="56" s="1"/>
  <c r="AO231" i="56" s="1"/>
  <c r="AN224" i="56"/>
  <c r="AO224" i="56" s="1"/>
  <c r="AN202" i="56"/>
  <c r="AO202" i="56" s="1"/>
  <c r="BD59" i="73"/>
  <c r="BE59" i="73" s="1"/>
  <c r="BD102" i="73"/>
  <c r="BE102" i="73" s="1"/>
  <c r="AG42" i="73"/>
  <c r="BA18" i="73"/>
  <c r="BB18" i="73" s="1"/>
  <c r="AR202" i="56"/>
  <c r="AS202" i="56" s="1"/>
  <c r="AT202" i="56" s="1"/>
  <c r="AE202" i="56"/>
  <c r="AF202" i="56" s="1"/>
  <c r="AH202" i="56"/>
  <c r="AI202" i="56" s="1"/>
  <c r="AB202" i="56"/>
  <c r="AC202" i="56" s="1"/>
  <c r="AL202" i="56"/>
  <c r="H322" i="16"/>
  <c r="AO153" i="55"/>
  <c r="AS230" i="55"/>
  <c r="AR42" i="55"/>
  <c r="AP42" i="55" s="1"/>
  <c r="I85" i="73"/>
  <c r="U85" i="73" s="1"/>
  <c r="AG85" i="73" s="1"/>
  <c r="AC85" i="73" s="1"/>
  <c r="AE85" i="73" s="1"/>
  <c r="AK172" i="55"/>
  <c r="AL172" i="55" s="1"/>
  <c r="I83" i="73"/>
  <c r="AR172" i="55"/>
  <c r="AS172" i="55" s="1"/>
  <c r="AP346" i="55"/>
  <c r="BD30" i="73"/>
  <c r="BE30" i="73" s="1"/>
  <c r="AK114" i="55"/>
  <c r="AL114" i="55" s="1"/>
  <c r="AF44" i="55"/>
  <c r="AG44" i="55" s="1"/>
  <c r="AK324" i="55"/>
  <c r="AL324" i="55" s="1"/>
  <c r="AR324" i="55"/>
  <c r="AS324" i="55" s="1"/>
  <c r="AS55" i="55"/>
  <c r="AF47" i="55"/>
  <c r="AG47" i="55" s="1"/>
  <c r="AP75" i="55"/>
  <c r="AK75" i="55"/>
  <c r="AL75" i="55" s="1"/>
  <c r="AP327" i="55"/>
  <c r="AR17" i="55"/>
  <c r="AS17" i="55" s="1"/>
  <c r="AP150" i="55"/>
  <c r="AF17" i="55"/>
  <c r="AG17" i="55" s="1"/>
  <c r="AF119" i="55"/>
  <c r="AG119" i="55" s="1"/>
  <c r="AS119" i="55"/>
  <c r="AK150" i="55"/>
  <c r="AL150" i="55" s="1"/>
  <c r="I23" i="73"/>
  <c r="U23" i="73" s="1"/>
  <c r="AG23" i="73" s="1"/>
  <c r="AC23" i="73" s="1"/>
  <c r="AE23" i="73" s="1"/>
  <c r="AK119" i="55"/>
  <c r="AL119" i="55" s="1"/>
  <c r="AP44" i="55"/>
  <c r="K10" i="56"/>
  <c r="K12" i="56" s="1"/>
  <c r="AP41" i="55"/>
  <c r="Z50" i="55"/>
  <c r="AF351" i="55"/>
  <c r="AG351" i="55" s="1"/>
  <c r="AF50" i="55"/>
  <c r="AG50" i="55" s="1"/>
  <c r="AF19" i="55"/>
  <c r="AG19" i="55" s="1"/>
  <c r="I67" i="73"/>
  <c r="U67" i="73" s="1"/>
  <c r="AG67" i="73" s="1"/>
  <c r="AC67" i="73" s="1"/>
  <c r="AE67" i="73" s="1"/>
  <c r="AF75" i="55"/>
  <c r="AG75" i="55" s="1"/>
  <c r="AP114" i="55"/>
  <c r="I61" i="73"/>
  <c r="U61" i="73" s="1"/>
  <c r="AG61" i="73" s="1"/>
  <c r="AC61" i="73" s="1"/>
  <c r="AE61" i="73" s="1"/>
  <c r="AR152" i="55"/>
  <c r="AP152" i="55" s="1"/>
  <c r="AF152" i="55"/>
  <c r="AG152" i="55" s="1"/>
  <c r="AK19" i="55"/>
  <c r="AL19" i="55" s="1"/>
  <c r="AR85" i="55"/>
  <c r="AP85" i="55" s="1"/>
  <c r="AF85" i="55"/>
  <c r="AG85" i="55" s="1"/>
  <c r="AK323" i="55"/>
  <c r="AL323" i="55" s="1"/>
  <c r="I63" i="73"/>
  <c r="U63" i="73" s="1"/>
  <c r="AG63" i="73" s="1"/>
  <c r="AC63" i="73" s="1"/>
  <c r="AE63" i="73" s="1"/>
  <c r="AR323" i="55"/>
  <c r="AS323" i="55" s="1"/>
  <c r="AF114" i="55"/>
  <c r="AG114" i="55" s="1"/>
  <c r="AS292" i="55"/>
  <c r="AF343" i="55"/>
  <c r="AG343" i="55" s="1"/>
  <c r="AK343" i="55"/>
  <c r="AL343" i="55" s="1"/>
  <c r="AF51" i="55"/>
  <c r="AG51" i="55" s="1"/>
  <c r="AK78" i="55"/>
  <c r="AL78" i="55" s="1"/>
  <c r="AR356" i="55"/>
  <c r="AP356" i="55" s="1"/>
  <c r="AS322" i="55"/>
  <c r="AK170" i="55"/>
  <c r="AL170" i="55" s="1"/>
  <c r="AR170" i="55"/>
  <c r="AS170" i="55" s="1"/>
  <c r="AK116" i="55"/>
  <c r="AL116" i="55" s="1"/>
  <c r="AF116" i="55"/>
  <c r="AG116" i="55" s="1"/>
  <c r="AP105" i="55"/>
  <c r="AK142" i="55"/>
  <c r="AL142" i="55" s="1"/>
  <c r="AP144" i="55"/>
  <c r="AF53" i="55"/>
  <c r="AG53" i="55" s="1"/>
  <c r="AK53" i="55"/>
  <c r="AL53" i="55" s="1"/>
  <c r="AK44" i="55"/>
  <c r="AL44" i="55" s="1"/>
  <c r="AR147" i="55"/>
  <c r="AP147" i="55" s="1"/>
  <c r="AF147" i="55"/>
  <c r="AG147" i="55" s="1"/>
  <c r="AK42" i="55"/>
  <c r="AL42" i="55" s="1"/>
  <c r="AF78" i="55"/>
  <c r="AG78" i="55" s="1"/>
  <c r="AR78" i="55"/>
  <c r="AP78" i="55" s="1"/>
  <c r="AR70" i="55"/>
  <c r="AP70" i="55" s="1"/>
  <c r="AF70" i="55"/>
  <c r="AG70" i="55" s="1"/>
  <c r="AK346" i="55"/>
  <c r="AL346" i="55" s="1"/>
  <c r="AF168" i="55"/>
  <c r="AG168" i="55" s="1"/>
  <c r="AK168" i="55"/>
  <c r="AL168" i="55" s="1"/>
  <c r="AR168" i="55"/>
  <c r="AP168" i="55" s="1"/>
  <c r="AF323" i="55"/>
  <c r="AG323" i="55" s="1"/>
  <c r="I17" i="73"/>
  <c r="U17" i="73" s="1"/>
  <c r="AG17" i="73" s="1"/>
  <c r="AC17" i="73" s="1"/>
  <c r="AE17" i="73" s="1"/>
  <c r="AR20" i="55"/>
  <c r="AS20" i="55" s="1"/>
  <c r="AF20" i="55"/>
  <c r="AG20" i="55" s="1"/>
  <c r="AK23" i="55"/>
  <c r="AL23" i="55" s="1"/>
  <c r="O132" i="50"/>
  <c r="P132" i="50"/>
  <c r="J132" i="50"/>
  <c r="N132" i="50"/>
  <c r="Q68" i="50"/>
  <c r="Q78" i="50" s="1"/>
  <c r="Q110" i="50" s="1"/>
  <c r="Q120" i="50" s="1"/>
  <c r="AF21" i="55"/>
  <c r="AG21" i="55" s="1"/>
  <c r="I12" i="73"/>
  <c r="U12" i="73" s="1"/>
  <c r="AG12" i="73" s="1"/>
  <c r="AK54" i="55"/>
  <c r="AL54" i="55" s="1"/>
  <c r="AF150" i="55"/>
  <c r="AG150" i="55" s="1"/>
  <c r="AR191" i="55"/>
  <c r="AP191" i="55" s="1"/>
  <c r="AS288" i="55"/>
  <c r="AK191" i="55"/>
  <c r="AL191" i="55" s="1"/>
  <c r="AF175" i="55"/>
  <c r="AG175" i="55" s="1"/>
  <c r="AF174" i="55"/>
  <c r="AG174" i="55" s="1"/>
  <c r="AS165" i="55"/>
  <c r="AP165" i="55"/>
  <c r="AD75" i="23"/>
  <c r="P92" i="23"/>
  <c r="P112" i="23" s="1"/>
  <c r="Y75" i="23"/>
  <c r="Y92" i="23" s="1"/>
  <c r="Y112" i="23" s="1"/>
  <c r="Y127" i="23" s="1"/>
  <c r="Y144" i="23" s="1"/>
  <c r="Y156" i="23" s="1"/>
  <c r="Y175" i="23" s="1"/>
  <c r="Y189" i="23" s="1"/>
  <c r="Y204" i="23" s="1"/>
  <c r="Y219" i="23" s="1"/>
  <c r="Y234" i="23" s="1"/>
  <c r="Y248" i="23" s="1"/>
  <c r="Y268" i="23" s="1"/>
  <c r="Y282" i="23" s="1"/>
  <c r="Y305" i="23" s="1"/>
  <c r="Y320" i="23" s="1"/>
  <c r="Y337" i="23" s="1"/>
  <c r="Y349" i="23" s="1"/>
  <c r="Y363" i="23" s="1"/>
  <c r="Y377" i="23" s="1"/>
  <c r="Y392" i="23" s="1"/>
  <c r="Y405" i="23" s="1"/>
  <c r="Y421" i="23" s="1"/>
  <c r="Y434" i="23" s="1"/>
  <c r="Y451" i="23" s="1"/>
  <c r="Y464" i="23" s="1"/>
  <c r="Y482" i="23" s="1"/>
  <c r="Y494" i="23" s="1"/>
  <c r="Y511" i="23" s="1"/>
  <c r="Y565" i="23" s="1"/>
  <c r="I92" i="23"/>
  <c r="I127" i="23" s="1"/>
  <c r="I156" i="23" s="1"/>
  <c r="I175" i="23" s="1"/>
  <c r="AB564" i="23"/>
  <c r="F18" i="48" s="1"/>
  <c r="F19" i="48" s="1"/>
  <c r="F36" i="48" s="1"/>
  <c r="G565" i="23"/>
  <c r="G576" i="23" s="1"/>
  <c r="Z565" i="23"/>
  <c r="U565" i="23"/>
  <c r="AE570" i="23" s="1"/>
  <c r="K565" i="23"/>
  <c r="T565" i="23"/>
  <c r="AC45" i="45"/>
  <c r="AC39" i="45"/>
  <c r="H576" i="23"/>
  <c r="H10" i="45"/>
  <c r="AD469" i="23"/>
  <c r="F565" i="23"/>
  <c r="O14" i="23"/>
  <c r="X24" i="45"/>
  <c r="W494" i="23"/>
  <c r="W511" i="23" s="1"/>
  <c r="W565" i="23" s="1"/>
  <c r="W582" i="23" s="1"/>
  <c r="AB194" i="23"/>
  <c r="H35" i="48"/>
  <c r="D33" i="48"/>
  <c r="D35" i="48" s="1"/>
  <c r="AR201" i="55"/>
  <c r="AP201" i="55" s="1"/>
  <c r="AR179" i="55"/>
  <c r="AP179" i="55" s="1"/>
  <c r="AP50" i="55"/>
  <c r="AF201" i="55"/>
  <c r="AG201" i="55" s="1"/>
  <c r="AK169" i="55"/>
  <c r="AL169" i="55" s="1"/>
  <c r="AK351" i="55"/>
  <c r="AL351" i="55" s="1"/>
  <c r="AP80" i="55"/>
  <c r="O170" i="51"/>
  <c r="AF74" i="55"/>
  <c r="AG74" i="55" s="1"/>
  <c r="AF54" i="55"/>
  <c r="AG54" i="55" s="1"/>
  <c r="AS282" i="55"/>
  <c r="AR54" i="55"/>
  <c r="AP54" i="55" s="1"/>
  <c r="AP178" i="55"/>
  <c r="AF179" i="55"/>
  <c r="AG179" i="55" s="1"/>
  <c r="AK201" i="55"/>
  <c r="AL201" i="55" s="1"/>
  <c r="AF191" i="55"/>
  <c r="AG191" i="55" s="1"/>
  <c r="O172" i="51"/>
  <c r="G11" i="48"/>
  <c r="C11" i="48" s="1"/>
  <c r="F90" i="12"/>
  <c r="T95" i="12"/>
  <c r="T94" i="12"/>
  <c r="I176" i="72"/>
  <c r="O105" i="72"/>
  <c r="H139" i="72"/>
  <c r="H149" i="72" s="1"/>
  <c r="H176" i="72" s="1"/>
  <c r="H189" i="72" s="1"/>
  <c r="X49" i="52"/>
  <c r="AC34" i="45"/>
  <c r="H44" i="45"/>
  <c r="I29" i="90"/>
  <c r="E17" i="90"/>
  <c r="D25" i="62" s="1"/>
  <c r="O17" i="23"/>
  <c r="M61" i="24"/>
  <c r="M69" i="24"/>
  <c r="V63" i="24"/>
  <c r="K64" i="24" a="1"/>
  <c r="K64" i="24" s="1"/>
  <c r="AB195" i="23"/>
  <c r="F12" i="3"/>
  <c r="O199" i="23"/>
  <c r="AB199" i="23" s="1"/>
  <c r="Y199" i="23" s="1"/>
  <c r="AB203" i="23"/>
  <c r="W36" i="45"/>
  <c r="X36" i="45" s="1"/>
  <c r="O23" i="23"/>
  <c r="L36" i="32"/>
  <c r="O19" i="23"/>
  <c r="X20" i="45"/>
  <c r="X30" i="45"/>
  <c r="O12" i="23"/>
  <c r="O22" i="23"/>
  <c r="K37" i="45"/>
  <c r="N14" i="23"/>
  <c r="G25" i="4" a="1"/>
  <c r="G25" i="4" s="1"/>
  <c r="I25" i="4" s="1"/>
  <c r="J33" i="32"/>
  <c r="L33" i="32"/>
  <c r="V64" i="24"/>
  <c r="T577" i="23"/>
  <c r="U577" i="23"/>
  <c r="H43" i="45"/>
  <c r="BA99" i="73"/>
  <c r="BB99" i="73" s="1"/>
  <c r="AH17" i="32"/>
  <c r="AF17" i="32"/>
  <c r="AK147" i="55"/>
  <c r="AL147" i="55" s="1"/>
  <c r="AR142" i="55"/>
  <c r="AP142" i="55" s="1"/>
  <c r="AF142" i="55"/>
  <c r="AG142" i="55" s="1"/>
  <c r="AK20" i="55"/>
  <c r="AL20" i="55" s="1"/>
  <c r="AR19" i="55"/>
  <c r="AP19" i="55" s="1"/>
  <c r="AF23" i="55"/>
  <c r="AG23" i="55" s="1"/>
  <c r="I14" i="73"/>
  <c r="U14" i="73" s="1"/>
  <c r="AG14" i="73" s="1"/>
  <c r="AC14" i="73" s="1"/>
  <c r="AE14" i="73" s="1"/>
  <c r="AR23" i="55"/>
  <c r="AS23" i="55" s="1"/>
  <c r="AS47" i="55"/>
  <c r="F90" i="87"/>
  <c r="H56" i="55"/>
  <c r="H69" i="55" s="1"/>
  <c r="H86" i="55" s="1"/>
  <c r="H99" i="55" s="1"/>
  <c r="H121" i="55" s="1"/>
  <c r="H133" i="55" s="1"/>
  <c r="H153" i="55" s="1"/>
  <c r="H164" i="55" s="1"/>
  <c r="H180" i="55" s="1"/>
  <c r="H190" i="55" s="1"/>
  <c r="H208" i="55" s="1"/>
  <c r="H220" i="55" s="1"/>
  <c r="H237" i="55" s="1"/>
  <c r="H249" i="55" s="1"/>
  <c r="H269" i="55" s="1"/>
  <c r="H281" i="55" s="1"/>
  <c r="H301" i="55" s="1"/>
  <c r="H311" i="55" s="1"/>
  <c r="H328" i="55" s="1"/>
  <c r="H340" i="55" s="1"/>
  <c r="AF80" i="55"/>
  <c r="AG80" i="55" s="1"/>
  <c r="I98" i="73"/>
  <c r="U98" i="73" s="1"/>
  <c r="AG98" i="73" s="1"/>
  <c r="AC98" i="73" s="1"/>
  <c r="AE98" i="73" s="1"/>
  <c r="AR174" i="55"/>
  <c r="AS174" i="55" s="1"/>
  <c r="AK55" i="55"/>
  <c r="AL55" i="55" s="1"/>
  <c r="I24" i="73"/>
  <c r="U24" i="73" s="1"/>
  <c r="AG24" i="73" s="1"/>
  <c r="AC24" i="73" s="1"/>
  <c r="AE24" i="73" s="1"/>
  <c r="AK173" i="55"/>
  <c r="AL173" i="55" s="1"/>
  <c r="AK176" i="55"/>
  <c r="AL176" i="55" s="1"/>
  <c r="N87" i="87"/>
  <c r="M84" i="87"/>
  <c r="I87" i="73"/>
  <c r="U87" i="73" s="1"/>
  <c r="AG87" i="73" s="1"/>
  <c r="AC87" i="73" s="1"/>
  <c r="AE87" i="73" s="1"/>
  <c r="AF176" i="55"/>
  <c r="AG176" i="55" s="1"/>
  <c r="I86" i="73"/>
  <c r="U86" i="73" s="1"/>
  <c r="AG86" i="73" s="1"/>
  <c r="AC86" i="73" s="1"/>
  <c r="AE86" i="73" s="1"/>
  <c r="AR176" i="55"/>
  <c r="AS176" i="55" s="1"/>
  <c r="BD57" i="73"/>
  <c r="BE57" i="73" s="1"/>
  <c r="AF171" i="55"/>
  <c r="AG171" i="55" s="1"/>
  <c r="AK349" i="55"/>
  <c r="AL349" i="55" s="1"/>
  <c r="AK51" i="55"/>
  <c r="AL51" i="55" s="1"/>
  <c r="AF349" i="55"/>
  <c r="AG349" i="55" s="1"/>
  <c r="AF148" i="55"/>
  <c r="AG148" i="55" s="1"/>
  <c r="I84" i="73"/>
  <c r="U84" i="73" s="1"/>
  <c r="AG84" i="73" s="1"/>
  <c r="AC84" i="73" s="1"/>
  <c r="AE84" i="73" s="1"/>
  <c r="AS83" i="55"/>
  <c r="AS72" i="55"/>
  <c r="AR116" i="55"/>
  <c r="AP116" i="55" s="1"/>
  <c r="I92" i="73"/>
  <c r="U92" i="73" s="1"/>
  <c r="AG92" i="73" s="1"/>
  <c r="AC92" i="73" s="1"/>
  <c r="AE92" i="73" s="1"/>
  <c r="AP325" i="55"/>
  <c r="AK178" i="55"/>
  <c r="AL178" i="55" s="1"/>
  <c r="AR351" i="55"/>
  <c r="AP351" i="55" s="1"/>
  <c r="AR51" i="55"/>
  <c r="AP51" i="55" s="1"/>
  <c r="AK74" i="55"/>
  <c r="AL74" i="55" s="1"/>
  <c r="AK83" i="55"/>
  <c r="AL83" i="55" s="1"/>
  <c r="AS74" i="55"/>
  <c r="AF178" i="55"/>
  <c r="AG178" i="55" s="1"/>
  <c r="AF325" i="55"/>
  <c r="AG325" i="55" s="1"/>
  <c r="AF83" i="55"/>
  <c r="AG83" i="55" s="1"/>
  <c r="I22" i="73"/>
  <c r="U22" i="73" s="1"/>
  <c r="AG22" i="73" s="1"/>
  <c r="AC22" i="73" s="1"/>
  <c r="AE22" i="73" s="1"/>
  <c r="AK282" i="55"/>
  <c r="AL282" i="55" s="1"/>
  <c r="AK325" i="55"/>
  <c r="AL325" i="55" s="1"/>
  <c r="AF282" i="55"/>
  <c r="AG282" i="55" s="1"/>
  <c r="AR349" i="55"/>
  <c r="AS349" i="55" s="1"/>
  <c r="AR171" i="55"/>
  <c r="AS171" i="55" s="1"/>
  <c r="I62" i="73"/>
  <c r="AR148" i="55"/>
  <c r="AS148" i="55" s="1"/>
  <c r="AR173" i="55"/>
  <c r="AS173" i="55" s="1"/>
  <c r="AK179" i="55"/>
  <c r="AL179" i="55" s="1"/>
  <c r="AK136" i="55"/>
  <c r="AL136" i="55" s="1"/>
  <c r="AF72" i="55"/>
  <c r="AG72" i="55" s="1"/>
  <c r="AK72" i="55"/>
  <c r="AL72" i="55" s="1"/>
  <c r="I88" i="73"/>
  <c r="AR350" i="55"/>
  <c r="AP350" i="55" s="1"/>
  <c r="AR177" i="55"/>
  <c r="AP177" i="55" s="1"/>
  <c r="AR169" i="55"/>
  <c r="AS169" i="55" s="1"/>
  <c r="AF350" i="55"/>
  <c r="AG350" i="55" s="1"/>
  <c r="I70" i="73"/>
  <c r="U70" i="73" s="1"/>
  <c r="AG70" i="73" s="1"/>
  <c r="AC70" i="73" s="1"/>
  <c r="AE70" i="73" s="1"/>
  <c r="AF177" i="55"/>
  <c r="AG177" i="55" s="1"/>
  <c r="AR175" i="55"/>
  <c r="AP175" i="55" s="1"/>
  <c r="I90" i="73"/>
  <c r="AK166" i="55"/>
  <c r="AL166" i="55" s="1"/>
  <c r="AK192" i="55"/>
  <c r="AL192" i="55" s="1"/>
  <c r="AF166" i="55"/>
  <c r="AG166" i="55" s="1"/>
  <c r="AR166" i="55"/>
  <c r="AS166" i="55" s="1"/>
  <c r="AF136" i="55"/>
  <c r="AG136" i="55" s="1"/>
  <c r="AK80" i="55"/>
  <c r="AL80" i="55" s="1"/>
  <c r="R56" i="14"/>
  <c r="I42" i="50"/>
  <c r="T83" i="12"/>
  <c r="U83" i="12" s="1"/>
  <c r="V83" i="12" s="1"/>
  <c r="AF430" i="55"/>
  <c r="AG430" i="55" s="1"/>
  <c r="J189" i="72"/>
  <c r="F11" i="2" s="1"/>
  <c r="G10" i="48" s="1"/>
  <c r="C10" i="48" s="1"/>
  <c r="E9" i="48"/>
  <c r="E19" i="48" s="1"/>
  <c r="E36" i="48" s="1"/>
  <c r="F10" i="2"/>
  <c r="BF193" i="73"/>
  <c r="O15" i="23"/>
  <c r="S31" i="45"/>
  <c r="T37" i="45"/>
  <c r="K67" i="24" a="1"/>
  <c r="K67" i="24" s="1"/>
  <c r="AB470" i="23"/>
  <c r="D32" i="32"/>
  <c r="G24" i="4"/>
  <c r="K92" i="22"/>
  <c r="P50" i="22"/>
  <c r="H167" i="22"/>
  <c r="M59" i="52"/>
  <c r="V49" i="52"/>
  <c r="V58" i="52" s="1"/>
  <c r="X58" i="52" s="1"/>
  <c r="X59" i="52" s="1"/>
  <c r="N59" i="52"/>
  <c r="AC59" i="52" s="1"/>
  <c r="AC58" i="52"/>
  <c r="AS344" i="55"/>
  <c r="AP344" i="55"/>
  <c r="AP324" i="55"/>
  <c r="AP326" i="55"/>
  <c r="AS326" i="55"/>
  <c r="AS203" i="55"/>
  <c r="AP203" i="55"/>
  <c r="AS198" i="55"/>
  <c r="AP198" i="55"/>
  <c r="AS151" i="55"/>
  <c r="AP151" i="55"/>
  <c r="AP136" i="55"/>
  <c r="AS136" i="55"/>
  <c r="AS76" i="55"/>
  <c r="AP76" i="55"/>
  <c r="AS43" i="55"/>
  <c r="AP43" i="55"/>
  <c r="J29" i="55"/>
  <c r="AF29" i="55" s="1"/>
  <c r="AG29" i="55" s="1"/>
  <c r="AS14" i="55"/>
  <c r="AP14" i="55"/>
  <c r="R80" i="14"/>
  <c r="S76" i="14"/>
  <c r="S69" i="14"/>
  <c r="T30" i="50"/>
  <c r="U30" i="50" s="1"/>
  <c r="R35" i="13"/>
  <c r="H14" i="13"/>
  <c r="S35" i="13"/>
  <c r="N439" i="55"/>
  <c r="AR430" i="55"/>
  <c r="AK430" i="55"/>
  <c r="AL430" i="55" s="1"/>
  <c r="AP26" i="55"/>
  <c r="AS26" i="55"/>
  <c r="AP149" i="55"/>
  <c r="AS149" i="55"/>
  <c r="I21" i="73"/>
  <c r="U21" i="73" s="1"/>
  <c r="AG21" i="73" s="1"/>
  <c r="AC21" i="73" s="1"/>
  <c r="AE21" i="73" s="1"/>
  <c r="AK141" i="55"/>
  <c r="AL141" i="55" s="1"/>
  <c r="AF141" i="55"/>
  <c r="AG141" i="55" s="1"/>
  <c r="AP112" i="55"/>
  <c r="AS112" i="55"/>
  <c r="I69" i="73"/>
  <c r="U69" i="73" s="1"/>
  <c r="AG69" i="73" s="1"/>
  <c r="AC69" i="73" s="1"/>
  <c r="AE69" i="73" s="1"/>
  <c r="AF167" i="55"/>
  <c r="AG167" i="55" s="1"/>
  <c r="AK167" i="55"/>
  <c r="AL167" i="55" s="1"/>
  <c r="AF347" i="55"/>
  <c r="AG347" i="55" s="1"/>
  <c r="I103" i="73"/>
  <c r="U103" i="73" s="1"/>
  <c r="AG103" i="73" s="1"/>
  <c r="AC103" i="73" s="1"/>
  <c r="AE103" i="73" s="1"/>
  <c r="AK347" i="55"/>
  <c r="AL347" i="55" s="1"/>
  <c r="AR167" i="55"/>
  <c r="AR347" i="55"/>
  <c r="AP24" i="55"/>
  <c r="AS24" i="55"/>
  <c r="AP16" i="55"/>
  <c r="AS16" i="55"/>
  <c r="AF16" i="55"/>
  <c r="AG16" i="55" s="1"/>
  <c r="AK16" i="55"/>
  <c r="AL16" i="55" s="1"/>
  <c r="AK193" i="55"/>
  <c r="AL193" i="55" s="1"/>
  <c r="I95" i="73"/>
  <c r="U95" i="73" s="1"/>
  <c r="AG95" i="73" s="1"/>
  <c r="AC95" i="73" s="1"/>
  <c r="AE95" i="73" s="1"/>
  <c r="AF193" i="55"/>
  <c r="AG193" i="55" s="1"/>
  <c r="T88" i="12"/>
  <c r="I19" i="73"/>
  <c r="U19" i="73" s="1"/>
  <c r="AG19" i="73" s="1"/>
  <c r="AC19" i="73" s="1"/>
  <c r="AE19" i="73" s="1"/>
  <c r="AK111" i="55"/>
  <c r="AL111" i="55" s="1"/>
  <c r="AF111" i="55"/>
  <c r="AG111" i="55" s="1"/>
  <c r="AP52" i="55"/>
  <c r="AS52" i="55"/>
  <c r="AR193" i="55"/>
  <c r="AR141" i="55"/>
  <c r="AF26" i="55"/>
  <c r="AG26" i="55" s="1"/>
  <c r="AK26" i="55"/>
  <c r="AL26" i="55" s="1"/>
  <c r="AR111" i="55"/>
  <c r="I64" i="73"/>
  <c r="U64" i="73" s="1"/>
  <c r="AG64" i="73" s="1"/>
  <c r="AC64" i="73" s="1"/>
  <c r="AE64" i="73" s="1"/>
  <c r="AF149" i="55"/>
  <c r="AG149" i="55" s="1"/>
  <c r="AK149" i="55"/>
  <c r="AL149" i="55" s="1"/>
  <c r="F91" i="72"/>
  <c r="N79" i="72"/>
  <c r="BB168" i="73"/>
  <c r="BA174" i="73"/>
  <c r="BB174" i="73" s="1"/>
  <c r="BD171" i="73"/>
  <c r="BE171" i="73" s="1"/>
  <c r="BF28" i="73"/>
  <c r="BD172" i="73"/>
  <c r="BE172" i="73" s="1"/>
  <c r="BA172" i="73"/>
  <c r="BB172" i="73" s="1"/>
  <c r="BA170" i="73"/>
  <c r="BB170" i="73" s="1"/>
  <c r="BD170" i="73"/>
  <c r="BE170" i="73" s="1"/>
  <c r="BD178" i="73"/>
  <c r="BE178" i="73" s="1"/>
  <c r="BA178" i="73"/>
  <c r="BB178" i="73" s="1"/>
  <c r="AM166" i="73"/>
  <c r="AM193" i="73" s="1"/>
  <c r="AJ55" i="56"/>
  <c r="AE55" i="56"/>
  <c r="AF55" i="56" s="1"/>
  <c r="U55" i="56"/>
  <c r="V55" i="56" s="1"/>
  <c r="AH55" i="56"/>
  <c r="AI55" i="56" s="1"/>
  <c r="AR55" i="56"/>
  <c r="AS55" i="56" s="1"/>
  <c r="AB55" i="56"/>
  <c r="AC55" i="56" s="1"/>
  <c r="AP22" i="55"/>
  <c r="AS22" i="55"/>
  <c r="AP21" i="55"/>
  <c r="AS21" i="55"/>
  <c r="AE567" i="23" l="1"/>
  <c r="S206" i="73"/>
  <c r="L23" i="32"/>
  <c r="E407" i="55"/>
  <c r="E457" i="55"/>
  <c r="X407" i="55"/>
  <c r="X457" i="55"/>
  <c r="AC12" i="73"/>
  <c r="AE12" i="73" s="1"/>
  <c r="I71" i="73"/>
  <c r="I82" i="73" s="1"/>
  <c r="I111" i="73" s="1"/>
  <c r="I121" i="73" s="1"/>
  <c r="I142" i="73" s="1"/>
  <c r="AE40" i="73"/>
  <c r="H111" i="73"/>
  <c r="AF121" i="73"/>
  <c r="AF142" i="73" s="1"/>
  <c r="AF143" i="73" s="1"/>
  <c r="AF153" i="73" s="1"/>
  <c r="AF194" i="73" s="1"/>
  <c r="AE96" i="73"/>
  <c r="AH90" i="73"/>
  <c r="AH111" i="73" s="1"/>
  <c r="H121" i="73"/>
  <c r="H142" i="73" s="1"/>
  <c r="U90" i="73"/>
  <c r="E194" i="73"/>
  <c r="AN166" i="73"/>
  <c r="AN193" i="73" s="1"/>
  <c r="AQ192" i="73" s="1"/>
  <c r="AH193" i="73"/>
  <c r="AA143" i="73"/>
  <c r="AA153" i="73" s="1"/>
  <c r="AA194" i="73" s="1"/>
  <c r="U187" i="73"/>
  <c r="AG187" i="73" s="1"/>
  <c r="AC187" i="73" s="1"/>
  <c r="AE187" i="73" s="1"/>
  <c r="N193" i="73"/>
  <c r="AN82" i="73"/>
  <c r="AH12" i="73"/>
  <c r="H28" i="73"/>
  <c r="H192" i="72"/>
  <c r="H194" i="72" s="1"/>
  <c r="H196" i="72" s="1"/>
  <c r="BD93" i="73"/>
  <c r="BE93" i="73" s="1"/>
  <c r="N287" i="56"/>
  <c r="M287" i="56" s="1"/>
  <c r="H368" i="55"/>
  <c r="H378" i="55" s="1"/>
  <c r="H397" i="55" s="1"/>
  <c r="H407" i="55" s="1"/>
  <c r="G457" i="55"/>
  <c r="Q457" i="55"/>
  <c r="F457" i="55"/>
  <c r="P457" i="55"/>
  <c r="P471" i="55" s="1"/>
  <c r="AR471" i="55" s="1"/>
  <c r="K23" i="32"/>
  <c r="N206" i="73"/>
  <c r="AP84" i="55"/>
  <c r="AS84" i="55"/>
  <c r="AG166" i="73"/>
  <c r="AC53" i="73"/>
  <c r="AE53" i="73" s="1"/>
  <c r="AG60" i="73"/>
  <c r="I28" i="73"/>
  <c r="U28" i="73"/>
  <c r="AG11" i="73"/>
  <c r="AN83" i="73"/>
  <c r="Q23" i="32"/>
  <c r="Q15" i="32"/>
  <c r="K23" i="4"/>
  <c r="O23" i="32"/>
  <c r="BD68" i="73"/>
  <c r="BE68" i="73" s="1"/>
  <c r="BD104" i="73"/>
  <c r="BE104" i="73" s="1"/>
  <c r="BA104" i="73"/>
  <c r="BB104" i="73" s="1"/>
  <c r="BD185" i="73"/>
  <c r="BE185" i="73" s="1"/>
  <c r="BA185" i="73"/>
  <c r="BB185" i="73" s="1"/>
  <c r="BD94" i="73"/>
  <c r="BE94" i="73" s="1"/>
  <c r="BA94" i="73"/>
  <c r="BB94" i="73" s="1"/>
  <c r="BA20" i="73"/>
  <c r="BB20" i="73" s="1"/>
  <c r="BD20" i="73"/>
  <c r="BE20" i="73" s="1"/>
  <c r="BA54" i="73"/>
  <c r="BB54" i="73" s="1"/>
  <c r="BA98" i="73"/>
  <c r="BB98" i="73" s="1"/>
  <c r="E19" i="32"/>
  <c r="BA16" i="73"/>
  <c r="BB16" i="73" s="1"/>
  <c r="BD15" i="73"/>
  <c r="BE15" i="73" s="1"/>
  <c r="BA92" i="73"/>
  <c r="BB92" i="73" s="1"/>
  <c r="BD63" i="73"/>
  <c r="BE63" i="73" s="1"/>
  <c r="U83" i="73"/>
  <c r="AG83" i="73" s="1"/>
  <c r="AC83" i="73" s="1"/>
  <c r="AE83" i="73" s="1"/>
  <c r="BA70" i="73"/>
  <c r="BB70" i="73" s="1"/>
  <c r="BA22" i="73"/>
  <c r="BB22" i="73" s="1"/>
  <c r="BA86" i="73"/>
  <c r="BB86" i="73" s="1"/>
  <c r="BA17" i="73"/>
  <c r="BB17" i="73" s="1"/>
  <c r="BA23" i="73"/>
  <c r="BB23" i="73" s="1"/>
  <c r="BA85" i="73"/>
  <c r="BB85" i="73" s="1"/>
  <c r="AC42" i="73"/>
  <c r="BA69" i="73"/>
  <c r="BB69" i="73" s="1"/>
  <c r="I129" i="56"/>
  <c r="I149" i="56" s="1"/>
  <c r="I158" i="56" s="1"/>
  <c r="I178" i="56" s="1"/>
  <c r="AN120" i="56"/>
  <c r="AO120" i="56" s="1"/>
  <c r="BA103" i="73"/>
  <c r="BB103" i="73" s="1"/>
  <c r="BD61" i="73"/>
  <c r="BE61" i="73" s="1"/>
  <c r="BF82" i="73"/>
  <c r="AN11" i="73"/>
  <c r="AN157" i="73"/>
  <c r="AN164" i="73" s="1"/>
  <c r="AM157" i="73"/>
  <c r="AM164" i="73" s="1"/>
  <c r="AM194" i="73" s="1"/>
  <c r="AC164" i="73"/>
  <c r="T17" i="32" s="1"/>
  <c r="W17" i="32" s="1"/>
  <c r="AE155" i="73"/>
  <c r="BA157" i="73"/>
  <c r="BB157" i="73" s="1"/>
  <c r="BD157" i="73"/>
  <c r="BE157" i="73" s="1"/>
  <c r="AL211" i="56"/>
  <c r="AS42" i="55"/>
  <c r="AK439" i="55"/>
  <c r="AL439" i="55" s="1"/>
  <c r="N456" i="55"/>
  <c r="AK456" i="55" s="1"/>
  <c r="AL456" i="55" s="1"/>
  <c r="AP172" i="55"/>
  <c r="AS70" i="55"/>
  <c r="AP17" i="55"/>
  <c r="AS191" i="55"/>
  <c r="BA173" i="73"/>
  <c r="BB173" i="73" s="1"/>
  <c r="AS85" i="55"/>
  <c r="AP170" i="55"/>
  <c r="AS78" i="55"/>
  <c r="G9" i="48"/>
  <c r="N10" i="2"/>
  <c r="H16" i="48" s="1"/>
  <c r="D16" i="48" s="1"/>
  <c r="AS152" i="55"/>
  <c r="AP20" i="55"/>
  <c r="AS147" i="55"/>
  <c r="AS54" i="55"/>
  <c r="AS201" i="55"/>
  <c r="AS179" i="55"/>
  <c r="AS142" i="55"/>
  <c r="AS19" i="55"/>
  <c r="AS168" i="55"/>
  <c r="R38" i="13"/>
  <c r="Q132" i="50"/>
  <c r="Q154" i="50" s="1"/>
  <c r="R72" i="14"/>
  <c r="I68" i="50"/>
  <c r="T68" i="50" s="1"/>
  <c r="U68" i="50" s="1"/>
  <c r="T42" i="50"/>
  <c r="U42" i="50" s="1"/>
  <c r="BA24" i="73"/>
  <c r="BB24" i="73" s="1"/>
  <c r="AP23" i="55"/>
  <c r="AD112" i="23"/>
  <c r="P127" i="23"/>
  <c r="P144" i="23" s="1"/>
  <c r="I189" i="23"/>
  <c r="I204" i="23" s="1"/>
  <c r="I219" i="23" s="1"/>
  <c r="I248" i="23" s="1"/>
  <c r="I268" i="23" s="1"/>
  <c r="I282" i="23" s="1"/>
  <c r="I305" i="23" s="1"/>
  <c r="I320" i="23" s="1"/>
  <c r="I337" i="23" s="1"/>
  <c r="I349" i="23" s="1"/>
  <c r="I363" i="23" s="1"/>
  <c r="I377" i="23" s="1"/>
  <c r="I392" i="23" s="1"/>
  <c r="I405" i="23" s="1"/>
  <c r="I421" i="23" s="1"/>
  <c r="I434" i="23" s="1"/>
  <c r="F19" i="3"/>
  <c r="O57" i="23"/>
  <c r="O494" i="23" s="1"/>
  <c r="O511" i="23" s="1"/>
  <c r="F576" i="23"/>
  <c r="M92" i="22"/>
  <c r="M124" i="22" s="1"/>
  <c r="M135" i="22" s="1"/>
  <c r="M159" i="22" s="1"/>
  <c r="E50" i="54" s="1"/>
  <c r="K124" i="22"/>
  <c r="K135" i="22" s="1"/>
  <c r="K159" i="22" s="1"/>
  <c r="D50" i="54"/>
  <c r="F9" i="22"/>
  <c r="H16" i="13"/>
  <c r="T19" i="13" s="1"/>
  <c r="F15" i="2"/>
  <c r="G15" i="48" s="1"/>
  <c r="C15" i="48" s="1"/>
  <c r="AP169" i="55"/>
  <c r="H107" i="98"/>
  <c r="P168" i="51"/>
  <c r="AP173" i="55"/>
  <c r="M91" i="72"/>
  <c r="N91" i="72" s="1"/>
  <c r="F139" i="72"/>
  <c r="F149" i="72" s="1"/>
  <c r="F176" i="72" s="1"/>
  <c r="F189" i="72" s="1"/>
  <c r="H11" i="2" s="1"/>
  <c r="O37" i="45"/>
  <c r="V72" i="24" s="1"/>
  <c r="N57" i="23"/>
  <c r="N494" i="23" s="1"/>
  <c r="N511" i="23" s="1"/>
  <c r="N565" i="23" s="1"/>
  <c r="K25" i="4"/>
  <c r="BA93" i="73"/>
  <c r="BB93" i="73" s="1"/>
  <c r="BA89" i="73"/>
  <c r="BB89" i="73" s="1"/>
  <c r="BD97" i="73"/>
  <c r="BE97" i="73" s="1"/>
  <c r="BD91" i="73"/>
  <c r="BE91" i="73" s="1"/>
  <c r="BD99" i="73"/>
  <c r="BE99" i="73" s="1"/>
  <c r="D66" i="24"/>
  <c r="T580" i="23"/>
  <c r="AE64" i="24"/>
  <c r="AE66" i="24" s="1"/>
  <c r="AH16" i="32"/>
  <c r="AH18" i="32"/>
  <c r="F16" i="2"/>
  <c r="G14" i="48" s="1"/>
  <c r="C14" i="48" s="1"/>
  <c r="AS350" i="55"/>
  <c r="AP171" i="55"/>
  <c r="AS51" i="55"/>
  <c r="AP174" i="55"/>
  <c r="AS351" i="55"/>
  <c r="AS177" i="55"/>
  <c r="AP349" i="55"/>
  <c r="AP176" i="55"/>
  <c r="AS116" i="55"/>
  <c r="AS175" i="55"/>
  <c r="AP148" i="55"/>
  <c r="AR29" i="55"/>
  <c r="AS29" i="55" s="1"/>
  <c r="AK29" i="55"/>
  <c r="AL29" i="55" s="1"/>
  <c r="J40" i="55"/>
  <c r="AR40" i="55" s="1"/>
  <c r="AP40" i="55" s="1"/>
  <c r="G189" i="72"/>
  <c r="U16" i="48"/>
  <c r="D33" i="32"/>
  <c r="S37" i="45"/>
  <c r="W31" i="45"/>
  <c r="L69" i="24" s="1"/>
  <c r="L71" i="24" s="1"/>
  <c r="AB31" i="45"/>
  <c r="M9" i="4"/>
  <c r="BD86" i="73"/>
  <c r="BE86" i="73" s="1"/>
  <c r="K24" i="4"/>
  <c r="G27" i="4"/>
  <c r="G28" i="4" s="1"/>
  <c r="I24" i="4"/>
  <c r="I27" i="4" s="1"/>
  <c r="I28" i="4" s="1"/>
  <c r="V59" i="52"/>
  <c r="BA171" i="73"/>
  <c r="BB171" i="73" s="1"/>
  <c r="AS430" i="55"/>
  <c r="AP430" i="55"/>
  <c r="AR439" i="55"/>
  <c r="AS439" i="55" s="1"/>
  <c r="AF439" i="55"/>
  <c r="AG439" i="55" s="1"/>
  <c r="AS193" i="55"/>
  <c r="AP193" i="55"/>
  <c r="AP347" i="55"/>
  <c r="AS347" i="55"/>
  <c r="BA141" i="73"/>
  <c r="BB141" i="73" s="1"/>
  <c r="AP167" i="55"/>
  <c r="AS167" i="55"/>
  <c r="AS111" i="55"/>
  <c r="AP111" i="55"/>
  <c r="AS141" i="55"/>
  <c r="BD103" i="73"/>
  <c r="BE103" i="73" s="1"/>
  <c r="BD18" i="73"/>
  <c r="BE18" i="73" s="1"/>
  <c r="BA19" i="73"/>
  <c r="BB19" i="73" s="1"/>
  <c r="BD182" i="73"/>
  <c r="BE182" i="73" s="1"/>
  <c r="BA182" i="73"/>
  <c r="BB182" i="73" s="1"/>
  <c r="AG194" i="56"/>
  <c r="AG200" i="56"/>
  <c r="BD177" i="73"/>
  <c r="BE177" i="73" s="1"/>
  <c r="BA177" i="73"/>
  <c r="BB177" i="73" s="1"/>
  <c r="BD179" i="73"/>
  <c r="BE179" i="73" s="1"/>
  <c r="BA179" i="73"/>
  <c r="BB179" i="73" s="1"/>
  <c r="AN191" i="56"/>
  <c r="AO191" i="56" s="1"/>
  <c r="AG203" i="56"/>
  <c r="AJ203" i="56" s="1"/>
  <c r="AP202" i="56"/>
  <c r="BD176" i="73"/>
  <c r="BE176" i="73" s="1"/>
  <c r="BA176" i="73"/>
  <c r="BB176" i="73" s="1"/>
  <c r="BD184" i="73"/>
  <c r="BE184" i="73" s="1"/>
  <c r="BA184" i="73"/>
  <c r="BB184" i="73" s="1"/>
  <c r="AE203" i="56"/>
  <c r="AF203" i="56" s="1"/>
  <c r="AH203" i="56"/>
  <c r="AI203" i="56" s="1"/>
  <c r="AR203" i="56"/>
  <c r="AS203" i="56" s="1"/>
  <c r="AT203" i="56" s="1"/>
  <c r="AB203" i="56"/>
  <c r="AC203" i="56" s="1"/>
  <c r="C9" i="48"/>
  <c r="BD13" i="73"/>
  <c r="BE13" i="73" s="1"/>
  <c r="BA40" i="73" l="1"/>
  <c r="BB40" i="73" s="1"/>
  <c r="BD40" i="73"/>
  <c r="BE40" i="73" s="1"/>
  <c r="H143" i="73"/>
  <c r="BD96" i="73"/>
  <c r="BE96" i="73" s="1"/>
  <c r="BA96" i="73"/>
  <c r="BB96" i="73" s="1"/>
  <c r="B15" i="32"/>
  <c r="B11" i="32" s="1"/>
  <c r="E11" i="32" s="1"/>
  <c r="E15" i="32" s="1"/>
  <c r="H153" i="73"/>
  <c r="H194" i="73" s="1"/>
  <c r="AH207" i="73" s="1"/>
  <c r="AG90" i="73"/>
  <c r="U193" i="73"/>
  <c r="AN90" i="73"/>
  <c r="K18" i="4"/>
  <c r="AN12" i="73"/>
  <c r="AH28" i="73"/>
  <c r="M139" i="72"/>
  <c r="N139" i="72" s="1"/>
  <c r="AP433" i="55"/>
  <c r="F14" i="2"/>
  <c r="F17" i="2" s="1"/>
  <c r="AO462" i="55"/>
  <c r="AD463" i="55"/>
  <c r="X474" i="55"/>
  <c r="G13" i="48"/>
  <c r="C13" i="48" s="1"/>
  <c r="H457" i="55"/>
  <c r="AC166" i="73"/>
  <c r="AG193" i="73"/>
  <c r="AE42" i="73"/>
  <c r="BA53" i="73"/>
  <c r="BB53" i="73" s="1"/>
  <c r="BD53" i="73"/>
  <c r="BE53" i="73" s="1"/>
  <c r="K168" i="22"/>
  <c r="F8" i="22"/>
  <c r="F11" i="22" s="1"/>
  <c r="N11" i="2" s="1"/>
  <c r="C50" i="54"/>
  <c r="AC62" i="52"/>
  <c r="AC64" i="52"/>
  <c r="E68" i="52"/>
  <c r="E69" i="52"/>
  <c r="AC61" i="52"/>
  <c r="AC60" i="73"/>
  <c r="I143" i="73"/>
  <c r="I153" i="73" s="1"/>
  <c r="I194" i="73" s="1"/>
  <c r="AC11" i="73"/>
  <c r="AG28" i="73"/>
  <c r="BD22" i="73"/>
  <c r="BE22" i="73" s="1"/>
  <c r="Q24" i="4"/>
  <c r="BD17" i="73"/>
  <c r="BE17" i="73" s="1"/>
  <c r="BD92" i="73"/>
  <c r="BE92" i="73" s="1"/>
  <c r="BA64" i="73"/>
  <c r="BB64" i="73" s="1"/>
  <c r="BD64" i="73"/>
  <c r="BE64" i="73" s="1"/>
  <c r="BA21" i="73"/>
  <c r="BB21" i="73" s="1"/>
  <c r="BD21" i="73"/>
  <c r="BE21" i="73" s="1"/>
  <c r="BD67" i="73"/>
  <c r="BE67" i="73" s="1"/>
  <c r="BA67" i="73"/>
  <c r="BB67" i="73" s="1"/>
  <c r="BA95" i="73"/>
  <c r="BB95" i="73" s="1"/>
  <c r="BD95" i="73"/>
  <c r="BE95" i="73" s="1"/>
  <c r="BA87" i="73"/>
  <c r="BB87" i="73" s="1"/>
  <c r="BD87" i="73"/>
  <c r="BE87" i="73" s="1"/>
  <c r="BA84" i="73"/>
  <c r="BB84" i="73" s="1"/>
  <c r="BD83" i="73"/>
  <c r="BE83" i="73" s="1"/>
  <c r="BD23" i="73"/>
  <c r="BE23" i="73" s="1"/>
  <c r="BA14" i="73"/>
  <c r="BB14" i="73" s="1"/>
  <c r="BD16" i="73"/>
  <c r="BE16" i="73" s="1"/>
  <c r="BD70" i="73"/>
  <c r="BE70" i="73" s="1"/>
  <c r="BD69" i="73"/>
  <c r="BE69" i="73" s="1"/>
  <c r="BD98" i="73"/>
  <c r="BE98" i="73" s="1"/>
  <c r="BA63" i="73"/>
  <c r="BB63" i="73" s="1"/>
  <c r="BD54" i="73"/>
  <c r="BE54" i="73" s="1"/>
  <c r="I187" i="56"/>
  <c r="I289" i="56" s="1"/>
  <c r="AN178" i="56"/>
  <c r="AO178" i="56" s="1"/>
  <c r="BA61" i="73"/>
  <c r="BB61" i="73" s="1"/>
  <c r="BD85" i="73"/>
  <c r="BE85" i="73" s="1"/>
  <c r="AE164" i="73"/>
  <c r="BA155" i="73"/>
  <c r="BB155" i="73" s="1"/>
  <c r="BD155" i="73"/>
  <c r="BE155" i="73" s="1"/>
  <c r="AN194" i="56"/>
  <c r="AO194" i="56" s="1"/>
  <c r="I211" i="56"/>
  <c r="I212" i="56" s="1"/>
  <c r="I78" i="50"/>
  <c r="I110" i="50" s="1"/>
  <c r="I120" i="50" s="1"/>
  <c r="T15" i="13"/>
  <c r="F13" i="2" a="1"/>
  <c r="F13" i="2" s="1"/>
  <c r="AD144" i="23"/>
  <c r="P156" i="23"/>
  <c r="P175" i="23" s="1"/>
  <c r="I451" i="23"/>
  <c r="I464" i="23" s="1"/>
  <c r="I482" i="23" s="1"/>
  <c r="I494" i="23" s="1"/>
  <c r="I511" i="23" s="1"/>
  <c r="I565" i="23" s="1"/>
  <c r="O565" i="23"/>
  <c r="AB57" i="23"/>
  <c r="AB75" i="23" s="1"/>
  <c r="E494" i="23"/>
  <c r="E511" i="23" s="1"/>
  <c r="E565" i="23" s="1"/>
  <c r="K164" i="22"/>
  <c r="K27" i="4"/>
  <c r="K28" i="4" s="1"/>
  <c r="Q27" i="4"/>
  <c r="Z40" i="55"/>
  <c r="Z56" i="55" s="1"/>
  <c r="Z69" i="55" s="1"/>
  <c r="AS40" i="55"/>
  <c r="J56" i="55"/>
  <c r="AR56" i="55" s="1"/>
  <c r="AS56" i="55" s="1"/>
  <c r="AP29" i="55"/>
  <c r="AK40" i="55"/>
  <c r="AL40" i="55" s="1"/>
  <c r="AF40" i="55"/>
  <c r="AG40" i="55" s="1"/>
  <c r="K10" i="4"/>
  <c r="AB37" i="45"/>
  <c r="W37" i="45"/>
  <c r="AB69" i="24"/>
  <c r="D63" i="24"/>
  <c r="D65" i="24" s="1"/>
  <c r="X31" i="45"/>
  <c r="X37" i="45" s="1"/>
  <c r="H9" i="45" s="1"/>
  <c r="H11" i="45" s="1"/>
  <c r="F14" i="3" s="1"/>
  <c r="F15" i="3" s="1"/>
  <c r="F20" i="3" s="1"/>
  <c r="F23" i="3" s="1"/>
  <c r="V69" i="24"/>
  <c r="AF456" i="55"/>
  <c r="AG456" i="55" s="1"/>
  <c r="AR456" i="55"/>
  <c r="AS456" i="55" s="1"/>
  <c r="N457" i="55"/>
  <c r="BD19" i="73"/>
  <c r="BE19" i="73" s="1"/>
  <c r="BD141" i="73"/>
  <c r="BE141" i="73" s="1"/>
  <c r="M149" i="72"/>
  <c r="N149" i="72" s="1"/>
  <c r="BF142" i="73"/>
  <c r="AB200" i="56"/>
  <c r="AC200" i="56" s="1"/>
  <c r="AE200" i="56"/>
  <c r="AF200" i="56" s="1"/>
  <c r="AH200" i="56"/>
  <c r="AI200" i="56" s="1"/>
  <c r="AR200" i="56"/>
  <c r="AS200" i="56" s="1"/>
  <c r="AT200" i="56" s="1"/>
  <c r="AJ194" i="56"/>
  <c r="AH194" i="56"/>
  <c r="AI194" i="56" s="1"/>
  <c r="AR194" i="56"/>
  <c r="AS194" i="56" s="1"/>
  <c r="AT194" i="56" s="1"/>
  <c r="AE194" i="56"/>
  <c r="AF194" i="56" s="1"/>
  <c r="AB194" i="56"/>
  <c r="AC194" i="56" s="1"/>
  <c r="U194" i="56"/>
  <c r="V194" i="56" s="1"/>
  <c r="AJ200" i="56"/>
  <c r="AG54" i="56"/>
  <c r="R62" i="73"/>
  <c r="AG211" i="56"/>
  <c r="AG50" i="56"/>
  <c r="M18" i="4"/>
  <c r="R71" i="73" l="1"/>
  <c r="R82" i="73" s="1"/>
  <c r="AN111" i="73"/>
  <c r="AN121" i="73" s="1"/>
  <c r="AN142" i="73" s="1"/>
  <c r="B23" i="32"/>
  <c r="E23" i="32" s="1"/>
  <c r="AC90" i="73"/>
  <c r="AH121" i="73"/>
  <c r="AH142" i="73" s="1"/>
  <c r="K17" i="4"/>
  <c r="M17" i="4" s="1"/>
  <c r="AN28" i="73"/>
  <c r="BD29" i="73"/>
  <c r="BE29" i="73" s="1"/>
  <c r="BA29" i="73"/>
  <c r="BB29" i="73" s="1"/>
  <c r="H14" i="2"/>
  <c r="H17" i="2" s="1"/>
  <c r="AO468" i="55"/>
  <c r="AP466" i="55"/>
  <c r="AK458" i="55"/>
  <c r="AL458" i="55" s="1"/>
  <c r="AN216" i="56"/>
  <c r="AO216" i="56" s="1"/>
  <c r="AC206" i="73"/>
  <c r="AE166" i="73"/>
  <c r="AE193" i="73" s="1"/>
  <c r="AC193" i="73"/>
  <c r="G12" i="48"/>
  <c r="C12" i="48" s="1"/>
  <c r="C19" i="48" s="1"/>
  <c r="C36" i="48" s="1"/>
  <c r="AE60" i="73"/>
  <c r="BD60" i="73" s="1"/>
  <c r="BE60" i="73" s="1"/>
  <c r="T23" i="32"/>
  <c r="W23" i="32" s="1"/>
  <c r="AC28" i="73"/>
  <c r="AE11" i="73"/>
  <c r="AE28" i="73" s="1"/>
  <c r="BA83" i="73"/>
  <c r="BB83" i="73" s="1"/>
  <c r="BD14" i="73"/>
  <c r="BE14" i="73" s="1"/>
  <c r="BD84" i="73"/>
  <c r="BE84" i="73" s="1"/>
  <c r="N62" i="73"/>
  <c r="N71" i="73" s="1"/>
  <c r="BA164" i="73"/>
  <c r="BB164" i="73" s="1"/>
  <c r="BD164" i="73"/>
  <c r="BE164" i="73" s="1"/>
  <c r="K289" i="56"/>
  <c r="K290" i="56" s="1"/>
  <c r="AN212" i="56"/>
  <c r="R287" i="56"/>
  <c r="AN211" i="56"/>
  <c r="AO211" i="56" s="1"/>
  <c r="T78" i="50"/>
  <c r="U78" i="50" s="1"/>
  <c r="AK56" i="55"/>
  <c r="AL56" i="55" s="1"/>
  <c r="I132" i="50"/>
  <c r="O476" i="55" s="1"/>
  <c r="O478" i="55" s="1"/>
  <c r="AR478" i="55" s="1"/>
  <c r="T110" i="50"/>
  <c r="U110" i="50" s="1"/>
  <c r="AD175" i="23"/>
  <c r="P189" i="23"/>
  <c r="P204" i="23" s="1"/>
  <c r="G19" i="48"/>
  <c r="G36" i="48" s="1"/>
  <c r="AB92" i="23"/>
  <c r="E575" i="23"/>
  <c r="AF577" i="23"/>
  <c r="AF564" i="23"/>
  <c r="AE513" i="23"/>
  <c r="H17" i="48"/>
  <c r="J69" i="55"/>
  <c r="AR69" i="55" s="1"/>
  <c r="AP69" i="55" s="1"/>
  <c r="AP56" i="55"/>
  <c r="AF56" i="55"/>
  <c r="AG56" i="55" s="1"/>
  <c r="M176" i="72"/>
  <c r="M10" i="4"/>
  <c r="M12" i="4" s="1"/>
  <c r="K12" i="4"/>
  <c r="AB211" i="56"/>
  <c r="AC211" i="56" s="1"/>
  <c r="R76" i="14"/>
  <c r="AR211" i="56"/>
  <c r="AH211" i="56"/>
  <c r="AI211" i="56" s="1"/>
  <c r="BF143" i="73"/>
  <c r="AJ211" i="56"/>
  <c r="AE211" i="56"/>
  <c r="AF211" i="56" s="1"/>
  <c r="U211" i="56"/>
  <c r="V211" i="56" s="1"/>
  <c r="U54" i="56"/>
  <c r="V54" i="56" s="1"/>
  <c r="AR54" i="56"/>
  <c r="AS54" i="56" s="1"/>
  <c r="AE54" i="56"/>
  <c r="AF54" i="56" s="1"/>
  <c r="AH54" i="56"/>
  <c r="AI54" i="56" s="1"/>
  <c r="AJ54" i="56"/>
  <c r="AB54" i="56"/>
  <c r="AC54" i="56" s="1"/>
  <c r="AG120" i="56"/>
  <c r="AB50" i="56"/>
  <c r="AC50" i="56" s="1"/>
  <c r="AJ50" i="56"/>
  <c r="U50" i="56"/>
  <c r="V50" i="56" s="1"/>
  <c r="AE50" i="56"/>
  <c r="AF50" i="56" s="1"/>
  <c r="AR50" i="56"/>
  <c r="AS50" i="56" s="1"/>
  <c r="AH50" i="56"/>
  <c r="AI50" i="56" s="1"/>
  <c r="R88" i="73"/>
  <c r="N88" i="73" s="1"/>
  <c r="U88" i="73" s="1"/>
  <c r="AG88" i="73" s="1"/>
  <c r="AC88" i="73" s="1"/>
  <c r="BA12" i="73"/>
  <c r="BB12" i="73" s="1"/>
  <c r="BD12" i="73"/>
  <c r="BE12" i="73" s="1"/>
  <c r="W99" i="55"/>
  <c r="AA11" i="32"/>
  <c r="BA166" i="73" l="1"/>
  <c r="BB166" i="73" s="1"/>
  <c r="AN143" i="73"/>
  <c r="AN153" i="73" s="1"/>
  <c r="AN194" i="73" s="1"/>
  <c r="AQ193" i="73" s="1"/>
  <c r="R111" i="73"/>
  <c r="R121" i="73" s="1"/>
  <c r="R142" i="73" s="1"/>
  <c r="R143" i="73" s="1"/>
  <c r="R153" i="73" s="1"/>
  <c r="R194" i="73" s="1"/>
  <c r="BA60" i="73"/>
  <c r="BB60" i="73" s="1"/>
  <c r="K16" i="4"/>
  <c r="AH143" i="73"/>
  <c r="AH153" i="73" s="1"/>
  <c r="AH194" i="73" s="1"/>
  <c r="AE90" i="73"/>
  <c r="BD166" i="73"/>
  <c r="BE166" i="73" s="1"/>
  <c r="H27" i="2"/>
  <c r="P30" i="2" s="1"/>
  <c r="U62" i="73"/>
  <c r="U71" i="73" s="1"/>
  <c r="N82" i="73"/>
  <c r="AE88" i="73"/>
  <c r="AA15" i="32"/>
  <c r="AF11" i="32"/>
  <c r="BA11" i="73"/>
  <c r="BB11" i="73" s="1"/>
  <c r="BE6" i="73"/>
  <c r="BD11" i="73"/>
  <c r="BE11" i="73" s="1"/>
  <c r="AR476" i="55"/>
  <c r="AD204" i="23"/>
  <c r="P219" i="23"/>
  <c r="AB112" i="23"/>
  <c r="AB127" i="23" s="1"/>
  <c r="O586" i="23"/>
  <c r="O588" i="23" s="1"/>
  <c r="O580" i="23"/>
  <c r="O581" i="23" s="1"/>
  <c r="AF578" i="23"/>
  <c r="AF579" i="23" s="1"/>
  <c r="AG565" i="23"/>
  <c r="D17" i="48"/>
  <c r="N13" i="2"/>
  <c r="J86" i="55"/>
  <c r="AR86" i="55" s="1"/>
  <c r="AS86" i="55" s="1"/>
  <c r="AS69" i="55"/>
  <c r="AK69" i="55"/>
  <c r="AL69" i="55" s="1"/>
  <c r="AF69" i="55"/>
  <c r="AG69" i="55" s="1"/>
  <c r="BA193" i="73"/>
  <c r="BB193" i="73" s="1"/>
  <c r="BD193" i="73"/>
  <c r="BE193" i="73" s="1"/>
  <c r="N176" i="72"/>
  <c r="M189" i="72"/>
  <c r="AL195" i="73"/>
  <c r="BF153" i="73"/>
  <c r="BF194" i="73"/>
  <c r="AJ120" i="56"/>
  <c r="AG129" i="56"/>
  <c r="W121" i="55"/>
  <c r="BA28" i="73"/>
  <c r="BB28" i="73" s="1"/>
  <c r="BD28" i="73"/>
  <c r="BE28" i="73" s="1"/>
  <c r="Y11" i="32"/>
  <c r="BC198" i="73" l="1"/>
  <c r="N111" i="73"/>
  <c r="N121" i="73" s="1"/>
  <c r="N142" i="73" s="1"/>
  <c r="N143" i="73" s="1"/>
  <c r="N153" i="73" s="1"/>
  <c r="N194" i="73" s="1"/>
  <c r="J206" i="73" s="1"/>
  <c r="BA90" i="73"/>
  <c r="BB90" i="73" s="1"/>
  <c r="BD90" i="73"/>
  <c r="BE90" i="73" s="1"/>
  <c r="M16" i="4"/>
  <c r="M19" i="4" s="1"/>
  <c r="M20" i="4" s="1"/>
  <c r="M31" i="4" s="1"/>
  <c r="K19" i="4"/>
  <c r="AG62" i="73"/>
  <c r="AG71" i="73" s="1"/>
  <c r="U82" i="73"/>
  <c r="AP86" i="55"/>
  <c r="AK86" i="55"/>
  <c r="AL86" i="55" s="1"/>
  <c r="AD219" i="23"/>
  <c r="P234" i="23"/>
  <c r="AB144" i="23"/>
  <c r="AB156" i="23" s="1"/>
  <c r="AB175" i="23" s="1"/>
  <c r="AB189" i="23" s="1"/>
  <c r="AB204" i="23" s="1"/>
  <c r="AF86" i="55"/>
  <c r="AG86" i="55" s="1"/>
  <c r="J99" i="55"/>
  <c r="AR99" i="55" s="1"/>
  <c r="AP99" i="55" s="1"/>
  <c r="N189" i="72"/>
  <c r="AJ129" i="56"/>
  <c r="W133" i="55"/>
  <c r="W153" i="55" s="1"/>
  <c r="Y15" i="32"/>
  <c r="AH15" i="32"/>
  <c r="U111" i="73" l="1"/>
  <c r="U121" i="73" s="1"/>
  <c r="U142" i="73" s="1"/>
  <c r="U143" i="73" s="1"/>
  <c r="U153" i="73" s="1"/>
  <c r="U194" i="73" s="1"/>
  <c r="M30" i="4"/>
  <c r="K20" i="4"/>
  <c r="Q18" i="4"/>
  <c r="AC62" i="73"/>
  <c r="AC71" i="73" s="1"/>
  <c r="AG82" i="73"/>
  <c r="AS99" i="55"/>
  <c r="AF99" i="55"/>
  <c r="AG99" i="55" s="1"/>
  <c r="J121" i="55"/>
  <c r="AK121" i="55" s="1"/>
  <c r="AL121" i="55" s="1"/>
  <c r="P248" i="23"/>
  <c r="P268" i="23" s="1"/>
  <c r="AD234" i="23"/>
  <c r="AB219" i="23"/>
  <c r="AB234" i="23" s="1"/>
  <c r="AB248" i="23" s="1"/>
  <c r="AB268" i="23" s="1"/>
  <c r="AB282" i="23" s="1"/>
  <c r="AB305" i="23" s="1"/>
  <c r="AB320" i="23" s="1"/>
  <c r="AB337" i="23" s="1"/>
  <c r="AB349" i="23" s="1"/>
  <c r="AB363" i="23" s="1"/>
  <c r="AB377" i="23" s="1"/>
  <c r="AB392" i="23" s="1"/>
  <c r="AB405" i="23" s="1"/>
  <c r="AB421" i="23" s="1"/>
  <c r="AB434" i="23" s="1"/>
  <c r="AB451" i="23" s="1"/>
  <c r="AB464" i="23" s="1"/>
  <c r="AB482" i="23" s="1"/>
  <c r="AB494" i="23" s="1"/>
  <c r="AB511" i="23" s="1"/>
  <c r="AK99" i="55"/>
  <c r="AL99" i="55" s="1"/>
  <c r="AH11" i="32"/>
  <c r="AF15" i="32"/>
  <c r="AG111" i="73" l="1"/>
  <c r="AG121" i="73" s="1"/>
  <c r="AG142" i="73" s="1"/>
  <c r="AG143" i="73" s="1"/>
  <c r="AG153" i="73" s="1"/>
  <c r="AG194" i="73" s="1"/>
  <c r="P30" i="4"/>
  <c r="K31" i="4"/>
  <c r="K45" i="4" s="1"/>
  <c r="AE62" i="73"/>
  <c r="AC82" i="73"/>
  <c r="AR121" i="55"/>
  <c r="AS121" i="55" s="1"/>
  <c r="J133" i="55"/>
  <c r="AR133" i="55" s="1"/>
  <c r="AP133" i="55" s="1"/>
  <c r="AF121" i="55"/>
  <c r="AG121" i="55" s="1"/>
  <c r="P282" i="23"/>
  <c r="P305" i="23" s="1"/>
  <c r="AD268" i="23"/>
  <c r="AB565" i="23"/>
  <c r="W164" i="55"/>
  <c r="W180" i="55" s="1"/>
  <c r="AE71" i="73" l="1"/>
  <c r="AE82" i="73" s="1"/>
  <c r="AE111" i="73" s="1"/>
  <c r="AE121" i="73" s="1"/>
  <c r="AE142" i="73" s="1"/>
  <c r="AE143" i="73" s="1"/>
  <c r="AE153" i="73" s="1"/>
  <c r="AE194" i="73" s="1"/>
  <c r="BD194" i="73" s="1"/>
  <c r="BE194" i="73" s="1"/>
  <c r="AC111" i="73"/>
  <c r="AC121" i="73" s="1"/>
  <c r="AC142" i="73" s="1"/>
  <c r="AC143" i="73" s="1"/>
  <c r="AC153" i="73" s="1"/>
  <c r="AC194" i="73" s="1"/>
  <c r="AC209" i="73" s="1"/>
  <c r="AK133" i="55"/>
  <c r="AL133" i="55" s="1"/>
  <c r="AS133" i="55"/>
  <c r="J153" i="55"/>
  <c r="AR153" i="55" s="1"/>
  <c r="AS153" i="55" s="1"/>
  <c r="AP121" i="55"/>
  <c r="AF133" i="55"/>
  <c r="AG133" i="55" s="1"/>
  <c r="P320" i="23"/>
  <c r="P337" i="23" s="1"/>
  <c r="AD305" i="23"/>
  <c r="BD62" i="73"/>
  <c r="BE62" i="73" s="1"/>
  <c r="BA62" i="73"/>
  <c r="BB62" i="73" s="1"/>
  <c r="BA194" i="73" l="1"/>
  <c r="BB194" i="73" s="1"/>
  <c r="AK153" i="55"/>
  <c r="AL153" i="55" s="1"/>
  <c r="AP153" i="55"/>
  <c r="AF153" i="55"/>
  <c r="AG153" i="55" s="1"/>
  <c r="J164" i="55"/>
  <c r="AR164" i="55" s="1"/>
  <c r="AS164" i="55" s="1"/>
  <c r="P349" i="23"/>
  <c r="P363" i="23" s="1"/>
  <c r="AD337" i="23"/>
  <c r="BA71" i="73"/>
  <c r="BB71" i="73" s="1"/>
  <c r="BD71" i="73"/>
  <c r="BE71" i="73" s="1"/>
  <c r="BA88" i="73"/>
  <c r="BB88" i="73" s="1"/>
  <c r="BD88" i="73"/>
  <c r="BE88" i="73" s="1"/>
  <c r="W190" i="55"/>
  <c r="W208" i="55" s="1"/>
  <c r="BA142" i="73" l="1"/>
  <c r="BB142" i="73" s="1"/>
  <c r="AP164" i="55"/>
  <c r="AK164" i="55"/>
  <c r="AL164" i="55" s="1"/>
  <c r="AF164" i="55"/>
  <c r="AG164" i="55" s="1"/>
  <c r="J180" i="55"/>
  <c r="AR180" i="55" s="1"/>
  <c r="AP180" i="55" s="1"/>
  <c r="P377" i="23"/>
  <c r="P392" i="23" s="1"/>
  <c r="AF363" i="23"/>
  <c r="BD82" i="73"/>
  <c r="BE82" i="73" s="1"/>
  <c r="BA82" i="73"/>
  <c r="BB82" i="73" s="1"/>
  <c r="BD142" i="73" l="1"/>
  <c r="BE142" i="73" s="1"/>
  <c r="BD143" i="73"/>
  <c r="BE143" i="73" s="1"/>
  <c r="AS180" i="55"/>
  <c r="AF180" i="55"/>
  <c r="AG180" i="55" s="1"/>
  <c r="AK180" i="55"/>
  <c r="AL180" i="55" s="1"/>
  <c r="J190" i="55"/>
  <c r="AR190" i="55" s="1"/>
  <c r="P405" i="23"/>
  <c r="P421" i="23" s="1"/>
  <c r="AE392" i="23"/>
  <c r="W220" i="55"/>
  <c r="BD153" i="73" l="1"/>
  <c r="BE153" i="73" s="1"/>
  <c r="BA143" i="73"/>
  <c r="BB143" i="73" s="1"/>
  <c r="J208" i="55"/>
  <c r="AK208" i="55" s="1"/>
  <c r="AL208" i="55" s="1"/>
  <c r="AK190" i="55"/>
  <c r="AL190" i="55" s="1"/>
  <c r="AF190" i="55"/>
  <c r="AG190" i="55" s="1"/>
  <c r="P434" i="23"/>
  <c r="P451" i="23" s="1"/>
  <c r="AD421" i="23"/>
  <c r="AP190" i="55"/>
  <c r="AS190" i="55"/>
  <c r="W237" i="55"/>
  <c r="BA153" i="73" l="1"/>
  <c r="BB153" i="73" s="1"/>
  <c r="J220" i="55"/>
  <c r="AR220" i="55" s="1"/>
  <c r="AP220" i="55" s="1"/>
  <c r="AR208" i="55"/>
  <c r="AP208" i="55" s="1"/>
  <c r="AF208" i="55"/>
  <c r="AG208" i="55" s="1"/>
  <c r="P464" i="23"/>
  <c r="P482" i="23" s="1"/>
  <c r="AD451" i="23"/>
  <c r="W249" i="55"/>
  <c r="AF220" i="55" l="1"/>
  <c r="AG220" i="55" s="1"/>
  <c r="J237" i="55"/>
  <c r="J249" i="55" s="1"/>
  <c r="AK220" i="55"/>
  <c r="AL220" i="55" s="1"/>
  <c r="AS220" i="55"/>
  <c r="AS208" i="55"/>
  <c r="AD482" i="23"/>
  <c r="P494" i="23"/>
  <c r="P511" i="23" s="1"/>
  <c r="W269" i="55"/>
  <c r="AF237" i="55" l="1"/>
  <c r="AG237" i="55" s="1"/>
  <c r="AK237" i="55"/>
  <c r="AL237" i="55" s="1"/>
  <c r="AR237" i="55"/>
  <c r="AS237" i="55" s="1"/>
  <c r="AG511" i="23"/>
  <c r="P565" i="23"/>
  <c r="J269" i="55"/>
  <c r="AR269" i="55" s="1"/>
  <c r="AK249" i="55"/>
  <c r="AL249" i="55" s="1"/>
  <c r="AF249" i="55"/>
  <c r="AG249" i="55" s="1"/>
  <c r="W281" i="55"/>
  <c r="AR249" i="55"/>
  <c r="AP237" i="55" l="1"/>
  <c r="F22" i="3"/>
  <c r="F16" i="108" s="1"/>
  <c r="F18" i="108" s="1"/>
  <c r="AS249" i="55"/>
  <c r="AP249" i="55"/>
  <c r="J281" i="55"/>
  <c r="AR281" i="55" s="1"/>
  <c r="AK269" i="55"/>
  <c r="AL269" i="55" s="1"/>
  <c r="AF269" i="55"/>
  <c r="AG269" i="55" s="1"/>
  <c r="W301" i="55"/>
  <c r="AS269" i="55"/>
  <c r="AP269" i="55"/>
  <c r="H18" i="48" l="1" a="1"/>
  <c r="H18" i="48" s="1"/>
  <c r="O22" i="108"/>
  <c r="N16" i="2" s="1"/>
  <c r="J27" i="2" s="1"/>
  <c r="AP281" i="55"/>
  <c r="AS281" i="55"/>
  <c r="AF281" i="55"/>
  <c r="AG281" i="55" s="1"/>
  <c r="AK281" i="55"/>
  <c r="AL281" i="55" s="1"/>
  <c r="J301" i="55"/>
  <c r="AR301" i="55" s="1"/>
  <c r="W311" i="55"/>
  <c r="N17" i="2" l="1"/>
  <c r="D18" i="48"/>
  <c r="D19" i="48" s="1"/>
  <c r="H19" i="48"/>
  <c r="H36" i="48" s="1"/>
  <c r="W328" i="55"/>
  <c r="AP301" i="55"/>
  <c r="AS301" i="55"/>
  <c r="AF301" i="55"/>
  <c r="AG301" i="55" s="1"/>
  <c r="J311" i="55"/>
  <c r="AK301" i="55"/>
  <c r="AL301" i="55" s="1"/>
  <c r="J31" i="2" l="1"/>
  <c r="J26" i="2"/>
  <c r="D36" i="48"/>
  <c r="R20" i="48"/>
  <c r="T18" i="48"/>
  <c r="M19" i="48"/>
  <c r="M17" i="48" s="1"/>
  <c r="R19" i="48"/>
  <c r="AK311" i="55"/>
  <c r="AL311" i="55" s="1"/>
  <c r="J328" i="55"/>
  <c r="AR328" i="55" s="1"/>
  <c r="AS328" i="55" s="1"/>
  <c r="AF311" i="55"/>
  <c r="AG311" i="55" s="1"/>
  <c r="AR311" i="55"/>
  <c r="W340" i="55"/>
  <c r="W368" i="55" l="1"/>
  <c r="W378" i="55" s="1"/>
  <c r="W397" i="55" s="1"/>
  <c r="W407" i="55" s="1"/>
  <c r="AS311" i="55"/>
  <c r="AP311" i="55"/>
  <c r="AK328" i="55"/>
  <c r="AL328" i="55" s="1"/>
  <c r="J340" i="55"/>
  <c r="AF328" i="55"/>
  <c r="AG328" i="55" s="1"/>
  <c r="W457" i="55" l="1"/>
  <c r="J368" i="55"/>
  <c r="J378" i="55" s="1"/>
  <c r="J397" i="55" s="1"/>
  <c r="AM180" i="56"/>
  <c r="AR340" i="55"/>
  <c r="AP340" i="55" s="1"/>
  <c r="AF340" i="55"/>
  <c r="AG340" i="55" s="1"/>
  <c r="AK340" i="55"/>
  <c r="AL340" i="55" s="1"/>
  <c r="J407" i="55" l="1"/>
  <c r="J457" i="55"/>
  <c r="AB457" i="55" s="1"/>
  <c r="AS340" i="55"/>
  <c r="AF397" i="55"/>
  <c r="AG397" i="55" s="1"/>
  <c r="AK397" i="55"/>
  <c r="AL397" i="55" s="1"/>
  <c r="AR397" i="55"/>
  <c r="P473" i="55" l="1"/>
  <c r="AR473" i="55" s="1"/>
  <c r="F23" i="32"/>
  <c r="AR457" i="55"/>
  <c r="AP457" i="55" s="1"/>
  <c r="AS397" i="55"/>
  <c r="AP397" i="55"/>
  <c r="AF457" i="55"/>
  <c r="AG457" i="55" s="1"/>
  <c r="AP476" i="55"/>
  <c r="AP464" i="55"/>
  <c r="AK457" i="55"/>
  <c r="AL457" i="55" s="1"/>
  <c r="AE457" i="55"/>
  <c r="AE463" i="55" s="1"/>
  <c r="AP462" i="55"/>
  <c r="AS457" i="55" l="1"/>
  <c r="D171" i="50"/>
  <c r="D172" i="50" s="1"/>
  <c r="U152" i="50" l="1"/>
  <c r="M16" i="13" l="1"/>
  <c r="T20" i="13" l="1"/>
  <c r="O20" i="56"/>
  <c r="E54" i="20"/>
  <c r="F54" i="20"/>
  <c r="H54" i="20"/>
  <c r="H90" i="20" l="1"/>
  <c r="H92" i="20" s="1"/>
  <c r="H91" i="20"/>
  <c r="F91" i="20"/>
  <c r="F86" i="20"/>
  <c r="E86" i="20"/>
  <c r="E91" i="20"/>
  <c r="E90" i="20"/>
  <c r="F90" i="20"/>
  <c r="C71" i="21"/>
  <c r="AH88" i="20" l="1"/>
  <c r="E92" i="20"/>
  <c r="F92" i="20"/>
  <c r="E52" i="21"/>
  <c r="D205" i="20"/>
  <c r="D206" i="20" s="1"/>
  <c r="E95" i="20"/>
  <c r="D56" i="21"/>
  <c r="D57" i="21"/>
  <c r="H58" i="21" s="1"/>
  <c r="H60" i="21" s="1"/>
  <c r="H52" i="21" l="1"/>
  <c r="I52" i="21" s="1"/>
  <c r="C83" i="21"/>
  <c r="D71" i="21"/>
  <c r="D83" i="21"/>
  <c r="E68" i="21"/>
  <c r="E71" i="21"/>
  <c r="D62" i="21"/>
  <c r="AK120" i="56" l="1"/>
  <c r="AL120" i="56" s="1"/>
  <c r="U120" i="56"/>
  <c r="V120" i="56" s="1"/>
  <c r="AR120" i="56"/>
  <c r="AS120" i="56" s="1"/>
  <c r="AE120" i="56"/>
  <c r="AF120" i="56" s="1"/>
  <c r="AB120" i="56"/>
  <c r="AC120" i="56" s="1"/>
  <c r="AH120" i="56"/>
  <c r="AI120" i="56" s="1"/>
  <c r="AK129" i="56" l="1"/>
  <c r="AL129" i="56" s="1"/>
  <c r="AB129" i="56"/>
  <c r="AC129" i="56" s="1"/>
  <c r="AR129" i="56"/>
  <c r="AS129" i="56" s="1"/>
  <c r="AN129" i="56"/>
  <c r="AO129" i="56" s="1"/>
  <c r="U129" i="56"/>
  <c r="V129" i="56" s="1"/>
  <c r="AE129" i="56"/>
  <c r="AF129" i="56" s="1"/>
  <c r="AH129" i="56"/>
  <c r="AI129" i="56" s="1"/>
  <c r="AK184" i="56" l="1"/>
  <c r="AL184" i="56" s="1"/>
  <c r="I39" i="19" l="1"/>
  <c r="I47" i="19" s="1"/>
  <c r="I38" i="19" s="1"/>
  <c r="I48" i="19" s="1"/>
  <c r="O19" i="56"/>
  <c r="O22" i="56" s="1"/>
  <c r="O24" i="56" s="1"/>
  <c r="O10" i="56" s="1"/>
  <c r="O12" i="56" s="1"/>
  <c r="AG149" i="56"/>
  <c r="AJ149" i="56" s="1"/>
  <c r="AH149" i="56"/>
  <c r="AI149" i="56" s="1"/>
  <c r="AE149" i="56"/>
  <c r="AF149" i="56" s="1"/>
  <c r="AN149" i="56"/>
  <c r="AO149" i="56" s="1"/>
  <c r="AB149" i="56"/>
  <c r="AC149" i="56" s="1"/>
  <c r="U149" i="56"/>
  <c r="V149" i="56" s="1"/>
  <c r="AR149" i="56"/>
  <c r="AS149" i="56" s="1"/>
  <c r="AK149" i="56"/>
  <c r="AL149" i="56" s="1"/>
  <c r="AG158" i="56"/>
  <c r="AE158" i="56"/>
  <c r="AF158" i="56" s="1"/>
  <c r="AH158" i="56"/>
  <c r="AI158" i="56" s="1"/>
  <c r="AK178" i="56" l="1"/>
  <c r="AJ158" i="56"/>
  <c r="AG178" i="56"/>
  <c r="AJ178" i="56" s="1"/>
  <c r="W474" i="55"/>
  <c r="AR474" i="55" s="1"/>
  <c r="R39" i="13"/>
  <c r="R40" i="13" s="1"/>
  <c r="AQ297" i="56"/>
  <c r="AK158" i="56"/>
  <c r="AL158" i="56" s="1"/>
  <c r="AB158" i="56"/>
  <c r="AC158" i="56" s="1"/>
  <c r="U158" i="56"/>
  <c r="V158" i="56" s="1"/>
  <c r="W166" i="56" s="1"/>
  <c r="AR158" i="56"/>
  <c r="AS158" i="56" s="1"/>
  <c r="AR178" i="56"/>
  <c r="AS178" i="56" s="1"/>
  <c r="AN158" i="56"/>
  <c r="AO158" i="56" s="1"/>
  <c r="U178" i="56" l="1"/>
  <c r="V178" i="56" s="1"/>
  <c r="AB178" i="56"/>
  <c r="AC178" i="56" s="1"/>
  <c r="AB31" i="32"/>
  <c r="AL178" i="56"/>
  <c r="AE212" i="56"/>
  <c r="AH178" i="56"/>
  <c r="AI178" i="56" s="1"/>
  <c r="AP296" i="56"/>
  <c r="AK212" i="56"/>
  <c r="AQ217" i="56"/>
  <c r="AQ292" i="56"/>
  <c r="AQ293" i="56"/>
  <c r="AP217" i="56"/>
  <c r="AG212" i="56"/>
  <c r="AJ212" i="56" s="1"/>
  <c r="AE178" i="56"/>
  <c r="AF178" i="56" s="1"/>
  <c r="AP219" i="56" l="1"/>
  <c r="AF212" i="56"/>
  <c r="AF216" i="56"/>
  <c r="O289" i="56"/>
  <c r="AL212" i="56"/>
  <c r="AP297" i="56"/>
  <c r="R202" i="73"/>
  <c r="N23" i="32"/>
  <c r="U212" i="56"/>
  <c r="V212" i="56" s="1"/>
  <c r="AB212" i="56"/>
  <c r="AC212" i="56" s="1"/>
  <c r="AH212" i="56"/>
  <c r="AI212" i="56" s="1"/>
  <c r="AO212" i="56"/>
  <c r="G22" i="32"/>
  <c r="AB22" i="32"/>
  <c r="U22" i="32"/>
  <c r="U23" i="32"/>
  <c r="J22" i="32"/>
  <c r="H22" i="32"/>
  <c r="W22" i="32"/>
  <c r="K22" i="32"/>
  <c r="P22" i="32"/>
  <c r="T22" i="32"/>
  <c r="O22" i="32"/>
  <c r="L22" i="32"/>
  <c r="X22" i="32"/>
  <c r="X23" i="32"/>
  <c r="I22" i="32"/>
  <c r="S22" i="32"/>
  <c r="M22" i="32"/>
  <c r="R22" i="32"/>
  <c r="V22" i="32"/>
  <c r="AD22" i="32"/>
  <c r="AC22" i="32"/>
  <c r="AE22" i="32"/>
  <c r="AE23" i="32"/>
  <c r="AA23" i="32" l="1"/>
  <c r="AH31" i="32" s="1"/>
  <c r="AH32" i="32" s="1"/>
  <c r="AH37" i="32"/>
  <c r="AH38" i="32" s="1"/>
  <c r="C22" i="32"/>
  <c r="C23" i="32"/>
  <c r="D23" i="32"/>
  <c r="D22" i="32"/>
  <c r="E22" i="32"/>
  <c r="Y19" i="32"/>
  <c r="Y23" i="32" s="1"/>
  <c r="N19" i="32"/>
  <c r="Z19" i="32" s="1"/>
  <c r="B34" i="32" l="1"/>
  <c r="Z23" i="32"/>
  <c r="Z22" i="32"/>
  <c r="AJ11" i="32"/>
  <c r="AJ14" i="32" s="1"/>
  <c r="N22" i="32"/>
  <c r="AA19" i="32"/>
  <c r="Y22" i="32"/>
  <c r="AA31" i="32" l="1"/>
  <c r="AH19" i="32"/>
  <c r="AH23" i="32" s="1"/>
  <c r="AA22" i="32"/>
  <c r="AF19" i="32"/>
  <c r="AH34" i="32" s="1"/>
  <c r="AF22" i="32" l="1"/>
  <c r="AF23" i="32" s="1"/>
  <c r="AH24" i="32" s="1"/>
  <c r="AH35" i="32" l="1"/>
  <c r="M131" i="50" l="1"/>
  <c r="F131"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118" authorId="0" shapeId="0" xr:uid="{4AE8167B-AA4D-4A25-9AE7-15679E82916A}">
      <text>
        <r>
          <rPr>
            <b/>
            <sz val="9"/>
            <color indexed="81"/>
            <rFont val="Tahoma"/>
            <family val="2"/>
          </rPr>
          <t>Asiyeh Nazeri:ح100</t>
        </r>
      </text>
    </comment>
    <comment ref="C119" authorId="0" shapeId="0" xr:uid="{7DCB2732-5CEB-4C83-98A1-DA7B6E0B05F1}">
      <text>
        <r>
          <rPr>
            <b/>
            <sz val="9"/>
            <color indexed="81"/>
            <rFont val="Tahoma"/>
            <family val="2"/>
          </rPr>
          <t>Asiyeh Nazeri:ح100</t>
        </r>
      </text>
    </comment>
    <comment ref="C122" authorId="0" shapeId="0" xr:uid="{6CD7A6A5-3D72-4EBE-B028-D9098593E141}">
      <text>
        <r>
          <rPr>
            <b/>
            <sz val="9"/>
            <color indexed="81"/>
            <rFont val="Tahoma"/>
            <family val="2"/>
          </rPr>
          <t>Asiyeh Nazeri:</t>
        </r>
        <r>
          <rPr>
            <sz val="9"/>
            <color indexed="81"/>
            <rFont val="Tahoma"/>
            <family val="2"/>
          </rPr>
          <t xml:space="preserve">
801
</t>
        </r>
      </text>
    </comment>
    <comment ref="C123" authorId="0" shapeId="0" xr:uid="{01739D37-08E2-450D-9EF1-3510A31B3A8B}">
      <text>
        <r>
          <rPr>
            <b/>
            <sz val="9"/>
            <color indexed="81"/>
            <rFont val="Tahoma"/>
            <family val="2"/>
          </rPr>
          <t>Asiyeh Nazeri:</t>
        </r>
        <r>
          <rPr>
            <sz val="9"/>
            <color indexed="81"/>
            <rFont val="Tahoma"/>
            <family val="2"/>
          </rPr>
          <t xml:space="preserve">
801
</t>
        </r>
      </text>
    </comment>
    <comment ref="C125" authorId="0" shapeId="0" xr:uid="{A2AD8E11-59AC-46C1-AE14-9D055F2A2774}">
      <text>
        <r>
          <rPr>
            <b/>
            <sz val="9"/>
            <color indexed="81"/>
            <rFont val="Tahoma"/>
            <family val="2"/>
          </rPr>
          <t>Asiyeh Nazeri:</t>
        </r>
        <r>
          <rPr>
            <sz val="9"/>
            <color indexed="81"/>
            <rFont val="Tahoma"/>
            <family val="2"/>
          </rPr>
          <t xml:space="preserve">
803
</t>
        </r>
      </text>
    </comment>
    <comment ref="C126" authorId="0" shapeId="0" xr:uid="{AC0E0450-45DC-47C8-862C-22DD12C404E8}">
      <text>
        <r>
          <rPr>
            <b/>
            <sz val="9"/>
            <color indexed="81"/>
            <rFont val="Tahoma"/>
            <family val="2"/>
          </rPr>
          <t>Asiyeh Nazeri:</t>
        </r>
        <r>
          <rPr>
            <sz val="9"/>
            <color indexed="81"/>
            <rFont val="Tahoma"/>
            <family val="2"/>
          </rPr>
          <t xml:space="preserve">
803
</t>
        </r>
      </text>
    </comment>
    <comment ref="C128" authorId="0" shapeId="0" xr:uid="{ED1D9309-4F30-4EA3-8D31-C10404901BC3}">
      <text>
        <r>
          <rPr>
            <b/>
            <sz val="9"/>
            <color indexed="81"/>
            <rFont val="Tahoma"/>
            <family val="2"/>
          </rPr>
          <t>Asiyeh Nazeri:</t>
        </r>
        <r>
          <rPr>
            <sz val="9"/>
            <color indexed="81"/>
            <rFont val="Tahoma"/>
            <family val="2"/>
          </rPr>
          <t xml:space="preserve">
804
</t>
        </r>
      </text>
    </comment>
    <comment ref="C131" authorId="0" shapeId="0" xr:uid="{E9D94FED-ECF9-4A0D-A634-78A30DCC55EC}">
      <text>
        <r>
          <rPr>
            <b/>
            <sz val="9"/>
            <color indexed="81"/>
            <rFont val="Tahoma"/>
            <family val="2"/>
          </rPr>
          <t>Asiyeh Nazeri:</t>
        </r>
        <r>
          <rPr>
            <sz val="9"/>
            <color indexed="81"/>
            <rFont val="Tahoma"/>
            <family val="2"/>
          </rPr>
          <t xml:space="preserve">
807</t>
        </r>
      </text>
    </comment>
    <comment ref="C132" authorId="0" shapeId="0" xr:uid="{E4952161-DD65-4349-9DEC-74E159657A8F}">
      <text>
        <r>
          <rPr>
            <b/>
            <sz val="9"/>
            <color indexed="81"/>
            <rFont val="Tahoma"/>
            <family val="2"/>
          </rPr>
          <t>Asiyeh Nazeri:</t>
        </r>
        <r>
          <rPr>
            <sz val="9"/>
            <color indexed="81"/>
            <rFont val="Tahoma"/>
            <family val="2"/>
          </rPr>
          <t xml:space="preserve">
807</t>
        </r>
      </text>
    </comment>
    <comment ref="C133" authorId="0" shapeId="0" xr:uid="{07EE6DCA-F179-47DD-828D-E75ECDC83BCD}">
      <text>
        <r>
          <rPr>
            <b/>
            <sz val="9"/>
            <color indexed="81"/>
            <rFont val="Tahoma"/>
            <family val="2"/>
          </rPr>
          <t>Asiyeh Nazeri:</t>
        </r>
        <r>
          <rPr>
            <sz val="9"/>
            <color indexed="81"/>
            <rFont val="Tahoma"/>
            <family val="2"/>
          </rPr>
          <t xml:space="preserve">
913
</t>
        </r>
      </text>
    </comment>
    <comment ref="C134" authorId="0" shapeId="0" xr:uid="{57045073-424B-4C92-AFFA-0307EC697AEC}">
      <text>
        <r>
          <rPr>
            <b/>
            <sz val="9"/>
            <color indexed="81"/>
            <rFont val="Tahoma"/>
            <family val="2"/>
          </rPr>
          <t>Asiyeh Nazeri:</t>
        </r>
        <r>
          <rPr>
            <sz val="9"/>
            <color indexed="81"/>
            <rFont val="Tahoma"/>
            <family val="2"/>
          </rPr>
          <t xml:space="preserve">
913
</t>
        </r>
      </text>
    </comment>
    <comment ref="C150" authorId="0" shapeId="0" xr:uid="{1C29F433-D225-4C3D-8E5D-B3C646A761DA}">
      <text>
        <r>
          <rPr>
            <b/>
            <sz val="9"/>
            <color indexed="81"/>
            <rFont val="Tahoma"/>
            <family val="2"/>
          </rPr>
          <t>Asiyeh Nazeri:</t>
        </r>
        <r>
          <rPr>
            <sz val="9"/>
            <color indexed="81"/>
            <rFont val="Tahoma"/>
            <family val="2"/>
          </rPr>
          <t xml:space="preserve">
800
</t>
        </r>
      </text>
    </comment>
    <comment ref="C151" authorId="0" shapeId="0" xr:uid="{32266148-EF97-40E1-90A6-80CA5351469A}">
      <text>
        <r>
          <rPr>
            <b/>
            <sz val="9"/>
            <color indexed="81"/>
            <rFont val="Tahoma"/>
            <family val="2"/>
          </rPr>
          <t>Asiyeh Nazeri:</t>
        </r>
        <r>
          <rPr>
            <sz val="9"/>
            <color indexed="81"/>
            <rFont val="Tahoma"/>
            <family val="2"/>
          </rPr>
          <t xml:space="preserve">
800
</t>
        </r>
      </text>
    </comment>
    <comment ref="C174" authorId="0" shapeId="0" xr:uid="{0B670914-3A07-4A56-81E4-13130AF4D817}">
      <text>
        <r>
          <rPr>
            <b/>
            <sz val="9"/>
            <color indexed="81"/>
            <rFont val="Tahoma"/>
            <family val="2"/>
          </rPr>
          <t>Asiyeh Nazeri:</t>
        </r>
        <r>
          <rPr>
            <sz val="9"/>
            <color indexed="81"/>
            <rFont val="Tahoma"/>
            <family val="2"/>
          </rPr>
          <t xml:space="preserve">
812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F11" authorId="0" shapeId="0" xr:uid="{21831F31-3566-4681-BAD5-069EA4E7D9B7}">
      <text>
        <r>
          <rPr>
            <b/>
            <sz val="9"/>
            <color indexed="81"/>
            <rFont val="Tahoma"/>
            <family val="2"/>
          </rPr>
          <t>Asiyeh Nazeri:</t>
        </r>
        <r>
          <rPr>
            <sz val="9"/>
            <color indexed="81"/>
            <rFont val="Tahoma"/>
            <family val="2"/>
          </rPr>
          <t xml:space="preserve">
اختلاف </t>
        </r>
      </text>
    </comment>
    <comment ref="B14" authorId="0" shapeId="0" xr:uid="{1DB92722-8E86-46AD-9E08-9BA2FEB279B3}">
      <text>
        <r>
          <rPr>
            <b/>
            <sz val="9"/>
            <color indexed="81"/>
            <rFont val="Tahoma"/>
            <family val="2"/>
          </rPr>
          <t>Asiyeh Nazeri:ح100</t>
        </r>
      </text>
    </comment>
    <comment ref="B15" authorId="0" shapeId="0" xr:uid="{3FF8E34F-C4F1-4584-82B6-9BE5D1583198}">
      <text>
        <r>
          <rPr>
            <b/>
            <sz val="9"/>
            <color indexed="81"/>
            <rFont val="Tahoma"/>
            <family val="2"/>
          </rPr>
          <t>Asiyeh Nazeri:</t>
        </r>
        <r>
          <rPr>
            <sz val="9"/>
            <color indexed="81"/>
            <rFont val="Tahoma"/>
            <family val="2"/>
          </rPr>
          <t xml:space="preserve">
803
</t>
        </r>
      </text>
    </comment>
    <comment ref="B21" authorId="0" shapeId="0" xr:uid="{83391647-7FA2-4457-851E-E51BDE707A2B}">
      <text>
        <r>
          <rPr>
            <b/>
            <sz val="9"/>
            <color indexed="81"/>
            <rFont val="Tahoma"/>
            <family val="2"/>
          </rPr>
          <t>Asiyeh Nazeri:</t>
        </r>
        <r>
          <rPr>
            <sz val="9"/>
            <color indexed="81"/>
            <rFont val="Tahoma"/>
            <family val="2"/>
          </rPr>
          <t xml:space="preserve">
808</t>
        </r>
      </text>
    </comment>
    <comment ref="B22" authorId="0" shapeId="0" xr:uid="{0DE05439-A061-4FA6-A48D-6E9AEF02A069}">
      <text>
        <r>
          <rPr>
            <b/>
            <sz val="9"/>
            <color indexed="81"/>
            <rFont val="Tahoma"/>
            <family val="2"/>
          </rPr>
          <t>Asiyeh Nazeri:</t>
        </r>
        <r>
          <rPr>
            <sz val="9"/>
            <color indexed="81"/>
            <rFont val="Tahoma"/>
            <family val="2"/>
          </rPr>
          <t xml:space="preserve">
804
</t>
        </r>
      </text>
    </comment>
    <comment ref="B27" authorId="0" shapeId="0" xr:uid="{159A8956-7632-4876-B919-A3AD97801C79}">
      <text>
        <r>
          <rPr>
            <b/>
            <sz val="9"/>
            <color indexed="81"/>
            <rFont val="Tahoma"/>
            <family val="2"/>
          </rPr>
          <t>Asiyeh Nazeri:</t>
        </r>
        <r>
          <rPr>
            <sz val="9"/>
            <color indexed="81"/>
            <rFont val="Tahoma"/>
            <family val="2"/>
          </rPr>
          <t xml:space="preserve">
801
</t>
        </r>
      </text>
    </comment>
    <comment ref="B30" authorId="0" shapeId="0" xr:uid="{D70BB535-AE70-4ECC-9013-6F7AB069EA95}">
      <text>
        <r>
          <rPr>
            <b/>
            <sz val="9"/>
            <color indexed="81"/>
            <rFont val="Tahoma"/>
            <family val="2"/>
          </rPr>
          <t>Asiyeh Nazeri:</t>
        </r>
        <r>
          <rPr>
            <sz val="9"/>
            <color indexed="81"/>
            <rFont val="Tahoma"/>
            <family val="2"/>
          </rPr>
          <t xml:space="preserve">
807</t>
        </r>
      </text>
    </comment>
    <comment ref="B33" authorId="0" shapeId="0" xr:uid="{45679E82-38B5-429F-A27C-5058549ADD90}">
      <text>
        <r>
          <rPr>
            <b/>
            <sz val="9"/>
            <color indexed="81"/>
            <rFont val="Tahoma"/>
            <family val="2"/>
          </rPr>
          <t xml:space="preserve">Asiyeh Nazeri:800
</t>
        </r>
      </text>
    </comment>
    <comment ref="B37" authorId="0" shapeId="0" xr:uid="{6AB9A1FC-6CA1-4B4A-957E-F65335A2FC0A}">
      <text>
        <r>
          <rPr>
            <b/>
            <sz val="9"/>
            <color indexed="81"/>
            <rFont val="Tahoma"/>
            <family val="2"/>
          </rPr>
          <t>Asiyeh Nazeri:</t>
        </r>
        <r>
          <rPr>
            <sz val="9"/>
            <color indexed="81"/>
            <rFont val="Tahoma"/>
            <family val="2"/>
          </rPr>
          <t xml:space="preserve">
810</t>
        </r>
      </text>
    </comment>
    <comment ref="B58" authorId="0" shapeId="0" xr:uid="{AE857550-7179-443F-91EA-5C19CDF01E46}">
      <text>
        <r>
          <rPr>
            <b/>
            <sz val="9"/>
            <color indexed="81"/>
            <rFont val="Tahoma"/>
            <family val="2"/>
          </rPr>
          <t>Asiyeh Nazeri:</t>
        </r>
        <r>
          <rPr>
            <sz val="9"/>
            <color indexed="81"/>
            <rFont val="Tahoma"/>
            <family val="2"/>
          </rPr>
          <t xml:space="preserve">
811</t>
        </r>
      </text>
    </comment>
    <comment ref="B62" authorId="0" shapeId="0" xr:uid="{CCBF0114-F13E-4473-9524-429BB69A9498}">
      <text>
        <r>
          <rPr>
            <b/>
            <sz val="9"/>
            <color indexed="81"/>
            <rFont val="Tahoma"/>
            <family val="2"/>
          </rPr>
          <t>Asiyeh Nazeri:</t>
        </r>
        <r>
          <rPr>
            <sz val="9"/>
            <color indexed="81"/>
            <rFont val="Tahoma"/>
            <family val="2"/>
          </rPr>
          <t xml:space="preserve">
812
</t>
        </r>
      </text>
    </comment>
    <comment ref="B64" authorId="0" shapeId="0" xr:uid="{EFDA3921-7616-4B40-B572-E508DAC34ABA}">
      <text>
        <r>
          <rPr>
            <b/>
            <sz val="9"/>
            <color indexed="81"/>
            <rFont val="Tahoma"/>
            <family val="2"/>
          </rPr>
          <t>Asiyeh Nazeri:</t>
        </r>
        <r>
          <rPr>
            <sz val="9"/>
            <color indexed="81"/>
            <rFont val="Tahoma"/>
            <family val="2"/>
          </rPr>
          <t xml:space="preserve">
206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H71" authorId="0" shapeId="0" xr:uid="{00000000-0006-0000-1C00-000001000000}">
      <text>
        <r>
          <rPr>
            <b/>
            <sz val="9"/>
            <color indexed="81"/>
            <rFont val="Tahoma"/>
            <family val="2"/>
          </rPr>
          <t>Asiyeh Nazeri:</t>
        </r>
        <r>
          <rPr>
            <sz val="9"/>
            <color indexed="81"/>
            <rFont val="Tahoma"/>
            <family val="2"/>
          </rPr>
          <t xml:space="preserve">
برنامه و تامین عرضه آب کسر گردد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31" authorId="0" shapeId="0" xr:uid="{9C59D703-26BD-468D-8FBA-7184C9AD19A9}">
      <text>
        <r>
          <rPr>
            <b/>
            <sz val="9"/>
            <color indexed="81"/>
            <rFont val="Tahoma"/>
            <family val="2"/>
          </rPr>
          <t>Asiyeh Nazeri:</t>
        </r>
        <r>
          <rPr>
            <sz val="9"/>
            <color indexed="81"/>
            <rFont val="Tahoma"/>
            <family val="2"/>
          </rPr>
          <t xml:space="preserve">
206
</t>
        </r>
      </text>
    </comment>
    <comment ref="C36" authorId="0" shapeId="0" xr:uid="{2911DBEF-BA40-4A89-BEF7-B42B56082CE0}">
      <text>
        <r>
          <rPr>
            <b/>
            <sz val="9"/>
            <color indexed="81"/>
            <rFont val="Tahoma"/>
            <family val="2"/>
          </rPr>
          <t>Asiyeh Nazeri:</t>
        </r>
        <r>
          <rPr>
            <sz val="9"/>
            <color indexed="81"/>
            <rFont val="Tahoma"/>
            <family val="2"/>
          </rPr>
          <t xml:space="preserve">
801
</t>
        </r>
      </text>
    </comment>
    <comment ref="C38" authorId="0" shapeId="0" xr:uid="{6A64B9B5-92ED-4204-A6ED-030532F69638}">
      <text>
        <r>
          <rPr>
            <b/>
            <sz val="9"/>
            <color indexed="81"/>
            <rFont val="Tahoma"/>
            <family val="2"/>
          </rPr>
          <t>Asiyeh Nazeri:</t>
        </r>
        <r>
          <rPr>
            <sz val="9"/>
            <color indexed="81"/>
            <rFont val="Tahoma"/>
            <family val="2"/>
          </rPr>
          <t xml:space="preserve">
803
</t>
        </r>
      </text>
    </comment>
    <comment ref="C42" authorId="0" shapeId="0" xr:uid="{5430F3F9-94B4-4EAE-A537-EB3E458BD51F}">
      <text>
        <r>
          <rPr>
            <b/>
            <sz val="9"/>
            <color indexed="81"/>
            <rFont val="Tahoma"/>
            <family val="2"/>
          </rPr>
          <t>Asiyeh Nazeri:</t>
        </r>
        <r>
          <rPr>
            <sz val="9"/>
            <color indexed="81"/>
            <rFont val="Tahoma"/>
            <family val="2"/>
          </rPr>
          <t xml:space="preserve">
807</t>
        </r>
      </text>
    </comment>
    <comment ref="C43" authorId="0" shapeId="0" xr:uid="{FB6A1220-62C6-43EF-83B0-A7F837320D2E}">
      <text>
        <r>
          <rPr>
            <b/>
            <sz val="9"/>
            <color indexed="81"/>
            <rFont val="Tahoma"/>
            <family val="2"/>
          </rPr>
          <t>Asiyeh Nazeri:</t>
        </r>
        <r>
          <rPr>
            <sz val="9"/>
            <color indexed="81"/>
            <rFont val="Tahoma"/>
            <family val="2"/>
          </rPr>
          <t xml:space="preserve">
808</t>
        </r>
      </text>
    </comment>
    <comment ref="C45" authorId="0" shapeId="0" xr:uid="{0A913773-52AC-4861-8DB7-4C80CB438973}">
      <text>
        <r>
          <rPr>
            <b/>
            <sz val="9"/>
            <color indexed="81"/>
            <rFont val="Tahoma"/>
            <family val="2"/>
          </rPr>
          <t>Asiyeh Nazeri:</t>
        </r>
        <r>
          <rPr>
            <sz val="9"/>
            <color indexed="81"/>
            <rFont val="Tahoma"/>
            <family val="2"/>
          </rPr>
          <t xml:space="preserve">
810</t>
        </r>
      </text>
    </comment>
    <comment ref="J85" authorId="0" shapeId="0" xr:uid="{00000000-0006-0000-1D00-000001000000}">
      <text>
        <r>
          <rPr>
            <b/>
            <sz val="9"/>
            <color indexed="81"/>
            <rFont val="Tahoma"/>
            <family val="2"/>
          </rPr>
          <t>Asiyeh Nazeri:</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B10" authorId="0" shapeId="0" xr:uid="{00000000-0006-0000-1F00-000001000000}">
      <text>
        <r>
          <rPr>
            <b/>
            <sz val="9"/>
            <color indexed="81"/>
            <rFont val="Tahoma"/>
            <family val="2"/>
          </rPr>
          <t xml:space="preserve">Asiyeh Nazeتبصره 6
ساير منابع مي باشد 
</t>
        </r>
      </text>
    </comment>
    <comment ref="Y16" authorId="0" shapeId="0" xr:uid="{F851439F-A601-47F3-B1E5-1ED2E7A04F37}">
      <text>
        <r>
          <rPr>
            <b/>
            <sz val="9"/>
            <color indexed="81"/>
            <rFont val="Tahoma"/>
            <family val="2"/>
          </rPr>
          <t>Asiyeh Nazeri:</t>
        </r>
        <r>
          <rPr>
            <sz val="9"/>
            <color indexed="81"/>
            <rFont val="Tahoma"/>
            <family val="2"/>
          </rPr>
          <t xml:space="preserve">
206
</t>
        </r>
      </text>
    </comment>
    <comment ref="B22" authorId="0" shapeId="0" xr:uid="{B2CA5024-4BF5-4B35-8154-19F805182D27}">
      <text>
        <r>
          <rPr>
            <b/>
            <sz val="9"/>
            <color indexed="81"/>
            <rFont val="Tahoma"/>
            <family val="2"/>
          </rPr>
          <t>Asiyeh Nazeri:</t>
        </r>
        <r>
          <rPr>
            <sz val="9"/>
            <color indexed="81"/>
            <rFont val="Tahoma"/>
            <family val="2"/>
          </rPr>
          <t xml:space="preserve">
807</t>
        </r>
      </text>
    </comment>
    <comment ref="B27" authorId="0" shapeId="0" xr:uid="{00000000-0006-0000-1F00-000002000000}">
      <text>
        <r>
          <rPr>
            <b/>
            <sz val="9"/>
            <color indexed="81"/>
            <rFont val="Tahoma"/>
            <family val="2"/>
          </rPr>
          <t xml:space="preserve">Asiyeh Nazeتبصره 6
ساير منابع مي باشد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B6" authorId="0" shapeId="0" xr:uid="{00000000-0006-0000-2000-000001000000}">
      <text>
        <r>
          <rPr>
            <b/>
            <sz val="9"/>
            <color indexed="81"/>
            <rFont val="Tahoma"/>
            <family val="2"/>
          </rPr>
          <t xml:space="preserve">Asiyeh Nazeتبصره 6
ساير منابع مي باشد 
</t>
        </r>
      </text>
    </comment>
    <comment ref="B13" authorId="0" shapeId="0" xr:uid="{00000000-0006-0000-2000-000002000000}">
      <text>
        <r>
          <rPr>
            <b/>
            <sz val="9"/>
            <color indexed="81"/>
            <rFont val="Tahoma"/>
            <family val="2"/>
          </rPr>
          <t xml:space="preserve">Asiyeh Nazeتبصره 6
ساير منابع مي باشد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N11" authorId="0" shapeId="0" xr:uid="{00000000-0006-0000-2300-000001000000}">
      <text>
        <r>
          <rPr>
            <b/>
            <sz val="9"/>
            <color indexed="81"/>
            <rFont val="Tahoma"/>
            <family val="2"/>
          </rPr>
          <t xml:space="preserve">Asiyeh Nazeri:انتقال بین طرح با دارایی (اصلاح جساب)
</t>
        </r>
      </text>
    </comment>
    <comment ref="N12" authorId="0" shapeId="0" xr:uid="{00000000-0006-0000-2300-000002000000}">
      <text>
        <r>
          <rPr>
            <b/>
            <sz val="9"/>
            <color indexed="81"/>
            <rFont val="Tahoma"/>
            <family val="2"/>
          </rPr>
          <t>Asiyeh Nazeri:</t>
        </r>
        <r>
          <rPr>
            <sz val="9"/>
            <color indexed="81"/>
            <rFont val="Tahoma"/>
            <family val="2"/>
          </rPr>
          <t xml:space="preserve">
با طرح 565 سند 4686</t>
        </r>
      </text>
    </comment>
    <comment ref="N13" authorId="0" shapeId="0" xr:uid="{00000000-0006-0000-2300-000003000000}">
      <text>
        <r>
          <rPr>
            <b/>
            <sz val="9"/>
            <color indexed="81"/>
            <rFont val="Tahoma"/>
            <family val="2"/>
          </rPr>
          <t>Asiyeh Nazeri:</t>
        </r>
        <r>
          <rPr>
            <sz val="9"/>
            <color indexed="81"/>
            <rFont val="Tahoma"/>
            <family val="2"/>
          </rPr>
          <t xml:space="preserve">
35000000
0 تا باطرح 565</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J9" authorId="0" shapeId="0" xr:uid="{00000000-0006-0000-2400-000001000000}">
      <text>
        <r>
          <rPr>
            <b/>
            <sz val="9"/>
            <color indexed="81"/>
            <rFont val="Tahoma"/>
            <family val="2"/>
          </rPr>
          <t>Asiyeh Nazeri:</t>
        </r>
        <r>
          <rPr>
            <sz val="9"/>
            <color indexed="81"/>
            <rFont val="Tahoma"/>
            <family val="2"/>
          </rPr>
          <t xml:space="preserve">
با حفظ قدرت خرید سررسید نشده
</t>
        </r>
      </text>
    </comment>
    <comment ref="T9" authorId="0" shapeId="0" xr:uid="{00000000-0006-0000-2400-000002000000}">
      <text>
        <r>
          <rPr>
            <b/>
            <sz val="9"/>
            <color indexed="81"/>
            <rFont val="Tahoma"/>
            <family val="2"/>
          </rPr>
          <t>Asiyeh Nazeri:</t>
        </r>
        <r>
          <rPr>
            <sz val="9"/>
            <color indexed="81"/>
            <rFont val="Tahoma"/>
            <family val="2"/>
          </rPr>
          <t xml:space="preserve">
سررسید نشده سال 1402
</t>
        </r>
      </text>
    </comment>
    <comment ref="C20" authorId="0" shapeId="0" xr:uid="{45960EA8-442E-424F-ACA7-4AAB7130871B}">
      <text>
        <r>
          <rPr>
            <b/>
            <sz val="9"/>
            <color indexed="81"/>
            <rFont val="Tahoma"/>
            <family val="2"/>
          </rPr>
          <t>Asiyeh Nazeri:</t>
        </r>
        <r>
          <rPr>
            <sz val="9"/>
            <color indexed="81"/>
            <rFont val="Tahoma"/>
            <family val="2"/>
          </rPr>
          <t xml:space="preserve">
2057 کد 11252</t>
        </r>
      </text>
    </comment>
    <comment ref="C22" authorId="0" shapeId="0" xr:uid="{322DD15A-DFC9-4D2F-8DE6-0CBEA346AB91}">
      <text>
        <r>
          <rPr>
            <b/>
            <sz val="9"/>
            <color indexed="81"/>
            <rFont val="Tahoma"/>
            <family val="2"/>
          </rPr>
          <t xml:space="preserve">Asiyeh Nazeri:2056وکد11257
</t>
        </r>
      </text>
    </comment>
    <comment ref="C31" authorId="0" shapeId="0" xr:uid="{E61E0BD8-C5CB-486E-BD80-898C8F676083}">
      <text>
        <r>
          <rPr>
            <b/>
            <sz val="9"/>
            <color indexed="81"/>
            <rFont val="Tahoma"/>
            <family val="2"/>
          </rPr>
          <t>Asiyeh Nazeri:</t>
        </r>
        <r>
          <rPr>
            <sz val="9"/>
            <color indexed="81"/>
            <rFont val="Tahoma"/>
            <family val="2"/>
          </rPr>
          <t xml:space="preserve">
408, ;n 11236
</t>
        </r>
      </text>
    </comment>
    <comment ref="C36" authorId="0" shapeId="0" xr:uid="{8E87D252-6301-410C-BC2C-DF3C58C6A8BA}">
      <text>
        <r>
          <rPr>
            <b/>
            <sz val="9"/>
            <color indexed="81"/>
            <rFont val="Tahoma"/>
            <family val="2"/>
          </rPr>
          <t>Asiyeh Nazeri:</t>
        </r>
        <r>
          <rPr>
            <sz val="9"/>
            <color indexed="81"/>
            <rFont val="Tahoma"/>
            <family val="2"/>
          </rPr>
          <t xml:space="preserve">
325 کد 11034</t>
        </r>
      </text>
    </comment>
    <comment ref="C40" authorId="0" shapeId="0" xr:uid="{00564E40-93FA-4726-8E17-7062ECDA76D1}">
      <text>
        <r>
          <rPr>
            <b/>
            <sz val="9"/>
            <color indexed="81"/>
            <rFont val="Tahoma"/>
            <family val="2"/>
          </rPr>
          <t>Asiyeh Nazeri:</t>
        </r>
        <r>
          <rPr>
            <sz val="9"/>
            <color indexed="81"/>
            <rFont val="Tahoma"/>
            <family val="2"/>
          </rPr>
          <t xml:space="preserve">
ادغامی با کد 11343</t>
        </r>
      </text>
    </comment>
    <comment ref="J54" authorId="0" shapeId="0" xr:uid="{4B6D12EC-217C-42E6-B734-DCF6C39587E1}">
      <text>
        <r>
          <rPr>
            <b/>
            <sz val="9"/>
            <color indexed="81"/>
            <rFont val="Tahoma"/>
            <family val="2"/>
          </rPr>
          <t>Asiyeh Nazeri:</t>
        </r>
        <r>
          <rPr>
            <sz val="9"/>
            <color indexed="81"/>
            <rFont val="Tahoma"/>
            <family val="2"/>
          </rPr>
          <t xml:space="preserve">
با حفظ قدرت خرید سررسید نشده
</t>
        </r>
      </text>
    </comment>
    <comment ref="T54" authorId="0" shapeId="0" xr:uid="{214F68BB-07C4-4696-9E6A-48F0BB573357}">
      <text>
        <r>
          <rPr>
            <b/>
            <sz val="9"/>
            <color indexed="81"/>
            <rFont val="Tahoma"/>
            <family val="2"/>
          </rPr>
          <t>Asiyeh Nazeri:</t>
        </r>
        <r>
          <rPr>
            <sz val="9"/>
            <color indexed="81"/>
            <rFont val="Tahoma"/>
            <family val="2"/>
          </rPr>
          <t xml:space="preserve">
سررسید نشده سال 1402
</t>
        </r>
      </text>
    </comment>
    <comment ref="C63" authorId="0" shapeId="0" xr:uid="{6753F7A2-8F76-430A-AF2B-5E3D01666463}">
      <text>
        <r>
          <rPr>
            <b/>
            <sz val="9"/>
            <color indexed="81"/>
            <rFont val="Tahoma"/>
            <family val="2"/>
          </rPr>
          <t>Asiyeh Nazeri:</t>
        </r>
        <r>
          <rPr>
            <sz val="9"/>
            <color indexed="81"/>
            <rFont val="Tahoma"/>
            <family val="2"/>
          </rPr>
          <t xml:space="preserve">
632 کد 11375
</t>
        </r>
      </text>
    </comment>
    <comment ref="J89" authorId="0" shapeId="0" xr:uid="{610908AF-4E6A-4527-89B2-88492CA34812}">
      <text>
        <r>
          <rPr>
            <b/>
            <sz val="9"/>
            <color indexed="81"/>
            <rFont val="Tahoma"/>
            <family val="2"/>
          </rPr>
          <t>Asiyeh Nazeri:</t>
        </r>
        <r>
          <rPr>
            <sz val="9"/>
            <color indexed="81"/>
            <rFont val="Tahoma"/>
            <family val="2"/>
          </rPr>
          <t xml:space="preserve">
با حفظ قدرت خرید سررسید نشده
</t>
        </r>
      </text>
    </comment>
    <comment ref="T89" authorId="0" shapeId="0" xr:uid="{05342F07-FC42-4D73-BB87-6F59831DFB82}">
      <text>
        <r>
          <rPr>
            <b/>
            <sz val="9"/>
            <color indexed="81"/>
            <rFont val="Tahoma"/>
            <family val="2"/>
          </rPr>
          <t>Asiyeh Nazeri:</t>
        </r>
        <r>
          <rPr>
            <sz val="9"/>
            <color indexed="81"/>
            <rFont val="Tahoma"/>
            <family val="2"/>
          </rPr>
          <t xml:space="preserve">
سررسید نشده سال 1402
</t>
        </r>
      </text>
    </comment>
    <comment ref="H96" authorId="0" shapeId="0" xr:uid="{00000000-0006-0000-2400-000007000000}">
      <text>
        <r>
          <rPr>
            <b/>
            <sz val="9"/>
            <color indexed="81"/>
            <rFont val="Tahoma"/>
            <family val="2"/>
          </rPr>
          <t>Asiyeh Nazeri:</t>
        </r>
        <r>
          <rPr>
            <sz val="9"/>
            <color indexed="81"/>
            <rFont val="Tahoma"/>
            <family val="2"/>
          </rPr>
          <t xml:space="preserve">
عطف 4762 بابت اضافه بردن به حساب سایر هزینه ها و انتقال به ارزش خالص
</t>
        </r>
      </text>
    </comment>
    <comment ref="AA96" authorId="0" shapeId="0" xr:uid="{00000000-0006-0000-2400-000008000000}">
      <text>
        <r>
          <rPr>
            <b/>
            <sz val="9"/>
            <color indexed="81"/>
            <rFont val="Tahoma"/>
            <family val="2"/>
          </rPr>
          <t>Asiyeh Nazeri:</t>
        </r>
      </text>
    </comment>
    <comment ref="J124" authorId="0" shapeId="0" xr:uid="{90BF662D-58D0-4A68-81CD-2E34C6FD20A6}">
      <text>
        <r>
          <rPr>
            <b/>
            <sz val="9"/>
            <color indexed="81"/>
            <rFont val="Tahoma"/>
            <family val="2"/>
          </rPr>
          <t>Asiyeh Nazeri:</t>
        </r>
        <r>
          <rPr>
            <sz val="9"/>
            <color indexed="81"/>
            <rFont val="Tahoma"/>
            <family val="2"/>
          </rPr>
          <t xml:space="preserve">
با حفظ قدرت خرید سررسید نشده
</t>
        </r>
      </text>
    </comment>
    <comment ref="T124" authorId="0" shapeId="0" xr:uid="{2B677B8B-77F3-4C8B-8B6A-BBBDB56199F3}">
      <text>
        <r>
          <rPr>
            <b/>
            <sz val="9"/>
            <color indexed="81"/>
            <rFont val="Tahoma"/>
            <family val="2"/>
          </rPr>
          <t>Asiyeh Nazeri:</t>
        </r>
        <r>
          <rPr>
            <sz val="9"/>
            <color indexed="81"/>
            <rFont val="Tahoma"/>
            <family val="2"/>
          </rPr>
          <t xml:space="preserve">
سررسید نشده سال 1402
</t>
        </r>
      </text>
    </comment>
    <comment ref="J153" authorId="0" shapeId="0" xr:uid="{0E5387BE-9BC0-481D-9338-B03712614543}">
      <text>
        <r>
          <rPr>
            <b/>
            <sz val="9"/>
            <color indexed="81"/>
            <rFont val="Tahoma"/>
            <family val="2"/>
          </rPr>
          <t>Asiyeh Nazeri:</t>
        </r>
        <r>
          <rPr>
            <sz val="9"/>
            <color indexed="81"/>
            <rFont val="Tahoma"/>
            <family val="2"/>
          </rPr>
          <t xml:space="preserve">
با حفظ قدرت خرید سررسید نشده
</t>
        </r>
      </text>
    </comment>
    <comment ref="T153" authorId="0" shapeId="0" xr:uid="{7A28075E-8F6E-4B94-ABDD-1CE6C48583B4}">
      <text>
        <r>
          <rPr>
            <b/>
            <sz val="9"/>
            <color indexed="81"/>
            <rFont val="Tahoma"/>
            <family val="2"/>
          </rPr>
          <t>Asiyeh Nazeri:</t>
        </r>
        <r>
          <rPr>
            <sz val="9"/>
            <color indexed="81"/>
            <rFont val="Tahoma"/>
            <family val="2"/>
          </rPr>
          <t xml:space="preserve">
سررسید نشده سال 1402
</t>
        </r>
      </text>
    </comment>
    <comment ref="C168" authorId="0" shapeId="0" xr:uid="{18C3301F-CC1D-47F0-9491-838CA95CC12C}">
      <text>
        <r>
          <rPr>
            <b/>
            <sz val="9"/>
            <color indexed="81"/>
            <rFont val="Tahoma"/>
            <family val="2"/>
          </rPr>
          <t>Asiyeh Nazeri:</t>
        </r>
        <r>
          <rPr>
            <sz val="9"/>
            <color indexed="81"/>
            <rFont val="Tahoma"/>
            <family val="2"/>
          </rPr>
          <t xml:space="preserve">
2625 کد 11337
</t>
        </r>
      </text>
    </comment>
    <comment ref="J186" authorId="0" shapeId="0" xr:uid="{56843F96-88AC-490C-9EFF-AEDEAA4A4598}">
      <text>
        <r>
          <rPr>
            <b/>
            <sz val="9"/>
            <color indexed="81"/>
            <rFont val="Tahoma"/>
            <family val="2"/>
          </rPr>
          <t>Asiyeh Nazeri:</t>
        </r>
        <r>
          <rPr>
            <sz val="9"/>
            <color indexed="81"/>
            <rFont val="Tahoma"/>
            <family val="2"/>
          </rPr>
          <t xml:space="preserve">
با حفظ قدرت خرید سررسید نشده
</t>
        </r>
      </text>
    </comment>
    <comment ref="T186" authorId="0" shapeId="0" xr:uid="{1116F80C-D0BC-48B9-A8AB-34151C671263}">
      <text>
        <r>
          <rPr>
            <b/>
            <sz val="9"/>
            <color indexed="81"/>
            <rFont val="Tahoma"/>
            <family val="2"/>
          </rPr>
          <t>Asiyeh Nazeri:</t>
        </r>
        <r>
          <rPr>
            <sz val="9"/>
            <color indexed="81"/>
            <rFont val="Tahoma"/>
            <family val="2"/>
          </rPr>
          <t xml:space="preserve">
سررسید نشده سال 1402
</t>
        </r>
      </text>
    </comment>
    <comment ref="J216" authorId="0" shapeId="0" xr:uid="{CD200525-0919-4167-9EB1-1612C7153850}">
      <text>
        <r>
          <rPr>
            <b/>
            <sz val="9"/>
            <color indexed="81"/>
            <rFont val="Tahoma"/>
            <family val="2"/>
          </rPr>
          <t>Asiyeh Nazeri:</t>
        </r>
        <r>
          <rPr>
            <sz val="9"/>
            <color indexed="81"/>
            <rFont val="Tahoma"/>
            <family val="2"/>
          </rPr>
          <t xml:space="preserve">
با حفظ قدرت خرید سررسید نشده
</t>
        </r>
      </text>
    </comment>
    <comment ref="T216" authorId="0" shapeId="0" xr:uid="{D643376F-9CFB-478C-A75E-3966E5200337}">
      <text>
        <r>
          <rPr>
            <b/>
            <sz val="9"/>
            <color indexed="81"/>
            <rFont val="Tahoma"/>
            <family val="2"/>
          </rPr>
          <t>Asiyeh Nazeri:</t>
        </r>
        <r>
          <rPr>
            <sz val="9"/>
            <color indexed="81"/>
            <rFont val="Tahoma"/>
            <family val="2"/>
          </rPr>
          <t xml:space="preserve">
سررسید نشده سال 1402
</t>
        </r>
      </text>
    </comment>
    <comment ref="J245" authorId="0" shapeId="0" xr:uid="{E57BD640-EE3D-4C87-8DE8-01642A86D3BD}">
      <text>
        <r>
          <rPr>
            <b/>
            <sz val="9"/>
            <color indexed="81"/>
            <rFont val="Tahoma"/>
            <family val="2"/>
          </rPr>
          <t>Asiyeh Nazeri:</t>
        </r>
        <r>
          <rPr>
            <sz val="9"/>
            <color indexed="81"/>
            <rFont val="Tahoma"/>
            <family val="2"/>
          </rPr>
          <t xml:space="preserve">
با حفظ قدرت خرید سررسید نشده
</t>
        </r>
      </text>
    </comment>
    <comment ref="T245" authorId="0" shapeId="0" xr:uid="{CE86C63C-BCA1-46DF-98E0-3AA8B09ACF4E}">
      <text>
        <r>
          <rPr>
            <b/>
            <sz val="9"/>
            <color indexed="81"/>
            <rFont val="Tahoma"/>
            <family val="2"/>
          </rPr>
          <t>Asiyeh Nazeri:</t>
        </r>
        <r>
          <rPr>
            <sz val="9"/>
            <color indexed="81"/>
            <rFont val="Tahoma"/>
            <family val="2"/>
          </rPr>
          <t xml:space="preserve">
سررسید نشده سال 1402
</t>
        </r>
      </text>
    </comment>
    <comment ref="J279" authorId="0" shapeId="0" xr:uid="{AA227900-5225-4E82-B064-56008917FA9B}">
      <text>
        <r>
          <rPr>
            <b/>
            <sz val="9"/>
            <color indexed="81"/>
            <rFont val="Tahoma"/>
            <family val="2"/>
          </rPr>
          <t>Asiyeh Nazeri:</t>
        </r>
        <r>
          <rPr>
            <sz val="9"/>
            <color indexed="81"/>
            <rFont val="Tahoma"/>
            <family val="2"/>
          </rPr>
          <t xml:space="preserve">
با حفظ قدرت خرید سررسید نشده
</t>
        </r>
      </text>
    </comment>
    <comment ref="T279" authorId="0" shapeId="0" xr:uid="{FB6796F4-2537-4725-A0E9-4AC46AF5DA88}">
      <text>
        <r>
          <rPr>
            <b/>
            <sz val="9"/>
            <color indexed="81"/>
            <rFont val="Tahoma"/>
            <family val="2"/>
          </rPr>
          <t>Asiyeh Nazeri:</t>
        </r>
        <r>
          <rPr>
            <sz val="9"/>
            <color indexed="81"/>
            <rFont val="Tahoma"/>
            <family val="2"/>
          </rPr>
          <t xml:space="preserve">
سررسید نشده سال 1402
</t>
        </r>
      </text>
    </comment>
    <comment ref="J317" authorId="0" shapeId="0" xr:uid="{0E2E6221-3DE4-4347-A254-7118A01D8D36}">
      <text>
        <r>
          <rPr>
            <b/>
            <sz val="9"/>
            <color indexed="81"/>
            <rFont val="Tahoma"/>
            <family val="2"/>
          </rPr>
          <t>Asiyeh Nazeri:</t>
        </r>
        <r>
          <rPr>
            <sz val="9"/>
            <color indexed="81"/>
            <rFont val="Tahoma"/>
            <family val="2"/>
          </rPr>
          <t xml:space="preserve">
با حفظ قدرت خرید سررسید نشده
</t>
        </r>
      </text>
    </comment>
    <comment ref="T317" authorId="0" shapeId="0" xr:uid="{F2F911EE-047B-4C5E-A3BF-9952C1F1666B}">
      <text>
        <r>
          <rPr>
            <b/>
            <sz val="9"/>
            <color indexed="81"/>
            <rFont val="Tahoma"/>
            <family val="2"/>
          </rPr>
          <t>Asiyeh Nazeri:</t>
        </r>
        <r>
          <rPr>
            <sz val="9"/>
            <color indexed="81"/>
            <rFont val="Tahoma"/>
            <family val="2"/>
          </rPr>
          <t xml:space="preserve">
سررسید نشده سال 1402
</t>
        </r>
      </text>
    </comment>
    <comment ref="J346" authorId="0" shapeId="0" xr:uid="{0B78A0D5-965B-4EF5-9C0F-71BC2376A80A}">
      <text>
        <r>
          <rPr>
            <b/>
            <sz val="9"/>
            <color indexed="81"/>
            <rFont val="Tahoma"/>
            <family val="2"/>
          </rPr>
          <t>Asiyeh Nazeri:</t>
        </r>
        <r>
          <rPr>
            <sz val="9"/>
            <color indexed="81"/>
            <rFont val="Tahoma"/>
            <family val="2"/>
          </rPr>
          <t xml:space="preserve">
با حفظ قدرت خرید سررسید نشده
</t>
        </r>
      </text>
    </comment>
    <comment ref="T346" authorId="0" shapeId="0" xr:uid="{31539A99-077D-4142-87F1-9234FFB66D3F}">
      <text>
        <r>
          <rPr>
            <b/>
            <sz val="9"/>
            <color indexed="81"/>
            <rFont val="Tahoma"/>
            <family val="2"/>
          </rPr>
          <t>Asiyeh Nazeri:</t>
        </r>
        <r>
          <rPr>
            <sz val="9"/>
            <color indexed="81"/>
            <rFont val="Tahoma"/>
            <family val="2"/>
          </rPr>
          <t xml:space="preserve">
سررسید نشده سال 1402
</t>
        </r>
      </text>
    </comment>
    <comment ref="J374" authorId="0" shapeId="0" xr:uid="{9DE950A3-7602-4D85-8774-4650B659AFB5}">
      <text>
        <r>
          <rPr>
            <b/>
            <sz val="9"/>
            <color indexed="81"/>
            <rFont val="Tahoma"/>
            <family val="2"/>
          </rPr>
          <t>Asiyeh Nazeri:</t>
        </r>
        <r>
          <rPr>
            <sz val="9"/>
            <color indexed="81"/>
            <rFont val="Tahoma"/>
            <family val="2"/>
          </rPr>
          <t xml:space="preserve">
با حفظ قدرت خرید سررسید نشده
</t>
        </r>
      </text>
    </comment>
    <comment ref="T374" authorId="0" shapeId="0" xr:uid="{E1DAF97E-1D6B-45B7-8FCF-9BA20365EE5F}">
      <text>
        <r>
          <rPr>
            <b/>
            <sz val="9"/>
            <color indexed="81"/>
            <rFont val="Tahoma"/>
            <family val="2"/>
          </rPr>
          <t>Asiyeh Nazeri:</t>
        </r>
        <r>
          <rPr>
            <sz val="9"/>
            <color indexed="81"/>
            <rFont val="Tahoma"/>
            <family val="2"/>
          </rPr>
          <t xml:space="preserve">
سررسید نشده سال 1402
</t>
        </r>
      </text>
    </comment>
    <comment ref="J402" authorId="0" shapeId="0" xr:uid="{1AF9601E-8010-4C8D-AB1C-EBDD0E5DF251}">
      <text>
        <r>
          <rPr>
            <b/>
            <sz val="9"/>
            <color indexed="81"/>
            <rFont val="Tahoma"/>
            <family val="2"/>
          </rPr>
          <t>Asiyeh Nazeri:</t>
        </r>
        <r>
          <rPr>
            <sz val="9"/>
            <color indexed="81"/>
            <rFont val="Tahoma"/>
            <family val="2"/>
          </rPr>
          <t xml:space="preserve">
با حفظ قدرت خرید سررسید نشده
</t>
        </r>
      </text>
    </comment>
    <comment ref="T402" authorId="0" shapeId="0" xr:uid="{F2971F23-B0CC-4582-8D01-23DD1A67BACA}">
      <text>
        <r>
          <rPr>
            <b/>
            <sz val="9"/>
            <color indexed="81"/>
            <rFont val="Tahoma"/>
            <family val="2"/>
          </rPr>
          <t>Asiyeh Nazeri:</t>
        </r>
        <r>
          <rPr>
            <sz val="9"/>
            <color indexed="81"/>
            <rFont val="Tahoma"/>
            <family val="2"/>
          </rPr>
          <t xml:space="preserve">
سررسید نشده سال 1402
</t>
        </r>
      </text>
    </comment>
    <comment ref="J431" authorId="0" shapeId="0" xr:uid="{7475C8A4-EBBE-44CC-95AA-6FB569756113}">
      <text>
        <r>
          <rPr>
            <b/>
            <sz val="9"/>
            <color indexed="81"/>
            <rFont val="Tahoma"/>
            <family val="2"/>
          </rPr>
          <t>Asiyeh Nazeri:</t>
        </r>
        <r>
          <rPr>
            <sz val="9"/>
            <color indexed="81"/>
            <rFont val="Tahoma"/>
            <family val="2"/>
          </rPr>
          <t xml:space="preserve">
با حفظ قدرت خرید سررسید نشده
</t>
        </r>
      </text>
    </comment>
    <comment ref="T431" authorId="0" shapeId="0" xr:uid="{A645BAEA-4E57-4233-8768-80D5AEBE0282}">
      <text>
        <r>
          <rPr>
            <b/>
            <sz val="9"/>
            <color indexed="81"/>
            <rFont val="Tahoma"/>
            <family val="2"/>
          </rPr>
          <t>Asiyeh Nazeri:</t>
        </r>
        <r>
          <rPr>
            <sz val="9"/>
            <color indexed="81"/>
            <rFont val="Tahoma"/>
            <family val="2"/>
          </rPr>
          <t xml:space="preserve">
سررسید نشده سال 1402
</t>
        </r>
      </text>
    </comment>
    <comment ref="J461" authorId="0" shapeId="0" xr:uid="{31BFEBCE-0410-4E46-A3C4-94B4CAE533BE}">
      <text>
        <r>
          <rPr>
            <b/>
            <sz val="9"/>
            <color indexed="81"/>
            <rFont val="Tahoma"/>
            <family val="2"/>
          </rPr>
          <t>Asiyeh Nazeri:</t>
        </r>
        <r>
          <rPr>
            <sz val="9"/>
            <color indexed="81"/>
            <rFont val="Tahoma"/>
            <family val="2"/>
          </rPr>
          <t xml:space="preserve">
با حفظ قدرت خرید سررسید نشده
</t>
        </r>
      </text>
    </comment>
    <comment ref="T461" authorId="0" shapeId="0" xr:uid="{8C89B684-369D-4CF5-B3E5-7EAEC9795DFE}">
      <text>
        <r>
          <rPr>
            <b/>
            <sz val="9"/>
            <color indexed="81"/>
            <rFont val="Tahoma"/>
            <family val="2"/>
          </rPr>
          <t>Asiyeh Nazeri:</t>
        </r>
        <r>
          <rPr>
            <sz val="9"/>
            <color indexed="81"/>
            <rFont val="Tahoma"/>
            <family val="2"/>
          </rPr>
          <t xml:space="preserve">
سررسید نشده سال 1402
</t>
        </r>
      </text>
    </comment>
    <comment ref="C476" authorId="0" shapeId="0" xr:uid="{28EF260D-F4B4-43F0-8058-A3305BFB2AE0}">
      <text>
        <r>
          <rPr>
            <b/>
            <sz val="9"/>
            <color indexed="81"/>
            <rFont val="Tahoma"/>
            <family val="2"/>
          </rPr>
          <t>Asiyeh Nazeri:</t>
        </r>
        <r>
          <rPr>
            <sz val="9"/>
            <color indexed="81"/>
            <rFont val="Tahoma"/>
            <family val="2"/>
          </rPr>
          <t xml:space="preserve">
206
</t>
        </r>
      </text>
    </comment>
    <comment ref="C481" authorId="0" shapeId="0" xr:uid="{DF6B35BA-80E1-44B1-847C-39C79CD2DF20}">
      <text>
        <r>
          <rPr>
            <b/>
            <sz val="9"/>
            <color indexed="81"/>
            <rFont val="Tahoma"/>
            <family val="2"/>
          </rPr>
          <t>Asiyeh Nazeri:</t>
        </r>
        <r>
          <rPr>
            <sz val="9"/>
            <color indexed="81"/>
            <rFont val="Tahoma"/>
            <family val="2"/>
          </rPr>
          <t xml:space="preserve">
801
</t>
        </r>
      </text>
    </comment>
    <comment ref="J491" authorId="0" shapeId="0" xr:uid="{10388DB6-69BE-40A6-A37C-46C9B8F4F902}">
      <text>
        <r>
          <rPr>
            <b/>
            <sz val="9"/>
            <color indexed="81"/>
            <rFont val="Tahoma"/>
            <family val="2"/>
          </rPr>
          <t>Asiyeh Nazeri:</t>
        </r>
        <r>
          <rPr>
            <sz val="9"/>
            <color indexed="81"/>
            <rFont val="Tahoma"/>
            <family val="2"/>
          </rPr>
          <t xml:space="preserve">
با حفظ قدرت خرید سررسید نشده
</t>
        </r>
      </text>
    </comment>
    <comment ref="T491" authorId="0" shapeId="0" xr:uid="{573C124B-AD80-4D00-B413-B2E6BBAF260E}">
      <text>
        <r>
          <rPr>
            <b/>
            <sz val="9"/>
            <color indexed="81"/>
            <rFont val="Tahoma"/>
            <family val="2"/>
          </rPr>
          <t>Asiyeh Nazeri:</t>
        </r>
        <r>
          <rPr>
            <sz val="9"/>
            <color indexed="81"/>
            <rFont val="Tahoma"/>
            <family val="2"/>
          </rPr>
          <t xml:space="preserve">
سررسید نشده سال 1402
</t>
        </r>
      </text>
    </comment>
    <comment ref="C496" authorId="0" shapeId="0" xr:uid="{6A7BADDB-BD3D-475E-BACD-5AA98B1F5999}">
      <text>
        <r>
          <rPr>
            <b/>
            <sz val="9"/>
            <color indexed="81"/>
            <rFont val="Tahoma"/>
            <family val="2"/>
          </rPr>
          <t>Asiyeh Nazeri:</t>
        </r>
        <r>
          <rPr>
            <sz val="9"/>
            <color indexed="81"/>
            <rFont val="Tahoma"/>
            <family val="2"/>
          </rPr>
          <t xml:space="preserve">
803
</t>
        </r>
      </text>
    </comment>
    <comment ref="C500" authorId="0" shapeId="0" xr:uid="{04C9B069-2DFB-41CE-9699-641EA9DEE8FF}">
      <text>
        <r>
          <rPr>
            <b/>
            <sz val="9"/>
            <color indexed="81"/>
            <rFont val="Tahoma"/>
            <family val="2"/>
          </rPr>
          <t>Asiyeh Nazeri:</t>
        </r>
        <r>
          <rPr>
            <sz val="9"/>
            <color indexed="81"/>
            <rFont val="Tahoma"/>
            <family val="2"/>
          </rPr>
          <t xml:space="preserve">
807</t>
        </r>
      </text>
    </comment>
    <comment ref="C501" authorId="0" shapeId="0" xr:uid="{C38EBBA9-73C9-47C4-A87E-7FDD036DB76B}">
      <text>
        <r>
          <rPr>
            <b/>
            <sz val="9"/>
            <color indexed="81"/>
            <rFont val="Tahoma"/>
            <family val="2"/>
          </rPr>
          <t>Asiyeh Nazeri:</t>
        </r>
        <r>
          <rPr>
            <sz val="9"/>
            <color indexed="81"/>
            <rFont val="Tahoma"/>
            <family val="2"/>
          </rPr>
          <t xml:space="preserve">
808</t>
        </r>
      </text>
    </comment>
    <comment ref="C503" authorId="0" shapeId="0" xr:uid="{41B72F68-109C-49E5-87AD-A1112A8DF937}">
      <text>
        <r>
          <rPr>
            <b/>
            <sz val="9"/>
            <color indexed="81"/>
            <rFont val="Tahoma"/>
            <family val="2"/>
          </rPr>
          <t>Asiyeh Nazeri:</t>
        </r>
        <r>
          <rPr>
            <sz val="9"/>
            <color indexed="81"/>
            <rFont val="Tahoma"/>
            <family val="2"/>
          </rPr>
          <t xml:space="preserve">
810</t>
        </r>
      </text>
    </comment>
    <comment ref="J538" authorId="0" shapeId="0" xr:uid="{CF67FFD9-9773-40A5-99FD-21C36A9D1BD9}">
      <text>
        <r>
          <rPr>
            <b/>
            <sz val="9"/>
            <color indexed="81"/>
            <rFont val="Tahoma"/>
            <family val="2"/>
          </rPr>
          <t>Asiyeh Nazeri:</t>
        </r>
        <r>
          <rPr>
            <sz val="9"/>
            <color indexed="81"/>
            <rFont val="Tahoma"/>
            <family val="2"/>
          </rPr>
          <t xml:space="preserve">
با حفظ قدرت خرید سررسید نشده
</t>
        </r>
      </text>
    </comment>
    <comment ref="T538" authorId="0" shapeId="0" xr:uid="{6830097C-478E-4A6C-985F-3C2063B3D877}">
      <text>
        <r>
          <rPr>
            <b/>
            <sz val="9"/>
            <color indexed="81"/>
            <rFont val="Tahoma"/>
            <family val="2"/>
          </rPr>
          <t>Asiyeh Nazeri:</t>
        </r>
        <r>
          <rPr>
            <sz val="9"/>
            <color indexed="81"/>
            <rFont val="Tahoma"/>
            <family val="2"/>
          </rPr>
          <t xml:space="preserve">
سررسید نشده سال 1402
</t>
        </r>
      </text>
    </comment>
    <comment ref="C561" authorId="0" shapeId="0" xr:uid="{F775738E-43C9-45C2-B4DE-4BD524CE918E}">
      <text>
        <r>
          <rPr>
            <b/>
            <sz val="9"/>
            <color indexed="81"/>
            <rFont val="Tahoma"/>
            <family val="2"/>
          </rPr>
          <t>Asiyeh Nazeri:</t>
        </r>
        <r>
          <rPr>
            <sz val="9"/>
            <color indexed="81"/>
            <rFont val="Tahoma"/>
            <family val="2"/>
          </rPr>
          <t xml:space="preserve">
807</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Asiyeh Nazeri</author>
    <author>Omoomi2</author>
  </authors>
  <commentList>
    <comment ref="C108" authorId="0" shapeId="0" xr:uid="{B3B3AB14-7761-40F9-8C0C-9ED5D48B4319}">
      <text>
        <r>
          <rPr>
            <b/>
            <sz val="9"/>
            <color indexed="81"/>
            <rFont val="Tahoma"/>
            <family val="2"/>
          </rPr>
          <t>Asiyeh Nazeri:</t>
        </r>
        <r>
          <rPr>
            <sz val="9"/>
            <color indexed="81"/>
            <rFont val="Tahoma"/>
            <family val="2"/>
          </rPr>
          <t xml:space="preserve">
206
</t>
        </r>
      </text>
    </comment>
    <comment ref="C124" authorId="0" shapeId="0" xr:uid="{3D7A7CD3-A641-477D-96A1-8A7BE9E78D72}">
      <text>
        <r>
          <rPr>
            <b/>
            <sz val="9"/>
            <color indexed="81"/>
            <rFont val="Tahoma"/>
            <family val="2"/>
          </rPr>
          <t>Asiyeh Nazeri:</t>
        </r>
        <r>
          <rPr>
            <sz val="9"/>
            <color indexed="81"/>
            <rFont val="Tahoma"/>
            <family val="2"/>
          </rPr>
          <t xml:space="preserve">
801
</t>
        </r>
      </text>
    </comment>
    <comment ref="C126" authorId="0" shapeId="0" xr:uid="{4F0E8AF8-9CAF-4783-B1D1-625842C583A6}">
      <text>
        <r>
          <rPr>
            <b/>
            <sz val="9"/>
            <color indexed="81"/>
            <rFont val="Tahoma"/>
            <family val="2"/>
          </rPr>
          <t>Asiyeh Nazeri:</t>
        </r>
        <r>
          <rPr>
            <sz val="9"/>
            <color indexed="81"/>
            <rFont val="Tahoma"/>
            <family val="2"/>
          </rPr>
          <t xml:space="preserve">
803
</t>
        </r>
      </text>
    </comment>
    <comment ref="C130" authorId="0" shapeId="0" xr:uid="{59BA6697-DB00-44EA-8A44-CC7A5215EC9B}">
      <text>
        <r>
          <rPr>
            <b/>
            <sz val="9"/>
            <color indexed="81"/>
            <rFont val="Tahoma"/>
            <family val="2"/>
          </rPr>
          <t>Asiyeh Nazeri:</t>
        </r>
        <r>
          <rPr>
            <sz val="9"/>
            <color indexed="81"/>
            <rFont val="Tahoma"/>
            <family val="2"/>
          </rPr>
          <t xml:space="preserve">
807</t>
        </r>
      </text>
    </comment>
    <comment ref="C131" authorId="0" shapeId="0" xr:uid="{DAC99CAE-1878-49F6-AC21-8CFC4A6124CA}">
      <text>
        <r>
          <rPr>
            <b/>
            <sz val="9"/>
            <color indexed="81"/>
            <rFont val="Tahoma"/>
            <family val="2"/>
          </rPr>
          <t>Asiyeh Nazeri:</t>
        </r>
        <r>
          <rPr>
            <sz val="9"/>
            <color indexed="81"/>
            <rFont val="Tahoma"/>
            <family val="2"/>
          </rPr>
          <t xml:space="preserve">
808</t>
        </r>
      </text>
    </comment>
    <comment ref="C133" authorId="0" shapeId="0" xr:uid="{0639C0F2-C2DE-4C99-8AD0-A634D6F9CFCE}">
      <text>
        <r>
          <rPr>
            <b/>
            <sz val="9"/>
            <color indexed="81"/>
            <rFont val="Tahoma"/>
            <family val="2"/>
          </rPr>
          <t>Asiyeh Nazeri:</t>
        </r>
        <r>
          <rPr>
            <sz val="9"/>
            <color indexed="81"/>
            <rFont val="Tahoma"/>
            <family val="2"/>
          </rPr>
          <t xml:space="preserve">
810</t>
        </r>
      </text>
    </comment>
    <comment ref="AI166" authorId="0" shapeId="0" xr:uid="{00000000-0006-0000-2C00-000001000000}">
      <text>
        <r>
          <rPr>
            <b/>
            <sz val="9"/>
            <color indexed="81"/>
            <rFont val="Tahoma"/>
            <family val="2"/>
          </rPr>
          <t>Asiyeh Nazeri:</t>
        </r>
        <r>
          <rPr>
            <sz val="9"/>
            <color indexed="81"/>
            <rFont val="Tahoma"/>
            <family val="2"/>
          </rPr>
          <t xml:space="preserve">
</t>
        </r>
      </text>
    </comment>
    <comment ref="AN182" authorId="1" shapeId="0" xr:uid="{00000000-0006-0000-2C00-000002000000}">
      <text>
        <r>
          <rPr>
            <b/>
            <sz val="9"/>
            <color indexed="81"/>
            <rFont val="Tahoma"/>
            <family val="2"/>
          </rPr>
          <t>Omoomi2:</t>
        </r>
        <r>
          <rPr>
            <sz val="9"/>
            <color indexed="81"/>
            <rFont val="Tahoma"/>
            <family val="2"/>
          </rPr>
          <t xml:space="preserve">
</t>
        </r>
      </text>
    </comment>
    <comment ref="C190" authorId="0" shapeId="0" xr:uid="{FC3F2A1E-262A-49B1-A972-A3FE1A3E011D}">
      <text>
        <r>
          <rPr>
            <b/>
            <sz val="9"/>
            <color indexed="81"/>
            <rFont val="Tahoma"/>
            <family val="2"/>
          </rPr>
          <t>Asiyeh Nazeri:</t>
        </r>
        <r>
          <rPr>
            <sz val="9"/>
            <color indexed="81"/>
            <rFont val="Tahoma"/>
            <family val="2"/>
          </rPr>
          <t xml:space="preserve">
807</t>
        </r>
      </text>
    </comment>
    <comment ref="AK194" authorId="0" shapeId="0" xr:uid="{2332D775-5830-4E47-AB8E-E172C12004B4}">
      <text>
        <r>
          <rPr>
            <b/>
            <sz val="9"/>
            <color indexed="81"/>
            <rFont val="Tahoma"/>
            <family val="2"/>
          </rPr>
          <t>Asiyeh Nazeri:</t>
        </r>
        <r>
          <rPr>
            <sz val="9"/>
            <color indexed="81"/>
            <rFont val="Tahoma"/>
            <family val="2"/>
          </rPr>
          <t xml:space="preserve">
با اعتبال مصوب در یادداشت 1-4-1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O17" authorId="0" shapeId="0" xr:uid="{00000000-0006-0000-2A00-000001000000}">
      <text>
        <r>
          <rPr>
            <b/>
            <sz val="9"/>
            <color indexed="81"/>
            <rFont val="Tahoma"/>
            <family val="2"/>
          </rPr>
          <t>Asiyeh Nazeri:5000 برگشت به مالی</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9" authorId="0" shapeId="0" xr:uid="{00000000-0006-0000-2B00-000001000000}">
      <text>
        <r>
          <rPr>
            <b/>
            <sz val="9"/>
            <color indexed="81"/>
            <rFont val="Tahoma"/>
            <family val="2"/>
          </rPr>
          <t>Asiyeh Nazeri:</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41" authorId="0" shapeId="0" xr:uid="{5967DFAD-C217-4275-B967-5D1D6EC49D07}">
      <text>
        <r>
          <rPr>
            <b/>
            <sz val="9"/>
            <color indexed="81"/>
            <rFont val="Tahoma"/>
            <family val="2"/>
          </rPr>
          <t>Asiyeh Nazeri:</t>
        </r>
        <r>
          <rPr>
            <sz val="9"/>
            <color indexed="81"/>
            <rFont val="Tahoma"/>
            <family val="2"/>
          </rPr>
          <t xml:space="preserve">
808</t>
        </r>
      </text>
    </comment>
    <comment ref="C44" authorId="0" shapeId="0" xr:uid="{059B74AD-3D9C-4BDB-BD6E-4FC5765192A3}">
      <text>
        <r>
          <rPr>
            <b/>
            <sz val="9"/>
            <color indexed="81"/>
            <rFont val="Tahoma"/>
            <family val="2"/>
          </rPr>
          <t>Asiyeh Nazeri:</t>
        </r>
        <r>
          <rPr>
            <sz val="9"/>
            <color indexed="81"/>
            <rFont val="Tahoma"/>
            <family val="2"/>
          </rPr>
          <t xml:space="preserve">
100
</t>
        </r>
      </text>
    </comment>
    <comment ref="C45" authorId="0" shapeId="0" xr:uid="{A9839A7E-0394-48E3-A030-B71290577082}">
      <text>
        <r>
          <rPr>
            <b/>
            <sz val="9"/>
            <color indexed="81"/>
            <rFont val="Tahoma"/>
            <family val="2"/>
          </rPr>
          <t xml:space="preserve">Asiyeh Nazeri:800
</t>
        </r>
      </text>
    </comment>
    <comment ref="C46" authorId="0" shapeId="0" xr:uid="{132BFD65-0718-4A32-9DD5-6783972C786A}">
      <text>
        <r>
          <rPr>
            <b/>
            <sz val="9"/>
            <color indexed="81"/>
            <rFont val="Tahoma"/>
            <family val="2"/>
          </rPr>
          <t>Asiyeh Nazeri:</t>
        </r>
        <r>
          <rPr>
            <sz val="9"/>
            <color indexed="81"/>
            <rFont val="Tahoma"/>
            <family val="2"/>
          </rPr>
          <t xml:space="preserve">
801
</t>
        </r>
      </text>
    </comment>
    <comment ref="C48" authorId="0" shapeId="0" xr:uid="{C60C473A-BE09-4A36-BEF8-0F521CD8EA38}">
      <text>
        <r>
          <rPr>
            <b/>
            <sz val="9"/>
            <color indexed="81"/>
            <rFont val="Tahoma"/>
            <family val="2"/>
          </rPr>
          <t>Asiyeh Nazeri:</t>
        </r>
        <r>
          <rPr>
            <sz val="9"/>
            <color indexed="81"/>
            <rFont val="Tahoma"/>
            <family val="2"/>
          </rPr>
          <t xml:space="preserve">
803
</t>
        </r>
      </text>
    </comment>
    <comment ref="C49" authorId="0" shapeId="0" xr:uid="{0D595130-ABB0-475B-ACD3-5F6E6A9ACD34}">
      <text>
        <r>
          <rPr>
            <b/>
            <sz val="9"/>
            <color indexed="81"/>
            <rFont val="Tahoma"/>
            <family val="2"/>
          </rPr>
          <t>Asiyeh Nazeri:</t>
        </r>
        <r>
          <rPr>
            <sz val="9"/>
            <color indexed="81"/>
            <rFont val="Tahoma"/>
            <family val="2"/>
          </rPr>
          <t xml:space="preserve">
804
</t>
        </r>
      </text>
    </comment>
    <comment ref="C53" authorId="0" shapeId="0" xr:uid="{1A80FE9C-D5B3-4CCC-AEC7-FBC89FEEFC4F}">
      <text>
        <r>
          <rPr>
            <b/>
            <sz val="9"/>
            <color indexed="81"/>
            <rFont val="Tahoma"/>
            <family val="2"/>
          </rPr>
          <t>Asiyeh Nazeri:</t>
        </r>
        <r>
          <rPr>
            <sz val="9"/>
            <color indexed="81"/>
            <rFont val="Tahoma"/>
            <family val="2"/>
          </rPr>
          <t xml:space="preserve">
810</t>
        </r>
      </text>
    </comment>
    <comment ref="C56" authorId="0" shapeId="0" xr:uid="{1468C3D6-F736-41C1-AD74-ABA17AF05D40}">
      <text>
        <r>
          <rPr>
            <b/>
            <sz val="9"/>
            <color indexed="81"/>
            <rFont val="Tahoma"/>
            <family val="2"/>
          </rPr>
          <t>Asiyeh Nazeri:</t>
        </r>
        <r>
          <rPr>
            <sz val="9"/>
            <color indexed="81"/>
            <rFont val="Tahoma"/>
            <family val="2"/>
          </rPr>
          <t xml:space="preserve">
811</t>
        </r>
      </text>
    </comment>
    <comment ref="C67" authorId="0" shapeId="0" xr:uid="{D78B67DC-2C1D-4101-833F-9ACEC355C73F}">
      <text>
        <r>
          <rPr>
            <b/>
            <sz val="9"/>
            <color indexed="81"/>
            <rFont val="Tahoma"/>
            <family val="2"/>
          </rPr>
          <t>Asiyeh Nazeri:</t>
        </r>
        <r>
          <rPr>
            <sz val="9"/>
            <color indexed="81"/>
            <rFont val="Tahoma"/>
            <family val="2"/>
          </rPr>
          <t xml:space="preserve">
808</t>
        </r>
      </text>
    </comment>
    <comment ref="C78" authorId="0" shapeId="0" xr:uid="{F1847DC8-6194-40C3-8239-C30403DDBF4A}">
      <text>
        <r>
          <rPr>
            <b/>
            <sz val="9"/>
            <color indexed="81"/>
            <rFont val="Tahoma"/>
            <family val="2"/>
          </rPr>
          <t>Asiyeh Nazeri:</t>
        </r>
        <r>
          <rPr>
            <sz val="9"/>
            <color indexed="81"/>
            <rFont val="Tahoma"/>
            <family val="2"/>
          </rPr>
          <t xml:space="preserve">
803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H7" authorId="0" shapeId="0" xr:uid="{00000000-0006-0000-0E00-000001000000}">
      <text>
        <r>
          <rPr>
            <b/>
            <sz val="9"/>
            <color indexed="81"/>
            <rFont val="Tahoma"/>
            <family val="2"/>
          </rPr>
          <t>Asiyeh Nazeri:</t>
        </r>
        <r>
          <rPr>
            <sz val="9"/>
            <color indexed="81"/>
            <rFont val="Tahoma"/>
            <family val="2"/>
          </rPr>
          <t xml:space="preserve">
مانده متمم و جاري
</t>
        </r>
      </text>
    </comment>
    <comment ref="O9" authorId="0" shapeId="0" xr:uid="{B821BEEC-F96D-45A1-8A7C-A5D2644C919E}">
      <text>
        <r>
          <rPr>
            <b/>
            <sz val="9"/>
            <color indexed="81"/>
            <rFont val="Tahoma"/>
            <family val="2"/>
          </rPr>
          <t>Asiyeh Nazeri:</t>
        </r>
        <r>
          <rPr>
            <sz val="9"/>
            <color indexed="81"/>
            <rFont val="Tahoma"/>
            <family val="2"/>
          </rPr>
          <t xml:space="preserve">
بابت صورت وضعیت منفی عطف 719و1473</t>
        </r>
      </text>
    </comment>
    <comment ref="O10" authorId="0" shapeId="0" xr:uid="{6F0C3CED-1B96-4D6C-9F3B-1FA8A6896051}">
      <text>
        <r>
          <rPr>
            <b/>
            <sz val="9"/>
            <color indexed="81"/>
            <rFont val="Tahoma"/>
            <family val="2"/>
          </rPr>
          <t>Asiyeh Nazeri:</t>
        </r>
        <r>
          <rPr>
            <sz val="9"/>
            <color indexed="81"/>
            <rFont val="Tahoma"/>
            <family val="2"/>
          </rPr>
          <t xml:space="preserve">
913
</t>
        </r>
      </text>
    </comment>
    <comment ref="P10" authorId="0" shapeId="0" xr:uid="{66E6B060-A06D-4BCB-8192-33ED00725731}">
      <text>
        <r>
          <rPr>
            <b/>
            <sz val="9"/>
            <color indexed="81"/>
            <rFont val="Tahoma"/>
            <family val="2"/>
          </rPr>
          <t>Asiyeh Nazeri:</t>
        </r>
        <r>
          <rPr>
            <sz val="9"/>
            <color indexed="81"/>
            <rFont val="Tahoma"/>
            <family val="2"/>
          </rPr>
          <t xml:space="preserve">
1045
تسویه پیش پرداخت</t>
        </r>
      </text>
    </comment>
    <comment ref="O27" authorId="0" shapeId="0" xr:uid="{BB57B6C7-7C1F-49E8-BF9E-BAB41EEAEFF1}">
      <text>
        <r>
          <rPr>
            <b/>
            <sz val="9"/>
            <color indexed="81"/>
            <rFont val="Tahoma"/>
            <family val="2"/>
          </rPr>
          <t>Asiyeh Nazeri:</t>
        </r>
        <r>
          <rPr>
            <sz val="9"/>
            <color indexed="81"/>
            <rFont val="Tahoma"/>
            <family val="2"/>
          </rPr>
          <t xml:space="preserve">
1205 مبلغ 21779308701 از محل مطالبات مابقی در پیش پرداخت لحاظ گردید</t>
        </r>
      </text>
    </comment>
    <comment ref="P27" authorId="0" shapeId="0" xr:uid="{85B44548-7CF1-4232-BED7-4F74EFE560C0}">
      <text>
        <r>
          <rPr>
            <b/>
            <sz val="9"/>
            <color indexed="81"/>
            <rFont val="Tahoma"/>
            <family val="2"/>
          </rPr>
          <t>Asiyeh Nazeri:</t>
        </r>
        <r>
          <rPr>
            <sz val="9"/>
            <color indexed="81"/>
            <rFont val="Tahoma"/>
            <family val="2"/>
          </rPr>
          <t xml:space="preserve">
715
تسویه پیش پرداخت</t>
        </r>
      </text>
    </comment>
    <comment ref="H40" authorId="0" shapeId="0" xr:uid="{17F57844-2B15-41CF-A925-3ACD58B3C956}">
      <text>
        <r>
          <rPr>
            <b/>
            <sz val="9"/>
            <color indexed="81"/>
            <rFont val="Tahoma"/>
            <family val="2"/>
          </rPr>
          <t>Asiyeh Nazeri:</t>
        </r>
        <r>
          <rPr>
            <sz val="9"/>
            <color indexed="81"/>
            <rFont val="Tahoma"/>
            <family val="2"/>
          </rPr>
          <t xml:space="preserve">
مانده متمم و جاري
</t>
        </r>
      </text>
    </comment>
    <comment ref="O61" authorId="0" shapeId="0" xr:uid="{A4EA2C8C-A375-41E7-8EC2-8307C8E37A34}">
      <text>
        <r>
          <rPr>
            <b/>
            <sz val="9"/>
            <color indexed="81"/>
            <rFont val="Tahoma"/>
            <family val="2"/>
          </rPr>
          <t>Asiyeh Nazeri:</t>
        </r>
        <r>
          <rPr>
            <sz val="9"/>
            <color indexed="81"/>
            <rFont val="Tahoma"/>
            <family val="2"/>
          </rPr>
          <t xml:space="preserve">
926و3438و920
</t>
        </r>
      </text>
    </comment>
    <comment ref="P61" authorId="0" shapeId="0" xr:uid="{27ECC668-3BB3-4590-837B-B2E0D4BAC534}">
      <text>
        <r>
          <rPr>
            <b/>
            <sz val="9"/>
            <color indexed="81"/>
            <rFont val="Tahoma"/>
            <family val="2"/>
          </rPr>
          <t>Asiyeh Nazeri:</t>
        </r>
        <r>
          <rPr>
            <sz val="9"/>
            <color indexed="81"/>
            <rFont val="Tahoma"/>
            <family val="2"/>
          </rPr>
          <t xml:space="preserve">
و668و3464و244
تسویه پیش پرداخت</t>
        </r>
      </text>
    </comment>
    <comment ref="C63" authorId="0" shapeId="0" xr:uid="{CF7A5374-EA9F-4B64-8C87-029D21FA7D22}">
      <text>
        <r>
          <rPr>
            <b/>
            <sz val="9"/>
            <color indexed="81"/>
            <rFont val="Tahoma"/>
            <family val="2"/>
          </rPr>
          <t>Asiyeh Nazeri:</t>
        </r>
        <r>
          <rPr>
            <sz val="9"/>
            <color indexed="81"/>
            <rFont val="Tahoma"/>
            <family val="2"/>
          </rPr>
          <t xml:space="preserve">
100
</t>
        </r>
      </text>
    </comment>
    <comment ref="P63" authorId="0" shapeId="0" xr:uid="{B3996B98-7550-4DA9-B6FF-711C081354F5}">
      <text>
        <r>
          <rPr>
            <b/>
            <sz val="9"/>
            <color indexed="81"/>
            <rFont val="Tahoma"/>
            <family val="2"/>
          </rPr>
          <t>Asiyeh Nazeri:</t>
        </r>
        <r>
          <rPr>
            <sz val="9"/>
            <color indexed="81"/>
            <rFont val="Tahoma"/>
            <family val="2"/>
          </rPr>
          <t xml:space="preserve">
1576و1763
تسویه پیش پرداخت</t>
        </r>
      </text>
    </comment>
    <comment ref="C66" authorId="0" shapeId="0" xr:uid="{543EF0AC-761C-44C9-A328-24621557C538}">
      <text>
        <r>
          <rPr>
            <b/>
            <sz val="9"/>
            <color indexed="81"/>
            <rFont val="Tahoma"/>
            <family val="2"/>
          </rPr>
          <t>Asiyeh Nazeri:</t>
        </r>
        <r>
          <rPr>
            <sz val="9"/>
            <color indexed="81"/>
            <rFont val="Tahoma"/>
            <family val="2"/>
          </rPr>
          <t xml:space="preserve">
801
</t>
        </r>
      </text>
    </comment>
    <comment ref="P66" authorId="0" shapeId="0" xr:uid="{7B02C1AD-CF42-4223-B197-956EB5EBA5FD}">
      <text>
        <r>
          <rPr>
            <b/>
            <sz val="9"/>
            <color indexed="81"/>
            <rFont val="Tahoma"/>
            <family val="2"/>
          </rPr>
          <t>Asiyeh Nazeri:</t>
        </r>
        <r>
          <rPr>
            <sz val="9"/>
            <color indexed="81"/>
            <rFont val="Tahoma"/>
            <family val="2"/>
          </rPr>
          <t xml:space="preserve">
و2971و3188
تسویه پیش پرداخت</t>
        </r>
      </text>
    </comment>
    <comment ref="P67" authorId="0" shapeId="0" xr:uid="{9CA6A8DB-11EC-40C4-A8A6-BD0A81C2BE70}">
      <text>
        <r>
          <rPr>
            <b/>
            <sz val="9"/>
            <color indexed="81"/>
            <rFont val="Tahoma"/>
            <family val="2"/>
          </rPr>
          <t>Asiyeh Nazeri:</t>
        </r>
        <r>
          <rPr>
            <sz val="9"/>
            <color indexed="81"/>
            <rFont val="Tahoma"/>
            <family val="2"/>
          </rPr>
          <t xml:space="preserve">
3188
</t>
        </r>
      </text>
    </comment>
    <comment ref="H76" authorId="0" shapeId="0" xr:uid="{59EBA1EF-FAB2-49E6-8823-1FEA66B507E3}">
      <text>
        <r>
          <rPr>
            <b/>
            <sz val="9"/>
            <color indexed="81"/>
            <rFont val="Tahoma"/>
            <family val="2"/>
          </rPr>
          <t>Asiyeh Nazeri:</t>
        </r>
        <r>
          <rPr>
            <sz val="9"/>
            <color indexed="81"/>
            <rFont val="Tahoma"/>
            <family val="2"/>
          </rPr>
          <t xml:space="preserve">
مانده متمم و جاري
</t>
        </r>
      </text>
    </comment>
    <comment ref="C79" authorId="0" shapeId="0" xr:uid="{31DA63A4-759D-41C6-BA8C-AF5ABCC4ADF4}">
      <text>
        <r>
          <rPr>
            <b/>
            <sz val="9"/>
            <color indexed="81"/>
            <rFont val="Tahoma"/>
            <family val="2"/>
          </rPr>
          <t>Asiyeh Nazeri:</t>
        </r>
        <r>
          <rPr>
            <sz val="9"/>
            <color indexed="81"/>
            <rFont val="Tahoma"/>
            <family val="2"/>
          </rPr>
          <t xml:space="preserve">
803
</t>
        </r>
      </text>
    </comment>
    <comment ref="P79" authorId="0" shapeId="0" xr:uid="{E1CC65BF-6988-4DE1-A014-BA95710D883B}">
      <text>
        <r>
          <rPr>
            <b/>
            <sz val="9"/>
            <color indexed="81"/>
            <rFont val="Tahoma"/>
            <family val="2"/>
          </rPr>
          <t>Asiyeh Nazeri:</t>
        </r>
        <r>
          <rPr>
            <sz val="9"/>
            <color indexed="81"/>
            <rFont val="Tahoma"/>
            <family val="2"/>
          </rPr>
          <t xml:space="preserve">
3188
</t>
        </r>
      </text>
    </comment>
    <comment ref="C80" authorId="0" shapeId="0" xr:uid="{FC698C91-77C0-40C3-952F-AA0DFA3A4784}">
      <text>
        <r>
          <rPr>
            <b/>
            <sz val="9"/>
            <color indexed="81"/>
            <rFont val="Tahoma"/>
            <family val="2"/>
          </rPr>
          <t>Asiyeh Nazeri:</t>
        </r>
        <r>
          <rPr>
            <sz val="9"/>
            <color indexed="81"/>
            <rFont val="Tahoma"/>
            <family val="2"/>
          </rPr>
          <t xml:space="preserve">
804
</t>
        </r>
      </text>
    </comment>
    <comment ref="P80" authorId="0" shapeId="0" xr:uid="{AF711DE2-B07D-4B7E-98D3-E2504B078C90}">
      <text>
        <r>
          <rPr>
            <b/>
            <sz val="9"/>
            <color indexed="81"/>
            <rFont val="Tahoma"/>
            <family val="2"/>
          </rPr>
          <t>Asiyeh Nazeri:</t>
        </r>
        <r>
          <rPr>
            <sz val="9"/>
            <color indexed="81"/>
            <rFont val="Tahoma"/>
            <family val="2"/>
          </rPr>
          <t xml:space="preserve">
3188
</t>
        </r>
      </text>
    </comment>
    <comment ref="P81" authorId="0" shapeId="0" xr:uid="{AAA02C38-B87F-416E-93FA-A2D19A2CFDFF}">
      <text>
        <r>
          <rPr>
            <b/>
            <sz val="9"/>
            <color indexed="81"/>
            <rFont val="Tahoma"/>
            <family val="2"/>
          </rPr>
          <t>Asiyeh Nazeri:</t>
        </r>
        <r>
          <rPr>
            <sz val="9"/>
            <color indexed="81"/>
            <rFont val="Tahoma"/>
            <family val="2"/>
          </rPr>
          <t xml:space="preserve">
3188</t>
        </r>
      </text>
    </comment>
    <comment ref="P82" authorId="0" shapeId="0" xr:uid="{22CEA84B-F0B7-45AA-B023-9E488A181DE8}">
      <text>
        <r>
          <rPr>
            <b/>
            <sz val="9"/>
            <color indexed="81"/>
            <rFont val="Tahoma"/>
            <family val="2"/>
          </rPr>
          <t>Asiyeh Nazeri:</t>
        </r>
        <r>
          <rPr>
            <sz val="9"/>
            <color indexed="81"/>
            <rFont val="Tahoma"/>
            <family val="2"/>
          </rPr>
          <t xml:space="preserve">
961
تسویه پیش پرداخت</t>
        </r>
      </text>
    </comment>
    <comment ref="C83" authorId="0" shapeId="0" xr:uid="{4CA3E1CE-B68C-4608-BB72-68D3F72194C0}">
      <text>
        <r>
          <rPr>
            <b/>
            <sz val="9"/>
            <color indexed="81"/>
            <rFont val="Tahoma"/>
            <family val="2"/>
          </rPr>
          <t>Asiyeh Nazeri:</t>
        </r>
        <r>
          <rPr>
            <sz val="9"/>
            <color indexed="81"/>
            <rFont val="Tahoma"/>
            <family val="2"/>
          </rPr>
          <t xml:space="preserve">
807</t>
        </r>
      </text>
    </comment>
    <comment ref="P83" authorId="0" shapeId="0" xr:uid="{222491ED-F12F-4BA5-92E7-DF1CC78239A7}">
      <text>
        <r>
          <rPr>
            <b/>
            <sz val="9"/>
            <color indexed="81"/>
            <rFont val="Tahoma"/>
            <family val="2"/>
          </rPr>
          <t>Asiyeh Nazeri:</t>
        </r>
        <r>
          <rPr>
            <sz val="9"/>
            <color indexed="81"/>
            <rFont val="Tahoma"/>
            <family val="2"/>
          </rPr>
          <t xml:space="preserve">
3188
</t>
        </r>
      </text>
    </comment>
    <comment ref="C84" authorId="0" shapeId="0" xr:uid="{349DAD8B-0001-42F9-9A79-63E6AEB48691}">
      <text>
        <r>
          <rPr>
            <b/>
            <sz val="9"/>
            <color indexed="81"/>
            <rFont val="Tahoma"/>
            <family val="2"/>
          </rPr>
          <t>Asiyeh Nazeri:</t>
        </r>
        <r>
          <rPr>
            <sz val="9"/>
            <color indexed="81"/>
            <rFont val="Tahoma"/>
            <family val="2"/>
          </rPr>
          <t xml:space="preserve">
808</t>
        </r>
      </text>
    </comment>
    <comment ref="P84" authorId="0" shapeId="0" xr:uid="{6951EB8E-D30A-4DEA-A120-969DAD217693}">
      <text>
        <r>
          <rPr>
            <b/>
            <sz val="9"/>
            <color indexed="81"/>
            <rFont val="Tahoma"/>
            <family val="2"/>
          </rPr>
          <t>Asiyeh Nazeri:</t>
        </r>
        <r>
          <rPr>
            <sz val="9"/>
            <color indexed="81"/>
            <rFont val="Tahoma"/>
            <family val="2"/>
          </rPr>
          <t xml:space="preserve">
3021و3618
3188
</t>
        </r>
      </text>
    </comment>
    <comment ref="P88" authorId="0" shapeId="0" xr:uid="{FA706C03-D1D0-412B-A01C-B5A224BA0F54}">
      <text>
        <r>
          <rPr>
            <b/>
            <sz val="9"/>
            <color indexed="81"/>
            <rFont val="Tahoma"/>
            <family val="2"/>
          </rPr>
          <t>Asiyeh Nazeri:</t>
        </r>
        <r>
          <rPr>
            <sz val="9"/>
            <color indexed="81"/>
            <rFont val="Tahoma"/>
            <family val="2"/>
          </rPr>
          <t xml:space="preserve">
3188</t>
        </r>
      </text>
    </comment>
    <comment ref="C90" authorId="0" shapeId="0" xr:uid="{360F86A0-3856-4A58-B4D9-663C0995C19D}">
      <text>
        <r>
          <rPr>
            <b/>
            <sz val="9"/>
            <color indexed="81"/>
            <rFont val="Tahoma"/>
            <family val="2"/>
          </rPr>
          <t xml:space="preserve">Asiyeh Nazeri:800
</t>
        </r>
      </text>
    </comment>
    <comment ref="P90" authorId="0" shapeId="0" xr:uid="{1BAC9148-3D78-484C-AA6D-953D45DFAC0F}">
      <text>
        <r>
          <rPr>
            <b/>
            <sz val="9"/>
            <color indexed="81"/>
            <rFont val="Tahoma"/>
            <family val="2"/>
          </rPr>
          <t>Asiyeh Nazeri:</t>
        </r>
        <r>
          <rPr>
            <sz val="9"/>
            <color indexed="81"/>
            <rFont val="Tahoma"/>
            <family val="2"/>
          </rPr>
          <t xml:space="preserve">
3188
</t>
        </r>
      </text>
    </comment>
    <comment ref="C105" authorId="0" shapeId="0" xr:uid="{612C3330-E105-4FC9-A25E-BE7E32157870}">
      <text>
        <r>
          <rPr>
            <b/>
            <sz val="9"/>
            <color indexed="81"/>
            <rFont val="Tahoma"/>
            <family val="2"/>
          </rPr>
          <t>Asiyeh Nazeri:</t>
        </r>
        <r>
          <rPr>
            <sz val="9"/>
            <color indexed="81"/>
            <rFont val="Tahoma"/>
            <family val="2"/>
          </rPr>
          <t xml:space="preserve">
803
</t>
        </r>
      </text>
    </comment>
    <comment ref="O105" authorId="0" shapeId="0" xr:uid="{79664574-2F27-42FD-B666-6609E89A6DA6}">
      <text>
        <r>
          <rPr>
            <b/>
            <sz val="9"/>
            <color indexed="81"/>
            <rFont val="Tahoma"/>
            <family val="2"/>
          </rPr>
          <t>Asiyeh Nazeri:</t>
        </r>
        <r>
          <rPr>
            <sz val="9"/>
            <color indexed="81"/>
            <rFont val="Tahoma"/>
            <family val="2"/>
          </rPr>
          <t xml:space="preserve">
بابت صورت وضعیت منفی عطف 3726
</t>
        </r>
      </text>
    </comment>
    <comment ref="C106" authorId="0" shapeId="0" xr:uid="{A01C3377-1B78-4A1F-8A21-8D167C1CA275}">
      <text>
        <r>
          <rPr>
            <b/>
            <sz val="9"/>
            <color indexed="81"/>
            <rFont val="Tahoma"/>
            <family val="2"/>
          </rPr>
          <t>Asiyeh Nazeri:</t>
        </r>
        <r>
          <rPr>
            <sz val="9"/>
            <color indexed="81"/>
            <rFont val="Tahoma"/>
            <family val="2"/>
          </rPr>
          <t xml:space="preserve">
807</t>
        </r>
      </text>
    </comment>
    <comment ref="C107" authorId="0" shapeId="0" xr:uid="{260A1779-EA99-477A-BF7B-E8AAFD3656A0}">
      <text>
        <r>
          <rPr>
            <b/>
            <sz val="9"/>
            <color indexed="81"/>
            <rFont val="Tahoma"/>
            <family val="2"/>
          </rPr>
          <t>Asiyeh Nazeri:</t>
        </r>
        <r>
          <rPr>
            <sz val="9"/>
            <color indexed="81"/>
            <rFont val="Tahoma"/>
            <family val="2"/>
          </rPr>
          <t xml:space="preserve">
913
</t>
        </r>
      </text>
    </comment>
    <comment ref="H118" authorId="0" shapeId="0" xr:uid="{AF5CB360-87D4-4E30-870D-02675A38D9EF}">
      <text>
        <r>
          <rPr>
            <b/>
            <sz val="9"/>
            <color indexed="81"/>
            <rFont val="Tahoma"/>
            <family val="2"/>
          </rPr>
          <t>Asiyeh Nazeri:</t>
        </r>
        <r>
          <rPr>
            <sz val="9"/>
            <color indexed="81"/>
            <rFont val="Tahoma"/>
            <family val="2"/>
          </rPr>
          <t xml:space="preserve">
مانده متمم و جاري
</t>
        </r>
      </text>
    </comment>
    <comment ref="C122" authorId="0" shapeId="0" xr:uid="{95B7A2E0-8075-4F7E-A8F9-5E609685B96D}">
      <text>
        <r>
          <rPr>
            <b/>
            <sz val="9"/>
            <color indexed="81"/>
            <rFont val="Tahoma"/>
            <family val="2"/>
          </rPr>
          <t>Asiyeh Nazeri:</t>
        </r>
        <r>
          <rPr>
            <sz val="9"/>
            <color indexed="81"/>
            <rFont val="Tahoma"/>
            <family val="2"/>
          </rPr>
          <t xml:space="preserve">
100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D23" authorId="0" shapeId="0" xr:uid="{4E92A7E7-E407-4B91-81EF-306F6C30322B}">
      <text>
        <r>
          <rPr>
            <b/>
            <sz val="9"/>
            <color indexed="81"/>
            <rFont val="Tahoma"/>
            <family val="2"/>
          </rPr>
          <t>Asiyeh Nazeri:</t>
        </r>
        <r>
          <rPr>
            <sz val="9"/>
            <color indexed="81"/>
            <rFont val="Tahoma"/>
            <family val="2"/>
          </rPr>
          <t xml:space="preserve">
804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N11" authorId="0" shapeId="0" xr:uid="{00000000-0006-0000-1000-000001000000}">
      <text>
        <r>
          <rPr>
            <b/>
            <sz val="9"/>
            <color indexed="81"/>
            <rFont val="Tahoma"/>
            <family val="2"/>
          </rPr>
          <t>Asiyeh Nazeri:</t>
        </r>
        <r>
          <rPr>
            <sz val="9"/>
            <color indexed="81"/>
            <rFont val="Tahoma"/>
            <family val="2"/>
          </rPr>
          <t xml:space="preserve">
پيش پرداخت موجودي كالا
</t>
        </r>
      </text>
    </comment>
    <comment ref="V19" authorId="0" shapeId="0" xr:uid="{54FBE8C1-7989-4DAB-9AE3-B33243ECCA7F}">
      <text>
        <r>
          <rPr>
            <b/>
            <sz val="9"/>
            <color indexed="81"/>
            <rFont val="Tahoma"/>
            <family val="2"/>
          </rPr>
          <t>Asiyeh Nazeri:</t>
        </r>
        <r>
          <rPr>
            <sz val="9"/>
            <color indexed="81"/>
            <rFont val="Tahoma"/>
            <family val="2"/>
          </rPr>
          <t xml:space="preserve">
عطف 2661 از محل مطالبات</t>
        </r>
      </text>
    </comment>
    <comment ref="V20" authorId="0" shapeId="0" xr:uid="{274D7306-917F-40AF-A5B1-68156F5CB637}">
      <text>
        <r>
          <rPr>
            <b/>
            <sz val="9"/>
            <color indexed="81"/>
            <rFont val="Tahoma"/>
            <family val="2"/>
          </rPr>
          <t>Asiyeh Nazeri:</t>
        </r>
        <r>
          <rPr>
            <sz val="9"/>
            <color indexed="81"/>
            <rFont val="Tahoma"/>
            <family val="2"/>
          </rPr>
          <t xml:space="preserve">
عطف 1205 از مبلغ 31592802721 مبلغ 21779308701 از محل مطالبات
و مبلغ 9813493020 از محل پیش پرداخت</t>
        </r>
      </text>
    </comment>
    <comment ref="V21" authorId="0" shapeId="0" xr:uid="{79850182-881C-4D02-B7B3-18C8100FE403}">
      <text>
        <r>
          <rPr>
            <b/>
            <sz val="9"/>
            <color indexed="81"/>
            <rFont val="Tahoma"/>
            <family val="2"/>
          </rPr>
          <t>Asiyeh Nazeri:</t>
        </r>
        <r>
          <rPr>
            <sz val="9"/>
            <color indexed="81"/>
            <rFont val="Tahoma"/>
            <family val="2"/>
          </rPr>
          <t>ا صورت وضعیت منفی با پیش پرداخت
719و1473</t>
        </r>
      </text>
    </comment>
    <comment ref="V22" authorId="0" shapeId="0" xr:uid="{1C4B0286-A16D-47A2-8002-A6A222774D81}">
      <text>
        <r>
          <rPr>
            <b/>
            <sz val="9"/>
            <color indexed="81"/>
            <rFont val="Tahoma"/>
            <family val="2"/>
          </rPr>
          <t>Asiyeh Nazeri:</t>
        </r>
        <r>
          <rPr>
            <sz val="9"/>
            <color indexed="81"/>
            <rFont val="Tahoma"/>
            <family val="2"/>
          </rPr>
          <t xml:space="preserve">
913
صورت وضعیت منفی 
دارایی حساب پرداختنی</t>
        </r>
      </text>
    </comment>
    <comment ref="V23" authorId="0" shapeId="0" xr:uid="{E34B75AE-FD0E-4B02-9925-7BC93F6D8976}">
      <text>
        <r>
          <rPr>
            <b/>
            <sz val="9"/>
            <color indexed="81"/>
            <rFont val="Tahoma"/>
            <family val="2"/>
          </rPr>
          <t>Asiyeh Nazeri:</t>
        </r>
        <r>
          <rPr>
            <sz val="9"/>
            <color indexed="81"/>
            <rFont val="Tahoma"/>
            <family val="2"/>
          </rPr>
          <t xml:space="preserve">
صورت وضعیت منفی 3199
ح پرداختنی دارایی</t>
        </r>
      </text>
    </comment>
    <comment ref="V27" authorId="0" shapeId="0" xr:uid="{00000000-0006-0000-1000-000002000000}">
      <text>
        <r>
          <rPr>
            <b/>
            <sz val="9"/>
            <color indexed="81"/>
            <rFont val="Tahoma"/>
            <family val="2"/>
          </rPr>
          <t>Asiyeh Nazeri:</t>
        </r>
        <r>
          <rPr>
            <sz val="9"/>
            <color indexed="81"/>
            <rFont val="Tahoma"/>
            <family val="2"/>
          </rPr>
          <t xml:space="preserve">
بابت صورت وضعیت منفی عطف 2486
2438
</t>
        </r>
      </text>
    </comment>
    <comment ref="N39" authorId="0" shapeId="0" xr:uid="{07354177-8C8C-4295-BE08-DEBB6392D86A}">
      <text>
        <r>
          <rPr>
            <b/>
            <sz val="9"/>
            <color indexed="81"/>
            <rFont val="Tahoma"/>
            <family val="2"/>
          </rPr>
          <t>Asiyeh Nazeri:</t>
        </r>
        <r>
          <rPr>
            <sz val="9"/>
            <color indexed="81"/>
            <rFont val="Tahoma"/>
            <family val="2"/>
          </rPr>
          <t xml:space="preserve">
پيش پرداخت موجودي كالا
</t>
        </r>
      </text>
    </comment>
    <comment ref="E41" authorId="0" shapeId="0" xr:uid="{00000000-0006-0000-1000-000004000000}">
      <text>
        <r>
          <rPr>
            <b/>
            <sz val="9"/>
            <color indexed="81"/>
            <rFont val="Tahoma"/>
            <family val="2"/>
          </rPr>
          <t>Asiyeh Nazeri:</t>
        </r>
        <r>
          <rPr>
            <sz val="9"/>
            <color indexed="81"/>
            <rFont val="Tahoma"/>
            <family val="2"/>
          </rPr>
          <t xml:space="preserve">
11209و11336
11208/
</t>
        </r>
      </text>
    </comment>
    <comment ref="V51" authorId="0" shapeId="0" xr:uid="{00000000-0006-0000-1000-000005000000}">
      <text>
        <r>
          <rPr>
            <b/>
            <sz val="9"/>
            <color indexed="81"/>
            <rFont val="Tahoma"/>
            <family val="2"/>
          </rPr>
          <t>Asiyeh Nazeri:</t>
        </r>
        <r>
          <rPr>
            <sz val="9"/>
            <color indexed="81"/>
            <rFont val="Tahoma"/>
            <family val="2"/>
          </rPr>
          <t xml:space="preserve">
بابت صورت وضعیت منفی کسر شده از حساب پرداختنی طرف بدهکار
عطف 2203 سند 2158
</t>
        </r>
      </text>
    </comment>
    <comment ref="N68" authorId="0" shapeId="0" xr:uid="{46064D0C-7E20-43E3-953A-BD120A4323C3}">
      <text>
        <r>
          <rPr>
            <b/>
            <sz val="9"/>
            <color indexed="81"/>
            <rFont val="Tahoma"/>
            <family val="2"/>
          </rPr>
          <t>Asiyeh Nazeri:</t>
        </r>
        <r>
          <rPr>
            <sz val="9"/>
            <color indexed="81"/>
            <rFont val="Tahoma"/>
            <family val="2"/>
          </rPr>
          <t xml:space="preserve">
پيش پرداخت موجودي كالا
</t>
        </r>
      </text>
    </comment>
    <comment ref="N98" authorId="0" shapeId="0" xr:uid="{EB9AE127-6987-495E-9C9D-6067207ABC0D}">
      <text>
        <r>
          <rPr>
            <b/>
            <sz val="9"/>
            <color indexed="81"/>
            <rFont val="Tahoma"/>
            <family val="2"/>
          </rPr>
          <t>Asiyeh Nazeri:</t>
        </r>
        <r>
          <rPr>
            <sz val="9"/>
            <color indexed="81"/>
            <rFont val="Tahoma"/>
            <family val="2"/>
          </rPr>
          <t xml:space="preserve">
پيش پرداخت موجودي كالا
</t>
        </r>
      </text>
    </comment>
    <comment ref="E111" authorId="0" shapeId="0" xr:uid="{00000000-0006-0000-1000-000008000000}">
      <text>
        <r>
          <rPr>
            <b/>
            <sz val="9"/>
            <color indexed="81"/>
            <rFont val="Tahoma"/>
            <family val="2"/>
          </rPr>
          <t>Asiyeh Nazeri:</t>
        </r>
        <r>
          <rPr>
            <sz val="9"/>
            <color indexed="81"/>
            <rFont val="Tahoma"/>
            <family val="2"/>
          </rPr>
          <t xml:space="preserve">
11252و11321
</t>
        </r>
      </text>
    </comment>
    <comment ref="N132" authorId="0" shapeId="0" xr:uid="{895DE421-F7BC-4FC3-83BF-D2C60E495D71}">
      <text>
        <r>
          <rPr>
            <b/>
            <sz val="9"/>
            <color indexed="81"/>
            <rFont val="Tahoma"/>
            <family val="2"/>
          </rPr>
          <t>Asiyeh Nazeri:</t>
        </r>
        <r>
          <rPr>
            <sz val="9"/>
            <color indexed="81"/>
            <rFont val="Tahoma"/>
            <family val="2"/>
          </rPr>
          <t xml:space="preserve">
پيش پرداخت موجودي كالا
</t>
        </r>
      </text>
    </comment>
    <comment ref="C137" authorId="0" shapeId="0" xr:uid="{00000000-0006-0000-1000-00000A000000}">
      <text>
        <r>
          <rPr>
            <b/>
            <sz val="9"/>
            <color indexed="81"/>
            <rFont val="Tahoma"/>
            <family val="2"/>
          </rPr>
          <t>Asiyeh Nazeri:</t>
        </r>
        <r>
          <rPr>
            <sz val="9"/>
            <color indexed="81"/>
            <rFont val="Tahoma"/>
            <family val="2"/>
          </rPr>
          <t xml:space="preserve">
ادغام با 375
</t>
        </r>
      </text>
    </comment>
    <comment ref="W141" authorId="0" shapeId="0" xr:uid="{66B57733-9DA4-4FF0-AD81-3B9AF9DFE409}">
      <text>
        <r>
          <rPr>
            <b/>
            <sz val="9"/>
            <color indexed="81"/>
            <rFont val="Tahoma"/>
            <family val="2"/>
          </rPr>
          <t>Asiyeh Nazeri:</t>
        </r>
        <r>
          <rPr>
            <sz val="9"/>
            <color indexed="81"/>
            <rFont val="Tahoma"/>
            <family val="2"/>
          </rPr>
          <t xml:space="preserve">
2750سند</t>
        </r>
      </text>
    </comment>
    <comment ref="V147" authorId="0" shapeId="0" xr:uid="{1B8CFF24-CC6C-4285-ACE6-56593ED5C746}">
      <text>
        <r>
          <rPr>
            <b/>
            <sz val="9"/>
            <color indexed="81"/>
            <rFont val="Tahoma"/>
            <family val="2"/>
          </rPr>
          <t>Asiyeh Nazeri:</t>
        </r>
        <r>
          <rPr>
            <sz val="9"/>
            <color indexed="81"/>
            <rFont val="Tahoma"/>
            <family val="2"/>
          </rPr>
          <t xml:space="preserve">
773
بانک (بد)
دارایی(بس)(بابت تسویه امور مالی احتمالا سند اشتباه
15390</t>
        </r>
      </text>
    </comment>
    <comment ref="W147" authorId="0" shapeId="0" xr:uid="{2A8DE48F-0304-424F-B8A0-90CF005EDABE}">
      <text>
        <r>
          <rPr>
            <b/>
            <sz val="9"/>
            <color indexed="81"/>
            <rFont val="Tahoma"/>
            <family val="2"/>
          </rPr>
          <t>Asiyeh Nazeri:</t>
        </r>
        <r>
          <rPr>
            <sz val="9"/>
            <color indexed="81"/>
            <rFont val="Tahoma"/>
            <family val="2"/>
          </rPr>
          <t xml:space="preserve">
چون ادغامی با 206هست اضافات که منفی شده بود به مبلغ 15054 با 308 انتقالی نوشتم
</t>
        </r>
      </text>
    </comment>
    <comment ref="H149" authorId="0" shapeId="0" xr:uid="{00000000-0006-0000-1000-00000B000000}">
      <text>
        <r>
          <rPr>
            <b/>
            <sz val="9"/>
            <color indexed="81"/>
            <rFont val="Tahoma"/>
            <family val="2"/>
          </rPr>
          <t>Asiyeh Nazeri:</t>
        </r>
      </text>
    </comment>
    <comment ref="N163" authorId="0" shapeId="0" xr:uid="{08B49ED8-0E6F-441E-BD80-1BBECA9467FA}">
      <text>
        <r>
          <rPr>
            <b/>
            <sz val="9"/>
            <color indexed="81"/>
            <rFont val="Tahoma"/>
            <family val="2"/>
          </rPr>
          <t>Asiyeh Nazeri:</t>
        </r>
        <r>
          <rPr>
            <sz val="9"/>
            <color indexed="81"/>
            <rFont val="Tahoma"/>
            <family val="2"/>
          </rPr>
          <t xml:space="preserve">
پيش پرداخت موجودي كالا
</t>
        </r>
      </text>
    </comment>
    <comment ref="V166" authorId="0" shapeId="0" xr:uid="{00000000-0006-0000-1000-00000D000000}">
      <text>
        <r>
          <rPr>
            <b/>
            <sz val="9"/>
            <color indexed="81"/>
            <rFont val="Tahoma"/>
            <family val="2"/>
          </rPr>
          <t>Asiyeh Nazeri:</t>
        </r>
        <r>
          <rPr>
            <sz val="9"/>
            <color indexed="81"/>
            <rFont val="Tahoma"/>
            <family val="2"/>
          </rPr>
          <t xml:space="preserve">
صورت وضعیت منفی عطف 
926و920و1773
حساب پرداختنی
 صورت وضعیت منفی3438 با پیش پرداخت
مبلغ 4905115323 از محل مطالبات عطف 1205</t>
        </r>
      </text>
    </comment>
    <comment ref="W166" authorId="0" shapeId="0" xr:uid="{89A49A17-AF78-461D-A516-49FF60944111}">
      <text>
        <r>
          <rPr>
            <b/>
            <sz val="9"/>
            <color indexed="81"/>
            <rFont val="Tahoma"/>
            <family val="2"/>
          </rPr>
          <t>Asiyeh Nazeri:</t>
        </r>
        <r>
          <rPr>
            <sz val="9"/>
            <color indexed="81"/>
            <rFont val="Tahoma"/>
            <family val="2"/>
          </rPr>
          <t xml:space="preserve">
2178
3922
1093</t>
        </r>
      </text>
    </comment>
    <comment ref="V169" authorId="0" shapeId="0" xr:uid="{00000000-0006-0000-1000-00000E000000}">
      <text>
        <r>
          <rPr>
            <b/>
            <sz val="9"/>
            <color indexed="81"/>
            <rFont val="Tahoma"/>
            <family val="2"/>
          </rPr>
          <t>Asiyeh Nazeri:</t>
        </r>
        <r>
          <rPr>
            <sz val="9"/>
            <color indexed="81"/>
            <rFont val="Tahoma"/>
            <family val="2"/>
          </rPr>
          <t xml:space="preserve">
821صورت وضعیت منفی عطف 821 شماره سند 791 حساب پرداختنی
</t>
        </r>
      </text>
    </comment>
    <comment ref="W169" authorId="0" shapeId="0" xr:uid="{69EB5094-17E4-4E1F-963A-37A18C6E092B}">
      <text>
        <r>
          <rPr>
            <b/>
            <sz val="9"/>
            <color indexed="81"/>
            <rFont val="Tahoma"/>
            <family val="2"/>
          </rPr>
          <t>Asiyeh Nazeri:</t>
        </r>
        <r>
          <rPr>
            <sz val="9"/>
            <color indexed="81"/>
            <rFont val="Tahoma"/>
            <family val="2"/>
          </rPr>
          <t xml:space="preserve">
601
3922</t>
        </r>
      </text>
    </comment>
    <comment ref="W170" authorId="0" shapeId="0" xr:uid="{9A46A846-0929-46E1-97B9-64E9F1EA81E8}">
      <text>
        <r>
          <rPr>
            <b/>
            <sz val="9"/>
            <color indexed="81"/>
            <rFont val="Tahoma"/>
            <family val="2"/>
          </rPr>
          <t>Asiyeh Nazeri:</t>
        </r>
        <r>
          <rPr>
            <sz val="9"/>
            <color indexed="81"/>
            <rFont val="Tahoma"/>
            <family val="2"/>
          </rPr>
          <t xml:space="preserve">
3922</t>
        </r>
      </text>
    </comment>
    <comment ref="W172" authorId="0" shapeId="0" xr:uid="{9DE07026-6B4E-4148-8531-6DB16DDA3102}">
      <text>
        <r>
          <rPr>
            <b/>
            <sz val="9"/>
            <color indexed="81"/>
            <rFont val="Tahoma"/>
            <family val="2"/>
          </rPr>
          <t>Asiyeh Nazeri:</t>
        </r>
        <r>
          <rPr>
            <sz val="9"/>
            <color indexed="81"/>
            <rFont val="Tahoma"/>
            <family val="2"/>
          </rPr>
          <t xml:space="preserve">
3182</t>
        </r>
      </text>
    </comment>
    <comment ref="W176" authorId="0" shapeId="0" xr:uid="{32522A23-03A5-4B16-9BAA-1A82CD9CF015}">
      <text>
        <r>
          <rPr>
            <b/>
            <sz val="9"/>
            <color indexed="81"/>
            <rFont val="Tahoma"/>
            <family val="2"/>
          </rPr>
          <t>Asiyeh Nazeri:</t>
        </r>
        <r>
          <rPr>
            <sz val="9"/>
            <color indexed="81"/>
            <rFont val="Tahoma"/>
            <family val="2"/>
          </rPr>
          <t xml:space="preserve">
1093</t>
        </r>
      </text>
    </comment>
    <comment ref="W178" authorId="0" shapeId="0" xr:uid="{007C91DA-79D8-4F0B-A807-5DBBA2BCDF69}">
      <text>
        <r>
          <rPr>
            <b/>
            <sz val="9"/>
            <color indexed="81"/>
            <rFont val="Tahoma"/>
            <family val="2"/>
          </rPr>
          <t>Asiyeh Nazeri:</t>
        </r>
        <r>
          <rPr>
            <sz val="9"/>
            <color indexed="81"/>
            <rFont val="Tahoma"/>
            <family val="2"/>
          </rPr>
          <t xml:space="preserve">
3922</t>
        </r>
      </text>
    </comment>
    <comment ref="N189" authorId="0" shapeId="0" xr:uid="{A4895A35-FED0-4AC8-8EC3-0C3EC3DD8DF5}">
      <text>
        <r>
          <rPr>
            <b/>
            <sz val="9"/>
            <color indexed="81"/>
            <rFont val="Tahoma"/>
            <family val="2"/>
          </rPr>
          <t>Asiyeh Nazeri:</t>
        </r>
        <r>
          <rPr>
            <sz val="9"/>
            <color indexed="81"/>
            <rFont val="Tahoma"/>
            <family val="2"/>
          </rPr>
          <t xml:space="preserve">
پيش پرداخت موجودي كالا
</t>
        </r>
      </text>
    </comment>
    <comment ref="V191" authorId="0" shapeId="0" xr:uid="{00000000-0006-0000-1000-000010000000}">
      <text>
        <r>
          <rPr>
            <sz val="9"/>
            <color indexed="81"/>
            <rFont val="Tahoma"/>
            <family val="2"/>
          </rPr>
          <t xml:space="preserve">اصلاح با سایر هزینه عطف 1246 سند 12230طرح 509
</t>
        </r>
      </text>
    </comment>
    <comment ref="W191" authorId="0" shapeId="0" xr:uid="{0FD5C725-A8E2-4E97-9107-D11AA1F20C55}">
      <text>
        <r>
          <rPr>
            <b/>
            <sz val="9"/>
            <color indexed="81"/>
            <rFont val="Tahoma"/>
            <family val="2"/>
          </rPr>
          <t>Asiyeh Nazeri:</t>
        </r>
        <r>
          <rPr>
            <sz val="9"/>
            <color indexed="81"/>
            <rFont val="Tahoma"/>
            <family val="2"/>
          </rPr>
          <t xml:space="preserve">
1093</t>
        </r>
      </text>
    </comment>
    <comment ref="W194" authorId="0" shapeId="0" xr:uid="{9ECA1A59-C54F-4792-8FA6-AC31DF4AE29F}">
      <text>
        <r>
          <rPr>
            <b/>
            <sz val="9"/>
            <color indexed="81"/>
            <rFont val="Tahoma"/>
            <family val="2"/>
          </rPr>
          <t>Asiyeh Nazeri:</t>
        </r>
        <r>
          <rPr>
            <sz val="9"/>
            <color indexed="81"/>
            <rFont val="Tahoma"/>
            <family val="2"/>
          </rPr>
          <t xml:space="preserve">
1083</t>
        </r>
      </text>
    </comment>
    <comment ref="W195" authorId="0" shapeId="0" xr:uid="{0242B71A-15C8-4D85-8F27-23BF354EA031}">
      <text>
        <r>
          <rPr>
            <b/>
            <sz val="9"/>
            <color indexed="81"/>
            <rFont val="Tahoma"/>
            <family val="2"/>
          </rPr>
          <t>Asiyeh Nazeri:</t>
        </r>
        <r>
          <rPr>
            <sz val="9"/>
            <color indexed="81"/>
            <rFont val="Tahoma"/>
            <family val="2"/>
          </rPr>
          <t xml:space="preserve">
3182</t>
        </r>
      </text>
    </comment>
    <comment ref="V199" authorId="0" shapeId="0" xr:uid="{00000000-0006-0000-1000-000011000000}">
      <text>
        <r>
          <rPr>
            <b/>
            <sz val="9"/>
            <color indexed="81"/>
            <rFont val="Tahoma"/>
            <family val="2"/>
          </rPr>
          <t>Asiyeh Nazeri:</t>
        </r>
        <r>
          <rPr>
            <sz val="9"/>
            <color indexed="81"/>
            <rFont val="Tahoma"/>
            <family val="2"/>
          </rPr>
          <t xml:space="preserve">
باسایر هزینه ها سند 4687
 عطف 4745</t>
        </r>
      </text>
    </comment>
    <comment ref="N219" authorId="0" shapeId="0" xr:uid="{DB253D87-4B17-477B-B9DB-BE0BB56A5204}">
      <text>
        <r>
          <rPr>
            <b/>
            <sz val="9"/>
            <color indexed="81"/>
            <rFont val="Tahoma"/>
            <family val="2"/>
          </rPr>
          <t>Asiyeh Nazeri:</t>
        </r>
        <r>
          <rPr>
            <sz val="9"/>
            <color indexed="81"/>
            <rFont val="Tahoma"/>
            <family val="2"/>
          </rPr>
          <t xml:space="preserve">
پيش پرداخت موجودي كالا
</t>
        </r>
      </text>
    </comment>
    <comment ref="V233" authorId="0" shapeId="0" xr:uid="{00000000-0006-0000-1000-000013000000}">
      <text>
        <r>
          <rPr>
            <b/>
            <sz val="9"/>
            <color indexed="81"/>
            <rFont val="Tahoma"/>
            <family val="2"/>
          </rPr>
          <t>Asiyeh Nazeri:</t>
        </r>
        <r>
          <rPr>
            <sz val="9"/>
            <color indexed="81"/>
            <rFont val="Tahoma"/>
            <family val="2"/>
          </rPr>
          <t xml:space="preserve">
1770با حساب سیار
</t>
        </r>
      </text>
    </comment>
    <comment ref="W233" authorId="0" shapeId="0" xr:uid="{C4058A5E-0688-469A-B5CD-00B88E344396}">
      <text>
        <r>
          <rPr>
            <b/>
            <sz val="9"/>
            <color indexed="81"/>
            <rFont val="Tahoma"/>
            <family val="2"/>
          </rPr>
          <t>Asiyeh Nazeri:</t>
        </r>
        <r>
          <rPr>
            <sz val="9"/>
            <color indexed="81"/>
            <rFont val="Tahoma"/>
            <family val="2"/>
          </rPr>
          <t xml:space="preserve">
3922
</t>
        </r>
      </text>
    </comment>
    <comment ref="N248" authorId="0" shapeId="0" xr:uid="{516A4A37-2561-4A66-9434-5200678B2611}">
      <text>
        <r>
          <rPr>
            <b/>
            <sz val="9"/>
            <color indexed="81"/>
            <rFont val="Tahoma"/>
            <family val="2"/>
          </rPr>
          <t>Asiyeh Nazeri:</t>
        </r>
        <r>
          <rPr>
            <sz val="9"/>
            <color indexed="81"/>
            <rFont val="Tahoma"/>
            <family val="2"/>
          </rPr>
          <t xml:space="preserve">
پيش پرداخت موجودي كالا
</t>
        </r>
      </text>
    </comment>
    <comment ref="W258" authorId="0" shapeId="0" xr:uid="{076A68DB-90F8-4D23-BE16-D5C6268DBA09}">
      <text>
        <r>
          <rPr>
            <b/>
            <sz val="9"/>
            <color indexed="81"/>
            <rFont val="Tahoma"/>
            <family val="2"/>
          </rPr>
          <t>Asiyeh Nazeri:</t>
        </r>
        <r>
          <rPr>
            <sz val="9"/>
            <color indexed="81"/>
            <rFont val="Tahoma"/>
            <family val="2"/>
          </rPr>
          <t xml:space="preserve">
2178
</t>
        </r>
      </text>
    </comment>
    <comment ref="W259" authorId="0" shapeId="0" xr:uid="{A864845B-9AB1-4B5B-A5B1-75BA32B04D26}">
      <text>
        <r>
          <rPr>
            <b/>
            <sz val="9"/>
            <color indexed="81"/>
            <rFont val="Tahoma"/>
            <family val="2"/>
          </rPr>
          <t>Asiyeh Nazeri:</t>
        </r>
        <r>
          <rPr>
            <sz val="9"/>
            <color indexed="81"/>
            <rFont val="Tahoma"/>
            <family val="2"/>
          </rPr>
          <t xml:space="preserve">
عطف 1086</t>
        </r>
      </text>
    </comment>
    <comment ref="N280" authorId="0" shapeId="0" xr:uid="{69D0809A-F321-4AEE-938C-EF4410CF124A}">
      <text>
        <r>
          <rPr>
            <b/>
            <sz val="9"/>
            <color indexed="81"/>
            <rFont val="Tahoma"/>
            <family val="2"/>
          </rPr>
          <t>Asiyeh Nazeri:</t>
        </r>
        <r>
          <rPr>
            <sz val="9"/>
            <color indexed="81"/>
            <rFont val="Tahoma"/>
            <family val="2"/>
          </rPr>
          <t xml:space="preserve">
پيش پرداخت موجودي كالا
</t>
        </r>
      </text>
    </comment>
    <comment ref="V298" authorId="0" shapeId="0" xr:uid="{00000000-0006-0000-1000-000016000000}">
      <text>
        <r>
          <rPr>
            <b/>
            <sz val="9"/>
            <color indexed="81"/>
            <rFont val="Tahoma"/>
            <family val="2"/>
          </rPr>
          <t>Asiyeh Nazeri:</t>
        </r>
        <r>
          <rPr>
            <sz val="9"/>
            <color indexed="81"/>
            <rFont val="Tahoma"/>
            <family val="2"/>
          </rPr>
          <t xml:space="preserve">
عطف 1246 سند 1223
 سیار
اصلاحات با سایر هزینه
طرح 509</t>
        </r>
      </text>
    </comment>
    <comment ref="N310" authorId="0" shapeId="0" xr:uid="{2280EEBF-19C1-417D-831E-52961FDA2D93}">
      <text>
        <r>
          <rPr>
            <b/>
            <sz val="9"/>
            <color indexed="81"/>
            <rFont val="Tahoma"/>
            <family val="2"/>
          </rPr>
          <t>Asiyeh Nazeri:</t>
        </r>
        <r>
          <rPr>
            <sz val="9"/>
            <color indexed="81"/>
            <rFont val="Tahoma"/>
            <family val="2"/>
          </rPr>
          <t xml:space="preserve">
پيش پرداخت موجودي كالا
</t>
        </r>
      </text>
    </comment>
    <comment ref="V323" authorId="0" shapeId="0" xr:uid="{00000000-0006-0000-1000-000018000000}">
      <text>
        <r>
          <rPr>
            <b/>
            <sz val="9"/>
            <color indexed="81"/>
            <rFont val="Tahoma"/>
            <family val="2"/>
          </rPr>
          <t xml:space="preserve">Asiyeh Nazeri:صورت وضعیت منفی عطف2203 وعطف
 2158 و </t>
        </r>
      </text>
    </comment>
    <comment ref="V324" authorId="0" shapeId="0" xr:uid="{00000000-0006-0000-1000-000019000000}">
      <text>
        <r>
          <rPr>
            <b/>
            <sz val="9"/>
            <color indexed="81"/>
            <rFont val="Tahoma"/>
            <family val="2"/>
          </rPr>
          <t>Asiyeh Nazeri:</t>
        </r>
        <r>
          <rPr>
            <sz val="9"/>
            <color indexed="81"/>
            <rFont val="Tahoma"/>
            <family val="2"/>
          </rPr>
          <t xml:space="preserve">
صورت وضعیت منفی عطف2203 وعطف
 2158 </t>
        </r>
      </text>
    </comment>
    <comment ref="W324" authorId="0" shapeId="0" xr:uid="{CDB30F52-2DC1-4A07-841E-F0D379694B22}">
      <text>
        <r>
          <rPr>
            <b/>
            <sz val="9"/>
            <color indexed="81"/>
            <rFont val="Tahoma"/>
            <family val="2"/>
          </rPr>
          <t>Asiyeh Nazeri:</t>
        </r>
        <r>
          <rPr>
            <sz val="9"/>
            <color indexed="81"/>
            <rFont val="Tahoma"/>
            <family val="2"/>
          </rPr>
          <t xml:space="preserve">
اصلاحیه پارسال با ح100
</t>
        </r>
      </text>
    </comment>
    <comment ref="H326" authorId="0" shapeId="0" xr:uid="{00000000-0006-0000-1000-00001A000000}">
      <text>
        <r>
          <rPr>
            <b/>
            <sz val="9"/>
            <color indexed="81"/>
            <rFont val="Tahoma"/>
            <family val="2"/>
          </rPr>
          <t>Asiyeh Nazeri:</t>
        </r>
        <r>
          <rPr>
            <sz val="9"/>
            <color indexed="81"/>
            <rFont val="Tahoma"/>
            <family val="2"/>
          </rPr>
          <t xml:space="preserve">
بابت اضافه برگشتي به حساب هزينه
</t>
        </r>
      </text>
    </comment>
    <comment ref="V326" authorId="0" shapeId="0" xr:uid="{00000000-0006-0000-1000-00001B000000}">
      <text>
        <r>
          <rPr>
            <b/>
            <sz val="9"/>
            <color indexed="81"/>
            <rFont val="Tahoma"/>
            <family val="2"/>
          </rPr>
          <t>Asiyeh Nazeri:</t>
        </r>
        <r>
          <rPr>
            <sz val="9"/>
            <color indexed="81"/>
            <rFont val="Tahoma"/>
            <family val="2"/>
          </rPr>
          <t xml:space="preserve">
عطف 4762 اصلاح حساب دارایی و ارزش خالص اصلاح سایر هزینه
</t>
        </r>
      </text>
    </comment>
    <comment ref="N339" authorId="0" shapeId="0" xr:uid="{C16B4880-5067-45B7-B865-1CC81DE8DD61}">
      <text>
        <r>
          <rPr>
            <b/>
            <sz val="9"/>
            <color indexed="81"/>
            <rFont val="Tahoma"/>
            <family val="2"/>
          </rPr>
          <t>Asiyeh Nazeri:</t>
        </r>
        <r>
          <rPr>
            <sz val="9"/>
            <color indexed="81"/>
            <rFont val="Tahoma"/>
            <family val="2"/>
          </rPr>
          <t xml:space="preserve">
پيش پرداخت موجودي كالا
</t>
        </r>
      </text>
    </comment>
    <comment ref="V344" authorId="0" shapeId="0" xr:uid="{00000000-0006-0000-1000-00001D000000}">
      <text>
        <r>
          <rPr>
            <b/>
            <sz val="9"/>
            <color indexed="81"/>
            <rFont val="Tahoma"/>
            <family val="2"/>
          </rPr>
          <t>Asiyeh Nazeri:</t>
        </r>
        <r>
          <rPr>
            <sz val="9"/>
            <color indexed="81"/>
            <rFont val="Tahoma"/>
            <family val="2"/>
          </rPr>
          <t xml:space="preserve">
 عطف 1939    2282 عطف
80762432 ح پرداختنی
77897907 پیش پرداخت</t>
        </r>
      </text>
    </comment>
    <comment ref="Q348" authorId="0" shapeId="0" xr:uid="{00000000-0006-0000-1000-00001E000000}">
      <text>
        <r>
          <rPr>
            <b/>
            <sz val="9"/>
            <color indexed="81"/>
            <rFont val="Tahoma"/>
            <family val="2"/>
          </rPr>
          <t>Asiyeh Nazeri:</t>
        </r>
        <r>
          <rPr>
            <sz val="9"/>
            <color indexed="81"/>
            <rFont val="Tahoma"/>
            <family val="2"/>
          </rPr>
          <t xml:space="preserve">
حفقظ قدرت خرید اشتباه ثبت شده
</t>
        </r>
      </text>
    </comment>
    <comment ref="V348" authorId="0" shapeId="0" xr:uid="{00000000-0006-0000-1000-00001F000000}">
      <text>
        <r>
          <rPr>
            <b/>
            <sz val="9"/>
            <color indexed="81"/>
            <rFont val="Tahoma"/>
            <family val="2"/>
          </rPr>
          <t>Asiyeh Nazeri:</t>
        </r>
        <r>
          <rPr>
            <sz val="9"/>
            <color indexed="81"/>
            <rFont val="Tahoma"/>
            <family val="2"/>
          </rPr>
          <t xml:space="preserve">
حفظ قدرت خرید اشتباه ثبت شده است
</t>
        </r>
      </text>
    </comment>
    <comment ref="W350" authorId="0" shapeId="0" xr:uid="{C5E6ECEB-E084-4267-91E3-134113338D12}">
      <text>
        <r>
          <rPr>
            <b/>
            <sz val="9"/>
            <color indexed="81"/>
            <rFont val="Tahoma"/>
            <family val="2"/>
          </rPr>
          <t>Asiyeh Nazeri:</t>
        </r>
        <r>
          <rPr>
            <sz val="9"/>
            <color indexed="81"/>
            <rFont val="Tahoma"/>
            <family val="2"/>
          </rPr>
          <t xml:space="preserve">
1086</t>
        </r>
      </text>
    </comment>
    <comment ref="W357" authorId="0" shapeId="0" xr:uid="{B9086E15-6B95-4423-9EB1-3E1D0CAD4E92}">
      <text>
        <r>
          <rPr>
            <b/>
            <sz val="9"/>
            <color indexed="81"/>
            <rFont val="Tahoma"/>
            <family val="2"/>
          </rPr>
          <t>Asiyeh Nazeri:</t>
        </r>
        <r>
          <rPr>
            <sz val="9"/>
            <color indexed="81"/>
            <rFont val="Tahoma"/>
            <family val="2"/>
          </rPr>
          <t xml:space="preserve">
3922
155</t>
        </r>
      </text>
    </comment>
    <comment ref="W362" authorId="0" shapeId="0" xr:uid="{D425FBE7-DFFF-4571-8735-9135FBE5C23A}">
      <text>
        <r>
          <rPr>
            <b/>
            <sz val="9"/>
            <color indexed="81"/>
            <rFont val="Tahoma"/>
            <family val="2"/>
          </rPr>
          <t>Asiyeh Nazeri:</t>
        </r>
        <r>
          <rPr>
            <sz val="9"/>
            <color indexed="81"/>
            <rFont val="Tahoma"/>
            <family val="2"/>
          </rPr>
          <t xml:space="preserve">
3922
</t>
        </r>
      </text>
    </comment>
    <comment ref="N377" authorId="0" shapeId="0" xr:uid="{2EDD4D23-2066-4960-B632-BDEFFEE174F5}">
      <text>
        <r>
          <rPr>
            <b/>
            <sz val="9"/>
            <color indexed="81"/>
            <rFont val="Tahoma"/>
            <family val="2"/>
          </rPr>
          <t>Asiyeh Nazeri:</t>
        </r>
        <r>
          <rPr>
            <sz val="9"/>
            <color indexed="81"/>
            <rFont val="Tahoma"/>
            <family val="2"/>
          </rPr>
          <t xml:space="preserve">
پيش پرداخت موجودي كالا
</t>
        </r>
      </text>
    </comment>
    <comment ref="V382" authorId="0" shapeId="0" xr:uid="{822D8E08-1D38-4114-A8C5-E0FDD5182014}">
      <text>
        <r>
          <rPr>
            <b/>
            <sz val="9"/>
            <color indexed="81"/>
            <rFont val="Tahoma"/>
            <family val="2"/>
          </rPr>
          <t>Asiyeh Nazeri:</t>
        </r>
        <r>
          <rPr>
            <sz val="9"/>
            <color indexed="81"/>
            <rFont val="Tahoma"/>
            <family val="2"/>
          </rPr>
          <t xml:space="preserve">
3726 صورت وضعیت منفی با پیش پرداخت</t>
        </r>
      </text>
    </comment>
    <comment ref="W382" authorId="0" shapeId="0" xr:uid="{F0922D83-B276-4484-AAFE-438911C61DEA}">
      <text>
        <r>
          <rPr>
            <b/>
            <sz val="9"/>
            <color indexed="81"/>
            <rFont val="Tahoma"/>
            <family val="2"/>
          </rPr>
          <t>Asiyeh Nazeri:</t>
        </r>
        <r>
          <rPr>
            <sz val="9"/>
            <color indexed="81"/>
            <rFont val="Tahoma"/>
            <family val="2"/>
          </rPr>
          <t xml:space="preserve">
3182</t>
        </r>
      </text>
    </comment>
    <comment ref="N406" authorId="0" shapeId="0" xr:uid="{51C4219D-A656-4A1B-A3E0-69690E94B222}">
      <text>
        <r>
          <rPr>
            <b/>
            <sz val="9"/>
            <color indexed="81"/>
            <rFont val="Tahoma"/>
            <family val="2"/>
          </rPr>
          <t>Asiyeh Nazeri:</t>
        </r>
        <r>
          <rPr>
            <sz val="9"/>
            <color indexed="81"/>
            <rFont val="Tahoma"/>
            <family val="2"/>
          </rPr>
          <t xml:space="preserve">
پيش پرداخت موجودي كالا
</t>
        </r>
      </text>
    </comment>
    <comment ref="N438" authorId="0" shapeId="0" xr:uid="{D7028B67-86FF-457C-88ED-C39760E36839}">
      <text>
        <r>
          <rPr>
            <b/>
            <sz val="9"/>
            <color indexed="81"/>
            <rFont val="Tahoma"/>
            <family val="2"/>
          </rPr>
          <t>Asiyeh Nazeri:</t>
        </r>
        <r>
          <rPr>
            <sz val="9"/>
            <color indexed="81"/>
            <rFont val="Tahoma"/>
            <family val="2"/>
          </rPr>
          <t xml:space="preserve">
پيش پرداخت موجودي كالا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75" authorId="0" shapeId="0" xr:uid="{23028FD6-3926-4642-9659-17078C338435}">
      <text>
        <r>
          <rPr>
            <b/>
            <sz val="9"/>
            <color indexed="81"/>
            <rFont val="Tahoma"/>
            <family val="2"/>
          </rPr>
          <t>Asiyeh Nazeri:</t>
        </r>
        <r>
          <rPr>
            <sz val="9"/>
            <color indexed="81"/>
            <rFont val="Tahoma"/>
            <family val="2"/>
          </rPr>
          <t xml:space="preserve">
ادغام با 375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B125" authorId="0" shapeId="0" xr:uid="{1B7271A0-C542-40B0-9AF7-77454CA250BF}">
      <text>
        <r>
          <rPr>
            <b/>
            <sz val="9"/>
            <color indexed="81"/>
            <rFont val="Tahoma"/>
            <family val="2"/>
          </rPr>
          <t>Asiyeh Nazeri:</t>
        </r>
        <r>
          <rPr>
            <sz val="9"/>
            <color indexed="81"/>
            <rFont val="Tahoma"/>
            <family val="2"/>
          </rPr>
          <t xml:space="preserve">
100
</t>
        </r>
      </text>
    </comment>
    <comment ref="B126" authorId="0" shapeId="0" xr:uid="{4BC4FAF1-F29C-4756-8EDC-FB848A6A80E0}">
      <text>
        <r>
          <rPr>
            <b/>
            <sz val="9"/>
            <color indexed="81"/>
            <rFont val="Tahoma"/>
            <family val="2"/>
          </rPr>
          <t>Asiyeh Nazeri:</t>
        </r>
        <r>
          <rPr>
            <sz val="9"/>
            <color indexed="81"/>
            <rFont val="Tahoma"/>
            <family val="2"/>
          </rPr>
          <t xml:space="preserve">
100
</t>
        </r>
      </text>
    </comment>
    <comment ref="B128" authorId="0" shapeId="0" xr:uid="{35650E6C-6D93-4999-86ED-4FFEA4C5BB70}">
      <text>
        <r>
          <rPr>
            <b/>
            <sz val="9"/>
            <color indexed="81"/>
            <rFont val="Tahoma"/>
            <family val="2"/>
          </rPr>
          <t>Asiyeh Nazeri:</t>
        </r>
        <r>
          <rPr>
            <sz val="9"/>
            <color indexed="81"/>
            <rFont val="Tahoma"/>
            <family val="2"/>
          </rPr>
          <t xml:space="preserve">
801
</t>
        </r>
      </text>
    </comment>
    <comment ref="B129" authorId="0" shapeId="0" xr:uid="{BB69818E-885B-422F-8B3F-744FF9043C3F}">
      <text>
        <r>
          <rPr>
            <b/>
            <sz val="9"/>
            <color indexed="81"/>
            <rFont val="Tahoma"/>
            <family val="2"/>
          </rPr>
          <t>Asiyeh Nazeri:</t>
        </r>
        <r>
          <rPr>
            <sz val="9"/>
            <color indexed="81"/>
            <rFont val="Tahoma"/>
            <family val="2"/>
          </rPr>
          <t xml:space="preserve">
801
</t>
        </r>
      </text>
    </comment>
    <comment ref="B131" authorId="0" shapeId="0" xr:uid="{DAF88676-09C0-4E01-B58A-E4CDE45131FA}">
      <text>
        <r>
          <rPr>
            <b/>
            <sz val="9"/>
            <color indexed="81"/>
            <rFont val="Tahoma"/>
            <family val="2"/>
          </rPr>
          <t>Asiyeh Nazeri:</t>
        </r>
        <r>
          <rPr>
            <sz val="9"/>
            <color indexed="81"/>
            <rFont val="Tahoma"/>
            <family val="2"/>
          </rPr>
          <t xml:space="preserve">
803
</t>
        </r>
      </text>
    </comment>
    <comment ref="B132" authorId="0" shapeId="0" xr:uid="{2B848869-6F38-4128-A491-A670E0B04BAD}">
      <text>
        <r>
          <rPr>
            <b/>
            <sz val="9"/>
            <color indexed="81"/>
            <rFont val="Tahoma"/>
            <family val="2"/>
          </rPr>
          <t>Asiyeh Nazeri:</t>
        </r>
        <r>
          <rPr>
            <sz val="9"/>
            <color indexed="81"/>
            <rFont val="Tahoma"/>
            <family val="2"/>
          </rPr>
          <t xml:space="preserve">
803
</t>
        </r>
      </text>
    </comment>
    <comment ref="B133" authorId="0" shapeId="0" xr:uid="{CFA67447-30D4-4932-843B-B0A80401EC15}">
      <text>
        <r>
          <rPr>
            <b/>
            <sz val="9"/>
            <color indexed="81"/>
            <rFont val="Tahoma"/>
            <family val="2"/>
          </rPr>
          <t>Asiyeh Nazeri:</t>
        </r>
        <r>
          <rPr>
            <sz val="9"/>
            <color indexed="81"/>
            <rFont val="Tahoma"/>
            <family val="2"/>
          </rPr>
          <t xml:space="preserve">
804
</t>
        </r>
      </text>
    </comment>
    <comment ref="B136" authorId="0" shapeId="0" xr:uid="{28C57869-19BE-401F-8F45-4E503165D662}">
      <text>
        <r>
          <rPr>
            <b/>
            <sz val="9"/>
            <color indexed="81"/>
            <rFont val="Tahoma"/>
            <family val="2"/>
          </rPr>
          <t>Asiyeh Nazeri:</t>
        </r>
        <r>
          <rPr>
            <sz val="9"/>
            <color indexed="81"/>
            <rFont val="Tahoma"/>
            <family val="2"/>
          </rPr>
          <t xml:space="preserve">
807</t>
        </r>
      </text>
    </comment>
    <comment ref="B137" authorId="0" shapeId="0" xr:uid="{25B38C64-9471-4F56-B938-BC8EE7E7712F}">
      <text>
        <r>
          <rPr>
            <b/>
            <sz val="9"/>
            <color indexed="81"/>
            <rFont val="Tahoma"/>
            <family val="2"/>
          </rPr>
          <t>Asiyeh Nazeri:</t>
        </r>
        <r>
          <rPr>
            <sz val="9"/>
            <color indexed="81"/>
            <rFont val="Tahoma"/>
            <family val="2"/>
          </rPr>
          <t xml:space="preserve">
807</t>
        </r>
      </text>
    </comment>
    <comment ref="B138" authorId="0" shapeId="0" xr:uid="{33F06537-4424-4FF3-8E16-BFD8DF55B1DD}">
      <text>
        <r>
          <rPr>
            <b/>
            <sz val="9"/>
            <color indexed="81"/>
            <rFont val="Tahoma"/>
            <family val="2"/>
          </rPr>
          <t>Asiyeh Nazeri:</t>
        </r>
        <r>
          <rPr>
            <sz val="9"/>
            <color indexed="81"/>
            <rFont val="Tahoma"/>
            <family val="2"/>
          </rPr>
          <t xml:space="preserve">
808</t>
        </r>
      </text>
    </comment>
    <comment ref="B139" authorId="0" shapeId="0" xr:uid="{7DEE002A-2F5C-47CD-A039-36FEBA82E2DC}">
      <text>
        <r>
          <rPr>
            <b/>
            <sz val="9"/>
            <color indexed="81"/>
            <rFont val="Tahoma"/>
            <family val="2"/>
          </rPr>
          <t>Asiyeh Nazeri:</t>
        </r>
        <r>
          <rPr>
            <sz val="9"/>
            <color indexed="81"/>
            <rFont val="Tahoma"/>
            <family val="2"/>
          </rPr>
          <t xml:space="preserve">
808</t>
        </r>
      </text>
    </comment>
    <comment ref="B140" authorId="0" shapeId="0" xr:uid="{682338A1-CC12-4399-9366-E8BBDD9712FC}">
      <text>
        <r>
          <rPr>
            <b/>
            <sz val="9"/>
            <color indexed="81"/>
            <rFont val="Tahoma"/>
            <family val="2"/>
          </rPr>
          <t>Asiyeh Nazeri:</t>
        </r>
        <r>
          <rPr>
            <sz val="9"/>
            <color indexed="81"/>
            <rFont val="Tahoma"/>
            <family val="2"/>
          </rPr>
          <t xml:space="preserve">
810</t>
        </r>
      </text>
    </comment>
    <comment ref="B141" authorId="0" shapeId="0" xr:uid="{BBE3DA45-25DF-42EC-9728-FF0EC8F01BDB}">
      <text>
        <r>
          <rPr>
            <b/>
            <sz val="9"/>
            <color indexed="81"/>
            <rFont val="Tahoma"/>
            <family val="2"/>
          </rPr>
          <t>Asiyeh Nazeri:</t>
        </r>
        <r>
          <rPr>
            <sz val="9"/>
            <color indexed="81"/>
            <rFont val="Tahoma"/>
            <family val="2"/>
          </rPr>
          <t xml:space="preserve">
811</t>
        </r>
      </text>
    </comment>
    <comment ref="B144" authorId="0" shapeId="0" xr:uid="{D67A967B-12E8-470D-A6F9-0B212C48F519}">
      <text>
        <r>
          <rPr>
            <b/>
            <sz val="9"/>
            <color indexed="81"/>
            <rFont val="Tahoma"/>
            <family val="2"/>
          </rPr>
          <t xml:space="preserve">Asiyeh Nazeri:800
</t>
        </r>
      </text>
    </comment>
    <comment ref="B145" authorId="0" shapeId="0" xr:uid="{67946C27-ED24-4663-A841-8FB1F0B93484}">
      <text>
        <r>
          <rPr>
            <b/>
            <sz val="9"/>
            <color indexed="81"/>
            <rFont val="Tahoma"/>
            <family val="2"/>
          </rPr>
          <t xml:space="preserve">Asiyeh Nazeri:800
</t>
        </r>
      </text>
    </comment>
    <comment ref="B154" authorId="0" shapeId="0" xr:uid="{00000000-0006-0000-1300-000001000000}">
      <text>
        <r>
          <rPr>
            <b/>
            <sz val="9"/>
            <color indexed="81"/>
            <rFont val="Tahoma"/>
            <family val="2"/>
          </rPr>
          <t>Asiyeh Nazeri:</t>
        </r>
        <r>
          <rPr>
            <sz val="9"/>
            <color indexed="81"/>
            <rFont val="Tahoma"/>
            <family val="2"/>
          </rPr>
          <t xml:space="preserve">
ادغام با 375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13" authorId="0" shapeId="0" xr:uid="{00000000-0006-0000-1400-000001000000}">
      <text>
        <r>
          <rPr>
            <b/>
            <sz val="9"/>
            <color indexed="81"/>
            <rFont val="Tahoma"/>
            <family val="2"/>
          </rPr>
          <t>Asiyeh Nazeri:</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Asiyeh Nazeri</author>
  </authors>
  <commentList>
    <comment ref="C144" authorId="0" shapeId="0" xr:uid="{00000000-0006-0000-1500-000001000000}">
      <text>
        <r>
          <rPr>
            <b/>
            <sz val="9"/>
            <color indexed="81"/>
            <rFont val="Tahoma"/>
            <family val="2"/>
          </rPr>
          <t>Asiyeh Nazeri:</t>
        </r>
        <r>
          <rPr>
            <sz val="9"/>
            <color indexed="81"/>
            <rFont val="Tahoma"/>
            <family val="2"/>
          </rPr>
          <t xml:space="preserve">
</t>
        </r>
      </text>
    </comment>
    <comment ref="P223" authorId="0" shapeId="0" xr:uid="{00000000-0006-0000-1500-000002000000}">
      <text>
        <r>
          <rPr>
            <b/>
            <sz val="9"/>
            <color indexed="81"/>
            <rFont val="Tahoma"/>
            <family val="2"/>
          </rPr>
          <t>Asiyeh Nazeri:</t>
        </r>
        <r>
          <rPr>
            <sz val="9"/>
            <color indexed="81"/>
            <rFont val="Tahoma"/>
            <family val="2"/>
          </rPr>
          <t xml:space="preserve">
عطف 1106 و سند 1111</t>
        </r>
      </text>
    </comment>
    <comment ref="P225" authorId="0" shapeId="0" xr:uid="{00000000-0006-0000-1500-000003000000}">
      <text>
        <r>
          <rPr>
            <b/>
            <sz val="9"/>
            <color indexed="81"/>
            <rFont val="Tahoma"/>
            <family val="2"/>
          </rPr>
          <t>Asiyeh Nazeri:</t>
        </r>
        <r>
          <rPr>
            <sz val="9"/>
            <color indexed="81"/>
            <rFont val="Tahoma"/>
            <family val="2"/>
          </rPr>
          <t xml:space="preserve">
041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<sst xmlns="http://schemas.openxmlformats.org/spreadsheetml/2006/main" count="9950" uniqueCount="2446">
  <si>
    <t>شركت  آب و فاضلاب استان  هرمزگان ( سهامي خاص )</t>
  </si>
  <si>
    <t>طرح هاي تملك دارايي هاي سرمايه اي</t>
  </si>
  <si>
    <t xml:space="preserve">مجمع عمومي عادي صاحبان سهام </t>
  </si>
  <si>
    <t>با سلام و احترام</t>
  </si>
  <si>
    <t>عنوان</t>
  </si>
  <si>
    <t>شماره صفحه</t>
  </si>
  <si>
    <t xml:space="preserve">                       فضل الله پاكيزه خو                                                                               امين قصمي</t>
  </si>
  <si>
    <t xml:space="preserve">صورت وضعيت مالي </t>
  </si>
  <si>
    <t>دارايي ها</t>
  </si>
  <si>
    <t>يادداشت</t>
  </si>
  <si>
    <t>1397/12/29</t>
  </si>
  <si>
    <t>1396/12/29</t>
  </si>
  <si>
    <t>بدهي ها و ارزش خالص</t>
  </si>
  <si>
    <t>ميليون ريال</t>
  </si>
  <si>
    <t>بدهي ها</t>
  </si>
  <si>
    <t>موجودي نقد</t>
  </si>
  <si>
    <t>موجودي ها</t>
  </si>
  <si>
    <t>جمع بدهي ها</t>
  </si>
  <si>
    <t>پيش پرداخت ها</t>
  </si>
  <si>
    <t>ارزش خالص</t>
  </si>
  <si>
    <t>دارايي هاي درجريان تكميل</t>
  </si>
  <si>
    <t>جمع دارايي ها</t>
  </si>
  <si>
    <t>جمع بدهي ها و ارزش خالص</t>
  </si>
  <si>
    <t>2</t>
  </si>
  <si>
    <t>شركت آب و فاضلاب استان هرمزگان (سهامي خاص)</t>
  </si>
  <si>
    <t xml:space="preserve">صورت تغييرات در وضعيت  مالي </t>
  </si>
  <si>
    <t>درآمدها</t>
  </si>
  <si>
    <t>جمع</t>
  </si>
  <si>
    <t>هزينه ها</t>
  </si>
  <si>
    <t>تسويه بدهي ها-اوراق تسويه خزانه</t>
  </si>
  <si>
    <t>-</t>
  </si>
  <si>
    <t>3</t>
  </si>
  <si>
    <t>شركت آب وفاضلاب استان هرمزگان (سهامي خاص)</t>
  </si>
  <si>
    <t>صورت مقايسه بودجه وعملكرد</t>
  </si>
  <si>
    <t>بودجه</t>
  </si>
  <si>
    <t xml:space="preserve">عملكرد بر مبناي قابل مقايسه </t>
  </si>
  <si>
    <t>تفاوت بودجه نهايي و عملكرد</t>
  </si>
  <si>
    <t>اوليه</t>
  </si>
  <si>
    <t>نهايي</t>
  </si>
  <si>
    <t xml:space="preserve">  منابع </t>
  </si>
  <si>
    <t xml:space="preserve">  جمع منابع</t>
  </si>
  <si>
    <t xml:space="preserve">  مصارف</t>
  </si>
  <si>
    <t xml:space="preserve">  جمع مصارف</t>
  </si>
  <si>
    <t>4</t>
  </si>
  <si>
    <t>شركت آب وفاضلاب استان هرمزگان(سهامي خاص)</t>
  </si>
  <si>
    <t xml:space="preserve">طرح هاي تملك دارايي هاي سرمايه اي </t>
  </si>
  <si>
    <t>يادداشت هاي توضيحي صورت هاي مالي</t>
  </si>
  <si>
    <t>1-1- تاريخچه</t>
  </si>
  <si>
    <t>1-2- فعاليت  اصلي</t>
  </si>
  <si>
    <t>1397</t>
  </si>
  <si>
    <t>نفر</t>
  </si>
  <si>
    <t xml:space="preserve">طرحهاي تملك داراييهاي سرمايه اي </t>
  </si>
  <si>
    <t>يادداشتهاي توضيحي صورتهاي مالي</t>
  </si>
  <si>
    <t xml:space="preserve">شماره طرح </t>
  </si>
  <si>
    <t xml:space="preserve">عنوان طرح </t>
  </si>
  <si>
    <t xml:space="preserve">نوع طرح </t>
  </si>
  <si>
    <t xml:space="preserve">كل برآورد اعتبار طرح </t>
  </si>
  <si>
    <t>تخصيص اعتبار سال جاري</t>
  </si>
  <si>
    <t>تعداد  پروژه</t>
  </si>
  <si>
    <t xml:space="preserve">سال     شروع </t>
  </si>
  <si>
    <t>پيش بيني سال خاتمه</t>
  </si>
  <si>
    <t>نحوه اجراي طرح</t>
  </si>
  <si>
    <t>دستگاه بهره بردار</t>
  </si>
  <si>
    <t>438ح1307002</t>
  </si>
  <si>
    <t>تكميل آبرساني به حاجي آباد</t>
  </si>
  <si>
    <t xml:space="preserve">پيماني </t>
  </si>
  <si>
    <t>596ح1307003</t>
  </si>
  <si>
    <t>تامين آب بندرلنگه ازطريق آبشيرينكن</t>
  </si>
  <si>
    <t>597ح1307003</t>
  </si>
  <si>
    <t>599ح1307002</t>
  </si>
  <si>
    <t xml:space="preserve">تامين آب شرب شهرهاي استان </t>
  </si>
  <si>
    <t>618ح1307003</t>
  </si>
  <si>
    <t xml:space="preserve">تامين آب دزك </t>
  </si>
  <si>
    <t>620ح1307002</t>
  </si>
  <si>
    <t>احداث خط انتقال آب سايت پهپاد نداجا درگارواندهو سيريك</t>
  </si>
  <si>
    <t>625ح1307002</t>
  </si>
  <si>
    <t xml:space="preserve">تامين آب روستاهاي شمال بندرعباس </t>
  </si>
  <si>
    <t>628ح1307002</t>
  </si>
  <si>
    <t xml:space="preserve">تكميل خط انتقال آب به مجتمع مسكوني امام علي (ع) سپاه دربندرعباس </t>
  </si>
  <si>
    <t>آبرساني به جاسك وبشاگرداز سدجگين</t>
  </si>
  <si>
    <t>غيرانتفاعي</t>
  </si>
  <si>
    <t>045ح1304011</t>
  </si>
  <si>
    <t>تامين آب شهرك صنعتي 1و2 بندرعباس وشهرك حمل ونقل</t>
  </si>
  <si>
    <t>ايجادتاسيسات فاضلاب بندرعباس</t>
  </si>
  <si>
    <t xml:space="preserve">ايجادتاسيسات فاضلاب شهررودان </t>
  </si>
  <si>
    <t>ايجادتاسيسات فاضلاب شهرميناب</t>
  </si>
  <si>
    <t xml:space="preserve">ايجاد تاسيسات فاضلاب جاسك </t>
  </si>
  <si>
    <t>بازسازي تاسيسات وخط آبرساني به بندرلنگه</t>
  </si>
  <si>
    <t>بازسازي وبهره برداري از تاسيسات آبرساني به شهرها(ابلاغي)</t>
  </si>
  <si>
    <t>019ح1503002</t>
  </si>
  <si>
    <t>323ح1503003</t>
  </si>
  <si>
    <t>اصلاح شبكه توزيع وخط انتقال آب هرمز</t>
  </si>
  <si>
    <t>344ح1503003</t>
  </si>
  <si>
    <t xml:space="preserve">احداث ايستگاه پمپاژ بندرعباس </t>
  </si>
  <si>
    <t>جمع نقل به صفحه بعد</t>
  </si>
  <si>
    <t>يادداشتهاي توضيحي صورت هاي مالي</t>
  </si>
  <si>
    <t>373ح1503003</t>
  </si>
  <si>
    <t xml:space="preserve">ترميم مخازن ذخيره آب شرب بندرعباس </t>
  </si>
  <si>
    <t>391ح1503003</t>
  </si>
  <si>
    <t>406ح1503003</t>
  </si>
  <si>
    <t>آبرساني ازخط محرم به دهستان فرامرزان</t>
  </si>
  <si>
    <t>407ح1503003</t>
  </si>
  <si>
    <t xml:space="preserve">احداث مخزن 1000 مترمكعبي شهر ميناب </t>
  </si>
  <si>
    <t>443ح1503003</t>
  </si>
  <si>
    <t>490ح1503003</t>
  </si>
  <si>
    <t>520ح1503003</t>
  </si>
  <si>
    <t xml:space="preserve">بهينه سازي سامانه توزيع آب شرب شهر بندرعباس </t>
  </si>
  <si>
    <t>534ح1503003</t>
  </si>
  <si>
    <t>توسعه وبازسازي شبكه آب جزيره ابوموسي</t>
  </si>
  <si>
    <t>559ح1503003</t>
  </si>
  <si>
    <t xml:space="preserve">طرح انتقال آب به شمال بندرعباس </t>
  </si>
  <si>
    <t>575ح1503003</t>
  </si>
  <si>
    <t>آبرساني به نيمه كار</t>
  </si>
  <si>
    <t>612ح1503003</t>
  </si>
  <si>
    <t xml:space="preserve">اجراي خط انتقال روستاهاي فرامرزان </t>
  </si>
  <si>
    <t>615ح1503003</t>
  </si>
  <si>
    <t xml:space="preserve">تكميل مخازن 10000 م م بندرعباس </t>
  </si>
  <si>
    <t>634ح1503003</t>
  </si>
  <si>
    <t>635ح1503003</t>
  </si>
  <si>
    <t xml:space="preserve">توسعه وبازسازي تاسيسات اب دشتي </t>
  </si>
  <si>
    <t>636ح1503003</t>
  </si>
  <si>
    <t>حفر وتجهيز چاه رويدر</t>
  </si>
  <si>
    <t xml:space="preserve">يادداشتهاي توضيحي صورت هاي مالي </t>
  </si>
  <si>
    <t>645ح1503003</t>
  </si>
  <si>
    <t xml:space="preserve">ترميم مخزن 1000 م م هنگام </t>
  </si>
  <si>
    <t>656ح1503003</t>
  </si>
  <si>
    <t>669ح1503003</t>
  </si>
  <si>
    <t xml:space="preserve">اجراي خط انتقال بستك وجناح از آبشيرينكن چارك </t>
  </si>
  <si>
    <t>كاهش هدر رفت آب شهري (ابلاغي)</t>
  </si>
  <si>
    <t>مديريت مصرف آب شهري(ابلاغي)</t>
  </si>
  <si>
    <t>169ح1502006</t>
  </si>
  <si>
    <t>ترميم وبازسازي مخزن 10000 م م جزيره لارك</t>
  </si>
  <si>
    <t xml:space="preserve">توليد وتوزيع آب جزاير استان </t>
  </si>
  <si>
    <t xml:space="preserve">توسعه وبازسازي تاسيسات آب شرب تنب بزرگ وكوچك </t>
  </si>
  <si>
    <t>توسعه شبكه وتاسيسات آب جزيره ابوموسي</t>
  </si>
  <si>
    <t xml:space="preserve">جمع كل </t>
  </si>
  <si>
    <t xml:space="preserve">اهداف كيفي </t>
  </si>
  <si>
    <t xml:space="preserve">اهداف كمي </t>
  </si>
  <si>
    <t xml:space="preserve"> درصد پيشرفت فيزيكي </t>
  </si>
  <si>
    <t xml:space="preserve">طبق موافقتنامه </t>
  </si>
  <si>
    <t xml:space="preserve">واقعي </t>
  </si>
  <si>
    <t>انحراف مساعد (نامساعد)</t>
  </si>
  <si>
    <t xml:space="preserve">تامين وانتقال آب </t>
  </si>
  <si>
    <t xml:space="preserve">تكميل خط انتقال آب به مجتمع مسكوني امام علي (ع) سپاه بندرعباس </t>
  </si>
  <si>
    <t xml:space="preserve">خريد تضميني آب </t>
  </si>
  <si>
    <t>جمع آوري فاضلاب بندرعباس</t>
  </si>
  <si>
    <t>افزايش جمعيت تحت پوشش تاسيسات فاضلاب</t>
  </si>
  <si>
    <t>جمع آوري فاضلاب رودان</t>
  </si>
  <si>
    <t xml:space="preserve">افزايش جمعيت تحت پوشش تاسيسات فاضلاب </t>
  </si>
  <si>
    <t xml:space="preserve">جمع آوري فاضلاب ميناب </t>
  </si>
  <si>
    <t>35</t>
  </si>
  <si>
    <t xml:space="preserve">تامين آب </t>
  </si>
  <si>
    <t xml:space="preserve">بازسازي خطوط انتقال وتاسيسات مرتبط </t>
  </si>
  <si>
    <t>بازسازي وبهره برداري از تاسيسات آبرساني به شهرها</t>
  </si>
  <si>
    <t>5</t>
  </si>
  <si>
    <t xml:space="preserve">كاهش هدر رفت آب شهري </t>
  </si>
  <si>
    <t>مديريت مصرف آب شهري</t>
  </si>
  <si>
    <t>243ح1502006</t>
  </si>
  <si>
    <t>336ح1502006</t>
  </si>
  <si>
    <t xml:space="preserve">شركت آب وفاضلاب استان هرمزگان </t>
  </si>
  <si>
    <t>1-4-3 - آخرین برآورد ازمخارج تکمیل هرطرح طبق موافقتنامه وجمع وجوه دریافتی به تفکیک منابع تامین اعتبار بشرح زیراست :</t>
  </si>
  <si>
    <t>598ح1307003</t>
  </si>
  <si>
    <t>428ح1503003</t>
  </si>
  <si>
    <t>453ح1503003</t>
  </si>
  <si>
    <t>533ح1503003</t>
  </si>
  <si>
    <t>535ح1503003</t>
  </si>
  <si>
    <t>616ح1503003</t>
  </si>
  <si>
    <t xml:space="preserve">احداث 9 كيلومتر خط انتقال آب ايستگاه پمپاژ ويك مخزن به حجم 2000 م م </t>
  </si>
  <si>
    <t>617ح1503003</t>
  </si>
  <si>
    <t xml:space="preserve">حفر وتجهيز يك حلقه چاه درمنطقه دزك </t>
  </si>
  <si>
    <t>618ح1503003</t>
  </si>
  <si>
    <t>احداث 10 كيلومتر خط انتقال تخت وقلعه قاضي</t>
  </si>
  <si>
    <t>619ح1503003</t>
  </si>
  <si>
    <t>اجراي 25 كيلومتر وحفر تجهيز يك حلقه چاه دربستك وجناح</t>
  </si>
  <si>
    <t>620ح1503003</t>
  </si>
  <si>
    <t>حفر وتجهيز يك حلقه چاه هشتبندي</t>
  </si>
  <si>
    <t>623ح1503003</t>
  </si>
  <si>
    <t>ارتقاي كيفي تصفيه خانه آب (تجهيز تصفيه خانه به بسترهاي كربن فعال وواحد ازن زني) دربندرعباس وخمير</t>
  </si>
  <si>
    <t>624ح1503003</t>
  </si>
  <si>
    <t xml:space="preserve">تكميل يك باب مخزن به حجم 10000 م م وترميم يك باب مخزن به حجم 30000 م م دربندرعباس </t>
  </si>
  <si>
    <t>منابع عمومي</t>
  </si>
  <si>
    <t>جمع نقل از صفحه قبل</t>
  </si>
  <si>
    <t>646ح1503003</t>
  </si>
  <si>
    <t>649ح1503003</t>
  </si>
  <si>
    <t xml:space="preserve">بازسازي تاسيسات خسارت ديده آب شهرهاي استان </t>
  </si>
  <si>
    <t>653ح1503003</t>
  </si>
  <si>
    <t>اصلاح وبازسازي واحد ازن زني تصفيه خانه آب بندرعباس در بندرعباس وخمير</t>
  </si>
  <si>
    <t>082ح1502006</t>
  </si>
  <si>
    <t>احداث مخزن 1000 م م آب ابوموسي</t>
  </si>
  <si>
    <t>170ح1502006</t>
  </si>
  <si>
    <t>ساير منابع</t>
  </si>
  <si>
    <t>اصلاح شبكه توزيع و خط انتقال آب هرمز</t>
  </si>
  <si>
    <t>توسعه و بازسازي تاسيسات آب دشتي</t>
  </si>
  <si>
    <t xml:space="preserve">جمع سایرمنابع </t>
  </si>
  <si>
    <t>(مبالغ به ميليون ريال)</t>
  </si>
  <si>
    <t>جمع كل</t>
  </si>
  <si>
    <t>شماره طرح</t>
  </si>
  <si>
    <t>عنوان طرح</t>
  </si>
  <si>
    <t xml:space="preserve">توسعه وبازسازي تاسيسات آب شهرهاي استان </t>
  </si>
  <si>
    <t>صورت هاي مالي  براساس استاندارد هاي حسابداري بخش عمومي در چارچوب دستورالعمل هاي حسابداري وزارت امور اقتصادي و دارايي  تهيه شده و در تاريخ           به تاييد مقامات زير رسيده است.</t>
  </si>
  <si>
    <t>560ح1307002</t>
  </si>
  <si>
    <t>طرح انتقال آب به شهرهاي جناح وروستاهاي حومه</t>
  </si>
  <si>
    <t>بازسازي وتعمير ايستگاه پمپاژ شهرجاسك</t>
  </si>
  <si>
    <t>آبرساني به جاسك ازسدجگين</t>
  </si>
  <si>
    <t>041ح1304011</t>
  </si>
  <si>
    <t xml:space="preserve">تامين آب شهركهاي صنعتي استان هرمزگان </t>
  </si>
  <si>
    <t>409ح1503003</t>
  </si>
  <si>
    <t xml:space="preserve">توسعه وبازسازي شبكه آب شهرهاي استان </t>
  </si>
  <si>
    <t>تكميل عمليات مخزن 5000 م م پارسيان</t>
  </si>
  <si>
    <t>468ح1503003</t>
  </si>
  <si>
    <t xml:space="preserve">تامين آب روستاهاي كهورستان </t>
  </si>
  <si>
    <t>توسعه شبكه وتاسيسات آب جزيره تنب بزرگ هرمزگان</t>
  </si>
  <si>
    <t>تكيل شبكه توزيع آب پايگاه نيروي دريايي جاسك</t>
  </si>
  <si>
    <t>139ح1502006</t>
  </si>
  <si>
    <t xml:space="preserve">توسعه وبازسازي شبكه آبشرب شهرستان ابوموسي </t>
  </si>
  <si>
    <t>095ح40909</t>
  </si>
  <si>
    <t>توليد توزيع راهبري وتامين آب جزاير</t>
  </si>
  <si>
    <t>386ح40902</t>
  </si>
  <si>
    <t>توسعه و بازسازي شبكه آبرساني شهرهاي استان</t>
  </si>
  <si>
    <t>ايجاد زيرساختهاي آب تعاوني مسكن مهر شهرها</t>
  </si>
  <si>
    <t>توسعه و بازسازي تاسيسات توليد و توزيع اب جزايرهنگام و لارک</t>
  </si>
  <si>
    <t>جمع منابع عمومي</t>
  </si>
  <si>
    <t>جمع ساير منابع</t>
  </si>
  <si>
    <t>ايجاد تاسيسات فاضلاب شهر بندرعباس</t>
  </si>
  <si>
    <t>آبرساني به جاسك از سد جگين</t>
  </si>
  <si>
    <t>046ح30602</t>
  </si>
  <si>
    <t>اصلاح شبکه 2 روستا درسطح شهرستان بستک</t>
  </si>
  <si>
    <t>اصلاح شبكه آب آشاميدني شهرهاي استان هرمزگان</t>
  </si>
  <si>
    <t>577ح40201</t>
  </si>
  <si>
    <t>آبرساني به بشاگرد از سدجگين</t>
  </si>
  <si>
    <t>طرح زير ساخت مسكن مهر (سهم دولت )</t>
  </si>
  <si>
    <t>491ح1503003</t>
  </si>
  <si>
    <t xml:space="preserve">بازسازي تاسيسات شبكه توزيع آب شهرهاي استان </t>
  </si>
  <si>
    <t xml:space="preserve">مسكن مهر سهم دولت </t>
  </si>
  <si>
    <t>081ح1502006</t>
  </si>
  <si>
    <t>احداث مخزن بتني تنب بزرگ وكوچك</t>
  </si>
  <si>
    <t>138ح1502006</t>
  </si>
  <si>
    <t>اجراي خط انتقال آب ازآبشيرينكن به مخازن جديد تنب بزرگ وكوچك</t>
  </si>
  <si>
    <t>364ح40902</t>
  </si>
  <si>
    <t>ايجاد زيرساختهاي آب وفاضلاب تعاونيهاي مسكن مهرجاسك</t>
  </si>
  <si>
    <t>363ح40902</t>
  </si>
  <si>
    <t>اجراي تاسيسات آب مركز آموزش خاتم الانبيا وآمادگاه سپاه امام سجاد</t>
  </si>
  <si>
    <t>001ح30602</t>
  </si>
  <si>
    <t>ترميم شبکه آب آشاميدني شهرها</t>
  </si>
  <si>
    <t>018ح40901</t>
  </si>
  <si>
    <t>مطالعه و طراحي شبكه فاضلاب شهرهاي استان</t>
  </si>
  <si>
    <t>020ح40901</t>
  </si>
  <si>
    <t>ايجادزيرساختهاي فاضلاب تعاوني هاي مسكن مهردرسطح استان</t>
  </si>
  <si>
    <t>352ح40902</t>
  </si>
  <si>
    <t>ايجاد زيرساخت هاي آب وفاضلاب تعاونيهاي مسكن مهردرسطح استان</t>
  </si>
  <si>
    <t>470ح40902</t>
  </si>
  <si>
    <t>492ح40902</t>
  </si>
  <si>
    <t>بازسازي تاسيسات ابي</t>
  </si>
  <si>
    <t xml:space="preserve"> سال مالي منتهي به 29 اسفند 1397 </t>
  </si>
  <si>
    <t>599ح1703002</t>
  </si>
  <si>
    <t>احداث شبكه وتصفيه خانه هرمز</t>
  </si>
  <si>
    <t>توسعه وبازسازي تاسيسات آبرساني به روستاهاي كهورستان خمير</t>
  </si>
  <si>
    <t>044ح30602</t>
  </si>
  <si>
    <t>414ح40201</t>
  </si>
  <si>
    <t>اصلاح خطوط انتقال آب در سطح استان</t>
  </si>
  <si>
    <t>258ح40902</t>
  </si>
  <si>
    <t>مرمت و بازسازي تصفيه خانه اب بندرعباس</t>
  </si>
  <si>
    <t>455ح40201</t>
  </si>
  <si>
    <t>احداث مخزن ذخيره 2000 متر مكعبي جهت آبشيرينكن بندرلنگه</t>
  </si>
  <si>
    <t>37</t>
  </si>
  <si>
    <t>38</t>
  </si>
  <si>
    <t>117ح40909</t>
  </si>
  <si>
    <t>توليد توزيع وراهبري آب درشهرستان ابوموسي</t>
  </si>
  <si>
    <t>39</t>
  </si>
  <si>
    <t>358ح40902</t>
  </si>
  <si>
    <t>توسعه وبازسازي شبكه آبرساني شهرهاي استان</t>
  </si>
  <si>
    <t>41</t>
  </si>
  <si>
    <t>041ح40909</t>
  </si>
  <si>
    <t>اصلاح وتوسعه شبكه آب شهرهاي استان</t>
  </si>
  <si>
    <t>43</t>
  </si>
  <si>
    <t>076ح40203</t>
  </si>
  <si>
    <t>آبرساني به شهربندرخمير (فازاول )</t>
  </si>
  <si>
    <t>44</t>
  </si>
  <si>
    <t>070ح30602</t>
  </si>
  <si>
    <t>اصلاح شبکه آب آشاميدني شهرها استان</t>
  </si>
  <si>
    <t>46</t>
  </si>
  <si>
    <t>16ح30602</t>
  </si>
  <si>
    <t>47</t>
  </si>
  <si>
    <t>042ح30602</t>
  </si>
  <si>
    <t>اصلاح و بازسازي خط انتقال بلوار امام خميني</t>
  </si>
  <si>
    <t>400ح40902</t>
  </si>
  <si>
    <t>تكميل مخزن 2000 متر مكعبي و تاسيسات آب شرب جزيره هرمز</t>
  </si>
  <si>
    <t>408ح40902</t>
  </si>
  <si>
    <t>435ح40902</t>
  </si>
  <si>
    <t>تامين آب شهرهاي داراي تنش آبي درسطح استان</t>
  </si>
  <si>
    <t>538ح40902</t>
  </si>
  <si>
    <t xml:space="preserve">توسعه و بازسازي تاسيسات تامين آب شرب شهري در سطح استان </t>
  </si>
  <si>
    <t>509ح1503003</t>
  </si>
  <si>
    <t>توسعه وبازسازي تاسيسات توزيع آب جزاير هنگام ولارك</t>
  </si>
  <si>
    <t>سايرمنابع</t>
  </si>
  <si>
    <t>شركت آب وفاضلاب استان هرمزگان (سهامي خاص )</t>
  </si>
  <si>
    <t xml:space="preserve">منابع عمومي </t>
  </si>
  <si>
    <t xml:space="preserve">پيش پرداخت سنواتي </t>
  </si>
  <si>
    <t>دارايي درجريان تكميل</t>
  </si>
  <si>
    <t>افزايش در سال جاري(فصل دوم)</t>
  </si>
  <si>
    <t>76ح40203</t>
  </si>
  <si>
    <t>274ح40902</t>
  </si>
  <si>
    <t>احداث 6كيلو متر خط جمع آوري چاهها در منطقه بوچير و حميران</t>
  </si>
  <si>
    <t>535ح40902</t>
  </si>
  <si>
    <t>تكميل شبكه توزيع آب پايگاه نيرو دريايي جاسك</t>
  </si>
  <si>
    <t>(يادداشت 7)</t>
  </si>
  <si>
    <t>(يادداشت2-13)</t>
  </si>
  <si>
    <t>(يادداشت8 )</t>
  </si>
  <si>
    <t xml:space="preserve">                     </t>
  </si>
  <si>
    <t>6- پيش پرداخت ها</t>
  </si>
  <si>
    <t>6-1</t>
  </si>
  <si>
    <t>6-2</t>
  </si>
  <si>
    <t>اضافات طي سال</t>
  </si>
  <si>
    <t>اصلاحات</t>
  </si>
  <si>
    <t>موجودي كالا</t>
  </si>
  <si>
    <t>خزانه</t>
  </si>
  <si>
    <t>ايجاد تاسيسات فاضلاب شهر رودان</t>
  </si>
  <si>
    <t>ايجاد تاسيسات فاضلاب شهر ميناب</t>
  </si>
  <si>
    <t>ايجاد تاسيسات فاضلاب شهر جاسك</t>
  </si>
  <si>
    <t>احداث مخزن 10000 متر مكعبي آب ابوموسي</t>
  </si>
  <si>
    <t>تكميل عمليات آبرساني به حاجي آباد</t>
  </si>
  <si>
    <t>احداث ايستگاه پمپاژ بندرعباس</t>
  </si>
  <si>
    <t>توسعه و بازسازي شكبه آبشرب شهرستان ابوموسي</t>
  </si>
  <si>
    <t>آبرساني به شهرهاي داراي تنش آبي</t>
  </si>
  <si>
    <t>041ح40201</t>
  </si>
  <si>
    <t>تامين آب شهركهاي صنعتي استان هرمزگان</t>
  </si>
  <si>
    <t>ايجادزيرساختهاي آب تعاوني هاي مسكن مهردرسطح استان</t>
  </si>
  <si>
    <t>احداث مخزن 1000 مترمكعبي شهر ميناب</t>
  </si>
  <si>
    <t>توسعه وبازسازي شبكه آبرساني به شهرهاي استان</t>
  </si>
  <si>
    <t>471ح40902</t>
  </si>
  <si>
    <t>اعتبار طرحهاي مربوط به سفرهاي رياست جمهوري</t>
  </si>
  <si>
    <t>توسعه و بازسازي تاسيسات آب شهرهاي استان</t>
  </si>
  <si>
    <t>بازسازي تاسيسات شبكه توزيع آب شهرهاي استان</t>
  </si>
  <si>
    <t>تامين آب شهرهاي استان 1</t>
  </si>
  <si>
    <t>اجراي خط انتقال روستاهاي فرامرزان</t>
  </si>
  <si>
    <t>اصلاح و بازسازي شبكه آبرساني شهرهاي استان</t>
  </si>
  <si>
    <t xml:space="preserve"> </t>
  </si>
  <si>
    <t xml:space="preserve">يادداشت هاي توضيحي صورت هاي مالي   </t>
  </si>
  <si>
    <t>(مبالغ به  ميليون ريال )</t>
  </si>
  <si>
    <t>افزايش در سال جاري</t>
  </si>
  <si>
    <t xml:space="preserve">انتقال به </t>
  </si>
  <si>
    <t xml:space="preserve">انتقال  از </t>
  </si>
  <si>
    <t>مانده پايان سال</t>
  </si>
  <si>
    <t>حسابها و اسنادپرداختني</t>
  </si>
  <si>
    <t>622ح1307002</t>
  </si>
  <si>
    <t>كمك به سايت آب شيرينكن راس ميداني هرمزگان</t>
  </si>
  <si>
    <t>1307002080</t>
  </si>
  <si>
    <t xml:space="preserve">كاهش دارايي از محل علي الحساب سنواتي </t>
  </si>
  <si>
    <t>احداث مخزن 500 م م حاجي آباد</t>
  </si>
  <si>
    <t xml:space="preserve">توسعه شبكه وتاسيسات آب جزيره ابوموسي </t>
  </si>
  <si>
    <t xml:space="preserve">بازسازي تاسيسات آبي </t>
  </si>
  <si>
    <t xml:space="preserve">اصلاح شبكه آب آشاميدني شهرهاي استان هرمزگان </t>
  </si>
  <si>
    <t xml:space="preserve">مديريت مصرف آب شهري </t>
  </si>
  <si>
    <t xml:space="preserve">توسعه وبازسازي تاسيسات تامين آب شرب شهري در سطح استان </t>
  </si>
  <si>
    <t xml:space="preserve">اعتبار طرحهاي مربوط به سفرهاي رياست جمهوري </t>
  </si>
  <si>
    <t xml:space="preserve">اصلاح خطوط انتقال آب در سطح استان </t>
  </si>
  <si>
    <t>آبرساني به شهر بندر خمير(فازاول )</t>
  </si>
  <si>
    <t>040ح30602</t>
  </si>
  <si>
    <t>اصلاح شبکه آب آشاميدني شهرهاي استان</t>
  </si>
  <si>
    <t>13ح40203</t>
  </si>
  <si>
    <t xml:space="preserve">تجهيز وبازسازي ايستگاه پمپاژ تصفيه خانه آب بندرعباس </t>
  </si>
  <si>
    <t>405ح1503003</t>
  </si>
  <si>
    <t xml:space="preserve">احداث مخزن 2000 م م شهر رودان </t>
  </si>
  <si>
    <t>625ح1503003</t>
  </si>
  <si>
    <t xml:space="preserve">تسويه بدهي  دولت به شهرداري هاي استان </t>
  </si>
  <si>
    <t>بازسازي مخازن سطح استان</t>
  </si>
  <si>
    <t>1503003008</t>
  </si>
  <si>
    <t>مديريت مصرف آب شهري-1</t>
  </si>
  <si>
    <t>640ح1503003</t>
  </si>
  <si>
    <t>بازسازي تاسيسات آب شهرهاي استان</t>
  </si>
  <si>
    <t>طرح بازسازي سامانه تامين و انتقال آب شرب شهر بستك</t>
  </si>
  <si>
    <t>اصلاح و باغزسازي شبكه آبرساني شهرهاي استان</t>
  </si>
  <si>
    <t>668ح1503005</t>
  </si>
  <si>
    <t>تكميل خط آبرساني از آبشيرين كن تا مخازن داماهي</t>
  </si>
  <si>
    <t>669ح1503006</t>
  </si>
  <si>
    <t>اجراي خط انتقال بستك و جناح از آبشيرينكن چارك</t>
  </si>
  <si>
    <t xml:space="preserve">ايجاد تاسيسات فاضلاب ميناب </t>
  </si>
  <si>
    <t xml:space="preserve">توسعه وبازسازي شبكه آبرساني به شهرهاي استان </t>
  </si>
  <si>
    <t xml:space="preserve">جمع سايرمنابع </t>
  </si>
  <si>
    <t>جمــــــــــــع كــــــــل</t>
  </si>
  <si>
    <t>(يادداشت5)</t>
  </si>
  <si>
    <t xml:space="preserve">فصول سرمايه گذاري </t>
  </si>
  <si>
    <t>سوم تا پنجم</t>
  </si>
  <si>
    <t>سپرده هاي پرداختني</t>
  </si>
  <si>
    <t>یادداشت</t>
  </si>
  <si>
    <t>مانده ابتدای سال</t>
  </si>
  <si>
    <t>جمع کل</t>
  </si>
  <si>
    <t>مانده پایان سال</t>
  </si>
  <si>
    <t>دژديس سپاهان</t>
  </si>
  <si>
    <t>كيوان جاويد جنوب</t>
  </si>
  <si>
    <t>مشاور ري آب</t>
  </si>
  <si>
    <t>مشاور پارس آب تدبير</t>
  </si>
  <si>
    <t>كامكارسازه جنوب</t>
  </si>
  <si>
    <t>عمران ترانشه هرمز</t>
  </si>
  <si>
    <t>طرح و كار هونام</t>
  </si>
  <si>
    <t>ره كوشا سراب</t>
  </si>
  <si>
    <t>ويلابناساحل</t>
  </si>
  <si>
    <t>آب صنعت نيكان</t>
  </si>
  <si>
    <t>ساخت گستر چهارمحال</t>
  </si>
  <si>
    <t>آزاد راه سازان ساحل</t>
  </si>
  <si>
    <t>آب پردازان بهار</t>
  </si>
  <si>
    <t>البرزميكروسيستم</t>
  </si>
  <si>
    <t>توان آزمايان</t>
  </si>
  <si>
    <t>سدر آب</t>
  </si>
  <si>
    <t>دزون</t>
  </si>
  <si>
    <t>زلال ايران</t>
  </si>
  <si>
    <t>ايستا سازه بندر</t>
  </si>
  <si>
    <t>بردو</t>
  </si>
  <si>
    <t>طرحهاي صنعتي راد نيرو</t>
  </si>
  <si>
    <t>تاسيساتي صنعتي كرمان هواساز</t>
  </si>
  <si>
    <t>مهاب قدس</t>
  </si>
  <si>
    <t>ژرف كار جم</t>
  </si>
  <si>
    <t>مياندشت مبنا</t>
  </si>
  <si>
    <t>كشتي سازي بحر گسترش</t>
  </si>
  <si>
    <t>رعد آب جنوب</t>
  </si>
  <si>
    <t>بیمه پرداختني</t>
  </si>
  <si>
    <t>مالیات پرداختني</t>
  </si>
  <si>
    <t xml:space="preserve">جمع </t>
  </si>
  <si>
    <t xml:space="preserve">آبرساني به شهرهاي داراي تنش آبي </t>
  </si>
  <si>
    <t>منبع</t>
  </si>
  <si>
    <t>منابع عمومی</t>
  </si>
  <si>
    <t>سایر منابع</t>
  </si>
  <si>
    <t>اوراق تسويه</t>
  </si>
  <si>
    <t>وجوه ارسالي به خزانه</t>
  </si>
  <si>
    <t>599ح1307003</t>
  </si>
  <si>
    <t xml:space="preserve">خريد تضميني آب(ابلاغي) </t>
  </si>
  <si>
    <t>آبرساني به شهرهاي داراي تنش آبي(ابلاغي)</t>
  </si>
  <si>
    <t xml:space="preserve">كاهش هدر رفت آب شهري(ابلاغي) </t>
  </si>
  <si>
    <t xml:space="preserve">زيرساخت مسكن مهر سهم دولت(ابلاغي) </t>
  </si>
  <si>
    <t>082ح40909</t>
  </si>
  <si>
    <t>027ح30602</t>
  </si>
  <si>
    <t>تجهيز وبازسازي ايستگاه پمپاژ تصفيه خانه آب بندرعباس</t>
  </si>
  <si>
    <t>طرحهاي مربوط به سفرهاي رياست جمهوري</t>
  </si>
  <si>
    <t>013ح40203</t>
  </si>
  <si>
    <t>اجراي خط انتقال غرب بندرعباس</t>
  </si>
  <si>
    <t>احداث 6 كيلومتر خط جمع آوري چاها در منطقه بوچيران و حميران</t>
  </si>
  <si>
    <t>126ح40201</t>
  </si>
  <si>
    <t>حفر و تجهيز يك حلقه چاه</t>
  </si>
  <si>
    <t>(يادداشت6)</t>
  </si>
  <si>
    <t>عنوان  طرح</t>
  </si>
  <si>
    <t>كل</t>
  </si>
  <si>
    <t>خريد تضميني آب</t>
  </si>
  <si>
    <t>ساير اقلام(4قلم)</t>
  </si>
  <si>
    <t xml:space="preserve">نام پيمانكار </t>
  </si>
  <si>
    <t>چجو</t>
  </si>
  <si>
    <t>دلتا نيروي گامرون</t>
  </si>
  <si>
    <t>13- سایردرآمدها(وجوه دریافتی از سایر منابع)</t>
  </si>
  <si>
    <t xml:space="preserve"> وجوه دريافتي از از محل منابع داخلي (دستگاه اجرايي) طي سال مالي به تفكيك هر طرح متشكل از اقلام ذيل است :</t>
  </si>
  <si>
    <t xml:space="preserve">(مبالغ به ميليون ریال) </t>
  </si>
  <si>
    <t>منابع داخلی دستگاه اجرایی</t>
  </si>
  <si>
    <t>1396</t>
  </si>
  <si>
    <t>(يادداشت 10)</t>
  </si>
  <si>
    <t>نام پیمانکار</t>
  </si>
  <si>
    <t>ازمحل منابع سال 1397</t>
  </si>
  <si>
    <t>ازمحل پيش پرداخت سنواتي</t>
  </si>
  <si>
    <t>راه وساختمان سازه سازان</t>
  </si>
  <si>
    <t>فیدارصنعت آبادیس</t>
  </si>
  <si>
    <t>صنعت محرك نگين</t>
  </si>
  <si>
    <t>شريف نادلنگه</t>
  </si>
  <si>
    <t>تصفيه آب البرز</t>
  </si>
  <si>
    <t>طرح هاي صنعتي رادنيرو</t>
  </si>
  <si>
    <t>آبگسترخليج فارس</t>
  </si>
  <si>
    <t>14- سایرهزینه ها مربوط به خريد تضميني آب و به تفكيك فروشندگان آب به شرح زير است:</t>
  </si>
  <si>
    <t>(يادداشت 3-15)</t>
  </si>
  <si>
    <t xml:space="preserve">جمع ساير منابع </t>
  </si>
  <si>
    <t xml:space="preserve">تضمين هاي دريافتي  </t>
  </si>
  <si>
    <t xml:space="preserve">كنترل منابع بودجه اي </t>
  </si>
  <si>
    <t xml:space="preserve">كنترل قراردادها </t>
  </si>
  <si>
    <t>15-1مانده تضمين هاي دريافتي به تفكيك  پيمانكاران به شرح زير مي باشد:</t>
  </si>
  <si>
    <t>(مبالغ به ريال)</t>
  </si>
  <si>
    <t>نوع تضمين</t>
  </si>
  <si>
    <t>تضمين</t>
  </si>
  <si>
    <t xml:space="preserve">سفته </t>
  </si>
  <si>
    <t>ضمانت نامه</t>
  </si>
  <si>
    <t>سند ملكي</t>
  </si>
  <si>
    <t>شايا</t>
  </si>
  <si>
    <t>مشاركت زلال ايران و توسعه خط لوله هامون</t>
  </si>
  <si>
    <t>مهندسي تارا</t>
  </si>
  <si>
    <t>كهن دژجرون</t>
  </si>
  <si>
    <t>سايبرصنعت</t>
  </si>
  <si>
    <t>تيراژه گامرون</t>
  </si>
  <si>
    <t>آبانگان صنعت -جوياب نو</t>
  </si>
  <si>
    <t>آذر شسته جنوب</t>
  </si>
  <si>
    <t>دنياپرداز كرمان</t>
  </si>
  <si>
    <t>برق بندر</t>
  </si>
  <si>
    <t>آداب سيرگان</t>
  </si>
  <si>
    <t>ساير اقلام ( 129 قلم )</t>
  </si>
  <si>
    <t xml:space="preserve"> سال مالي منتهي به 29 اسفند 1396 </t>
  </si>
  <si>
    <t>15-2مانده حساب انتظامي -كنترل منابع بودجه اي به تفكيك طرح ها  شرح زير مي باشد:</t>
  </si>
  <si>
    <t xml:space="preserve">شماره  طرح </t>
  </si>
  <si>
    <t xml:space="preserve">نام طرح </t>
  </si>
  <si>
    <t>تكميل خط انتقال آب به مجتمع مسكوني امام علي (ع) سپاه دربندرعباس</t>
  </si>
  <si>
    <t>635ح1503002</t>
  </si>
  <si>
    <t>6445ح1503003</t>
  </si>
  <si>
    <t>ترميم مخزن 1000مترمكعبي جزيره هنگام</t>
  </si>
  <si>
    <t>15-3مانده حساب انتظامي -كنترل قراردادها به تفكيك طرح ها  به شرح زير مي باشد:</t>
  </si>
  <si>
    <t>640ح1503002</t>
  </si>
  <si>
    <t>15-4مانده حساب انتظامي -علي الحساب بابت عمليات سرمايه اي به تفكيك طرح ها به شرح زير مي باشد:</t>
  </si>
  <si>
    <t>19ح40901</t>
  </si>
  <si>
    <t xml:space="preserve">اصلاح شبكه تصفيه خانه فاضلاب هرمز </t>
  </si>
  <si>
    <t>491ح40902</t>
  </si>
  <si>
    <t>ضمانت نامه بانکی</t>
  </si>
  <si>
    <t>وثیقه ملکی</t>
  </si>
  <si>
    <t>سفته</t>
  </si>
  <si>
    <t>فصول سرمايه گذاري به تفكيك منابع</t>
  </si>
  <si>
    <t>مصارف</t>
  </si>
  <si>
    <t>بودجه نهايي</t>
  </si>
  <si>
    <t>انحراف از بودجه</t>
  </si>
  <si>
    <t>اسنادخزانه اسلامی</t>
  </si>
  <si>
    <t>اوراق مشاركت</t>
  </si>
  <si>
    <t>جمع منابع</t>
  </si>
  <si>
    <t xml:space="preserve">عملکرد قطعی دارایی درجریان تکمیل </t>
  </si>
  <si>
    <t>هزينه</t>
  </si>
  <si>
    <t>افزايش</t>
  </si>
  <si>
    <t>كاهش</t>
  </si>
  <si>
    <t>منابع عمومي:</t>
  </si>
  <si>
    <t>فصل اول:ساختمان و مستحدثات</t>
  </si>
  <si>
    <t>فصل هفتم:حق الزحمه كاركنان وسايرداراييهاي توليد نشده</t>
  </si>
  <si>
    <t>عملکرد برمبنای قابل مقایسه</t>
  </si>
  <si>
    <t>سايرهزينه</t>
  </si>
  <si>
    <t>موجودي نقد ابتداي سال</t>
  </si>
  <si>
    <t xml:space="preserve">توسعه شبکه و تاسیسات آب جزیره ابوموسی </t>
  </si>
  <si>
    <t>تكميل خط انتقال آب به مجتمع مسكوني امام علي (,) سپاه دربندرعباس</t>
  </si>
  <si>
    <t>مبالغ به میلیون ریال</t>
  </si>
  <si>
    <t>ايجاد تعهدات</t>
  </si>
  <si>
    <t>جمع منابع  1397و متمم 1396</t>
  </si>
  <si>
    <t>جمع عملكردواقعي</t>
  </si>
  <si>
    <t>بودجه  اولیه</t>
  </si>
  <si>
    <t>بودجه نهایی</t>
  </si>
  <si>
    <t xml:space="preserve"> دارایی درجریان تکمیل </t>
  </si>
  <si>
    <t>تسويه تعهدات سنوات قبل</t>
  </si>
  <si>
    <t>(يادداشت7)</t>
  </si>
  <si>
    <t>(يادداشت 3)</t>
  </si>
  <si>
    <t>تعهدات پرداختني سنوات قبل</t>
  </si>
  <si>
    <t>جمع خودم</t>
  </si>
  <si>
    <t>(يادداشت1-6)</t>
  </si>
  <si>
    <t>توسعه و بازسازي تاسيسات آب شرب تنب بزرگ و کوچک</t>
  </si>
  <si>
    <t>طرح مطالعه آب روستاهاي كهورستان</t>
  </si>
  <si>
    <t xml:space="preserve">كاهش هدر رفت آب  شهري </t>
  </si>
  <si>
    <t>اصلاح بازسازي شبکه آبرساني شهرهاي استان</t>
  </si>
  <si>
    <t>300ح1503003</t>
  </si>
  <si>
    <t xml:space="preserve">توسعه و ايجادشبكه توزيع و تاسيسات آب آشاميدني شهري درسطح استان </t>
  </si>
  <si>
    <t>400ح1503003</t>
  </si>
  <si>
    <t>توسعه نواحي خاص</t>
  </si>
  <si>
    <t>100ح1502002</t>
  </si>
  <si>
    <t>تامين و انتقال آب شهرهاي استان</t>
  </si>
  <si>
    <t>209ح1307003</t>
  </si>
  <si>
    <t>تامين و انتقال آب شهرستان بندرعباس</t>
  </si>
  <si>
    <t>206ح1307003</t>
  </si>
  <si>
    <t>تامين وانتقال آب شهرستان خمير</t>
  </si>
  <si>
    <t>210ح1307003</t>
  </si>
  <si>
    <t>مشاور مهاب يزد</t>
  </si>
  <si>
    <t xml:space="preserve">توسعه و بازسازي تاسيسات آب دشتي </t>
  </si>
  <si>
    <t>ايجاد سامانه هاي آب تعاوني مسكن مهر در طولا 301</t>
  </si>
  <si>
    <t>301ح1503003</t>
  </si>
  <si>
    <t>215ح1307003</t>
  </si>
  <si>
    <t>تامين و انتقال آب شهرستان خمير</t>
  </si>
  <si>
    <t xml:space="preserve">تامين وانتقال آب شهرستان بندرعباس </t>
  </si>
  <si>
    <t>207ح1307003</t>
  </si>
  <si>
    <t xml:space="preserve">توسعه وايجاد شبكه توزيع وتاسيسات آب آشاميدني شهرهاي استان </t>
  </si>
  <si>
    <t xml:space="preserve">بازسازي واصلاح شبكه توزيع آب آشاميدني شهرهاي استان </t>
  </si>
  <si>
    <t>ايستگاه پمپاژوتاسيسات وابسته</t>
  </si>
  <si>
    <t xml:space="preserve">ترميم مخزن </t>
  </si>
  <si>
    <t>تامين وانتقال آب شهرهاي استان</t>
  </si>
  <si>
    <t>(يادداشت 2-10)</t>
  </si>
  <si>
    <t xml:space="preserve">    </t>
  </si>
  <si>
    <t>تراز کل حسابها:</t>
  </si>
  <si>
    <t>عنوان حساب</t>
  </si>
  <si>
    <t>بدهكار</t>
  </si>
  <si>
    <t>بستانكار</t>
  </si>
  <si>
    <t>حساب ها و اسناد دريافتني حاصل از عمليات مبادله اي</t>
  </si>
  <si>
    <t>دارايي هاي ثابت مشهود</t>
  </si>
  <si>
    <t>ساير بدهي هاي جاري</t>
  </si>
  <si>
    <t>ارزش خالص پايان دوره مالي</t>
  </si>
  <si>
    <t>بودجه واحد گزارشگر</t>
  </si>
  <si>
    <t>اعتبار مصوب</t>
  </si>
  <si>
    <t>اعتبار تخصيص يافته</t>
  </si>
  <si>
    <t>اعتبار ابلاغي</t>
  </si>
  <si>
    <t>اعتبار پرداخت هاي غير قطعي</t>
  </si>
  <si>
    <t>اعتبار مصرف شده</t>
  </si>
  <si>
    <t>حساب انتظامي - تضمين هاي دريافتي</t>
  </si>
  <si>
    <t>حساب  انتظامي _ كنترل قراردادها</t>
  </si>
  <si>
    <t>طرف حساب انتظامي - تضمين هاي دريافتي</t>
  </si>
  <si>
    <t>طرف حساب انتظامي _ كنترل قرارداد</t>
  </si>
  <si>
    <t xml:space="preserve">وجوه ارسالي به خزانه </t>
  </si>
  <si>
    <t xml:space="preserve">خريد تضميني آب استحصالي وپساب تصفيه شده ازبخش خصوصي </t>
  </si>
  <si>
    <t xml:space="preserve">ايجادتاسيسات فاضلاب شهر رودان </t>
  </si>
  <si>
    <t>(يادداشت3)</t>
  </si>
  <si>
    <t>(يادداشت1-8)</t>
  </si>
  <si>
    <t>پيش پرداخت بابت خريد تضميني آب</t>
  </si>
  <si>
    <t>6-3</t>
  </si>
  <si>
    <t xml:space="preserve">منابع </t>
  </si>
  <si>
    <t>آبرساني به جاسك و بشاگرد ازسدجگين</t>
  </si>
  <si>
    <t>آبگونه يزد</t>
  </si>
  <si>
    <t xml:space="preserve">ازمحل دارايي در جريان </t>
  </si>
  <si>
    <t>آبرساني به تک روستاها وتکميل مجتمع هاي آبرساني اولويت دارزوستاهي</t>
  </si>
  <si>
    <t>ايجاد تاسيسات فاضلاب روستاهاي داراي اولويت كشور</t>
  </si>
  <si>
    <t>كاهش هدر رفت آب و پايداري شبكه روستايي در سطح استان</t>
  </si>
  <si>
    <t>احداث و تكميل آبرساني تك روستايي شهرستان بشاگرد</t>
  </si>
  <si>
    <t>احداث و تكميل آبرساني تك روستايي شهرستان پارسيان</t>
  </si>
  <si>
    <t>احداث و تكميل آبرساني تك روستايي شهرستان حاجي آباد</t>
  </si>
  <si>
    <t>احداث و تكميل آبرساني تك روستايي شهرستان رودان</t>
  </si>
  <si>
    <t>احداث و تكميل آبرساني تك روستايي شهرستان قشم</t>
  </si>
  <si>
    <t>احداث و تكميل آبرساني تك روستايي شهرستان ميناب</t>
  </si>
  <si>
    <t>تامين آب شرب روستاها در سطح روستاهاي استان</t>
  </si>
  <si>
    <t>احداث و تكميل آبرساني تك روستايي شهرستان بستك</t>
  </si>
  <si>
    <t>آبرساني به شهر بندرعباس</t>
  </si>
  <si>
    <t xml:space="preserve">احداث وتكميل مجتمع هاي آبرساني روستاهي در سطح استان </t>
  </si>
  <si>
    <t>1503003006</t>
  </si>
  <si>
    <t>100ح1503003</t>
  </si>
  <si>
    <t>1503002008</t>
  </si>
  <si>
    <t>601ح1503003</t>
  </si>
  <si>
    <t>100ح1307002</t>
  </si>
  <si>
    <t>روستاهاي فاقد دهياري</t>
  </si>
  <si>
    <t>409022999</t>
  </si>
  <si>
    <t xml:space="preserve">انتقالي به </t>
  </si>
  <si>
    <t>ترميم وبازسازي مخزن 10000 مترمكعبي جزيره لارك</t>
  </si>
  <si>
    <t>تامين آب شرب شهر هاي استان</t>
  </si>
  <si>
    <t>تکميل شبکه توزيع آب پايگاه نيروي درياي جاسک</t>
  </si>
  <si>
    <t>مديريت مصرف آب شهري- 1</t>
  </si>
  <si>
    <t>احداث و تكميل آبرساني تك روستايي شهرستان بندرعباس</t>
  </si>
  <si>
    <t>انتقال، تامين آب و بازسازي شبكه آب آشاميدني روستاهاي بشاگرد</t>
  </si>
  <si>
    <t>803ح1503003</t>
  </si>
  <si>
    <t>805ح1503003</t>
  </si>
  <si>
    <t>807ح1503003</t>
  </si>
  <si>
    <t>808ح1503003</t>
  </si>
  <si>
    <t>810ح1503003</t>
  </si>
  <si>
    <t>811ح1503003</t>
  </si>
  <si>
    <t>901ح1503003</t>
  </si>
  <si>
    <t>800ح1503003</t>
  </si>
  <si>
    <t>448ح1503003</t>
  </si>
  <si>
    <t>احداث و تكميل آبرساني تك روستايي شهرستان بندرلنگه</t>
  </si>
  <si>
    <t>احداث و تكميل آبرساني تك روستايي شهرستان جاسك</t>
  </si>
  <si>
    <t>806ح1503003</t>
  </si>
  <si>
    <t>801ح1503003</t>
  </si>
  <si>
    <t>آبرساني سيار درسطح روستاهاي بحران زده سطح استان</t>
  </si>
  <si>
    <t>503ح1503003</t>
  </si>
  <si>
    <t>40902999</t>
  </si>
  <si>
    <t>آبرساني سيار در سطح روستاهاي بحران زده استان</t>
  </si>
  <si>
    <t>507ح1503003</t>
  </si>
  <si>
    <t>احداث و تكميل آبرساني تك روستايي شهرستان خمير</t>
  </si>
  <si>
    <t>802ح1503003</t>
  </si>
  <si>
    <t>804ح1503003</t>
  </si>
  <si>
    <t>806ح1503004</t>
  </si>
  <si>
    <t>توسعه و بازسازي تاسيسات آب شرب در سطح استان</t>
  </si>
  <si>
    <t>632ح1503003</t>
  </si>
  <si>
    <t>آبرساني به روستاهاي غرب جاسك از سدجگين</t>
  </si>
  <si>
    <t>436ح1503003</t>
  </si>
  <si>
    <t>گدار سازان بندر</t>
  </si>
  <si>
    <t>بتن پيام هرمز</t>
  </si>
  <si>
    <t>مهندسين مشاور پارس پژوه آب</t>
  </si>
  <si>
    <t>40901005</t>
  </si>
  <si>
    <t>40202126</t>
  </si>
  <si>
    <t>40201351</t>
  </si>
  <si>
    <t>سرخوان همگام قشم</t>
  </si>
  <si>
    <t>هرم ساخت آناهيد</t>
  </si>
  <si>
    <t>مهندسين مشاور مهر آب سپاهان</t>
  </si>
  <si>
    <t>آرتان برج هورشيد</t>
  </si>
  <si>
    <t>احداث وتكميل آبرساني تك روستايي شهرستان بستك</t>
  </si>
  <si>
    <t>احداث وتكميل آبرساني تك روستايي شهرستان بشاگرد</t>
  </si>
  <si>
    <t>احداث وتكميل آبرساني تك روستايي شهرستان خمير</t>
  </si>
  <si>
    <t>احداث وتكميل آبرساني تك روستايي شهرستان حاجي آباد</t>
  </si>
  <si>
    <t>احداث وتكميل آبرساني تك روستايي شهرستان قشم</t>
  </si>
  <si>
    <t>مجتمع آبرساني وتك روستايي اولويت دار</t>
  </si>
  <si>
    <t>382ح1503003</t>
  </si>
  <si>
    <t>422ح1503003</t>
  </si>
  <si>
    <t>416ح1503003</t>
  </si>
  <si>
    <t>آبرساني به روستاهاي سغ</t>
  </si>
  <si>
    <t>تامين آب آشاميدني روستاهاي بندرعباس</t>
  </si>
  <si>
    <t>تامين آب آشاميدني روستاهاي بندرلنگه</t>
  </si>
  <si>
    <t xml:space="preserve">تامين آب آشاميدني روستاهاي قشم </t>
  </si>
  <si>
    <t>420ح1503003</t>
  </si>
  <si>
    <t>آبرساني به روستاهاي سطح شهرستان بندرعباس</t>
  </si>
  <si>
    <t>آبرساني به روستاهاي سطح شهرستان ميناب</t>
  </si>
  <si>
    <t>565ح1503003</t>
  </si>
  <si>
    <t>216ح1503003</t>
  </si>
  <si>
    <t>احداث و تكميل آبرساني تك روستايي شهرستان سيريك</t>
  </si>
  <si>
    <t>809ح1503003</t>
  </si>
  <si>
    <t>تامين آب آشاميدني روستاها درسطح استان</t>
  </si>
  <si>
    <t>كاهش هدر رفت شبكه روستايي استان</t>
  </si>
  <si>
    <t>حفر و كف شكني چاهها در شهرستان بندرعباس</t>
  </si>
  <si>
    <t>تامين آب آشاميدني روستاي تلنگ</t>
  </si>
  <si>
    <t>تامين آب آشاميدني روستاهاي جاسک</t>
  </si>
  <si>
    <t>توسعه و باز سازي تاسيسات آب شرب شهرستان ميناب</t>
  </si>
  <si>
    <t>رفع کمبود آب شرب روستاهاي استان</t>
  </si>
  <si>
    <t xml:space="preserve">آبرساني به روستاهاي سغ </t>
  </si>
  <si>
    <t xml:space="preserve">آبرساني به شهركهاي مسكوني گنج وطاشكوئيه </t>
  </si>
  <si>
    <t>456ح1503003</t>
  </si>
  <si>
    <t>آبرساني به مجتمع روستايي ساحلي پارسيان</t>
  </si>
  <si>
    <t xml:space="preserve"> 393ح1503003</t>
  </si>
  <si>
    <t xml:space="preserve">آبرساني به روستاي آبيدكوهشاه </t>
  </si>
  <si>
    <t>501ح1503003</t>
  </si>
  <si>
    <t xml:space="preserve">رفع كمبود آب شرب روستاهاي بندرعباس </t>
  </si>
  <si>
    <t>311ح1503003</t>
  </si>
  <si>
    <t xml:space="preserve">تامين آب آشاميدني مجتمع راونگ سيريك </t>
  </si>
  <si>
    <t>472ح1503003</t>
  </si>
  <si>
    <t xml:space="preserve">تكميل مجتمع آبرساني خيرآبادوبرنطين </t>
  </si>
  <si>
    <t>647ح1503003</t>
  </si>
  <si>
    <t>توسعه وبازسازي شبكه هاي آبرساني رودان</t>
  </si>
  <si>
    <t xml:space="preserve"> 304ح1503003</t>
  </si>
  <si>
    <t xml:space="preserve">تامين آب شرب روستاهاي فتح الجميل </t>
  </si>
  <si>
    <t>462ح1503003</t>
  </si>
  <si>
    <t xml:space="preserve">آبرساني به چهارروستاي بشاگرد </t>
  </si>
  <si>
    <t>590ح1503003</t>
  </si>
  <si>
    <t>تامين آب آشاميدني روستاهاي بشاگرد</t>
  </si>
  <si>
    <t xml:space="preserve"> 424ح1503003</t>
  </si>
  <si>
    <t xml:space="preserve">تامين آب آشاميدني روستاهاي بندرعباس </t>
  </si>
  <si>
    <t>469ح1503003</t>
  </si>
  <si>
    <t>آبرساني به شهرك خليج فارس روستاي تنگ باغ</t>
  </si>
  <si>
    <t>آبرساني به روستاهاي توسعه نيافته شهرستان بشاگرد</t>
  </si>
  <si>
    <t>تامين آب آشاميدني روستاهاي سطح استان</t>
  </si>
  <si>
    <t xml:space="preserve"> 442ح1503003</t>
  </si>
  <si>
    <t xml:space="preserve">آبرساني به روستاهاي سطح استان </t>
  </si>
  <si>
    <t>494ح1503003</t>
  </si>
  <si>
    <t>641ح1503003</t>
  </si>
  <si>
    <t>349ح1503003</t>
  </si>
  <si>
    <t>آبرساني به مجتمع روستايي بندر مقام</t>
  </si>
  <si>
    <t>آبرساني و اجراي شبکه هاي بخش مرکزي قشم</t>
  </si>
  <si>
    <t>آبرساني به مجتمع پدل</t>
  </si>
  <si>
    <t>تامين آب شرب روستاي گازن بز</t>
  </si>
  <si>
    <t>آبرساني به روستاي سراح و جلالي</t>
  </si>
  <si>
    <t>آبرساني به 2 روستاي بستک</t>
  </si>
  <si>
    <t>تامين آب آشاميدني روستاهاي بندر خمير</t>
  </si>
  <si>
    <t>اصلاح تاسيسات آب شرب در سطح استان</t>
  </si>
  <si>
    <t>434ح1503003</t>
  </si>
  <si>
    <t xml:space="preserve">تامين آب آشاميدني روستاهاي رودان </t>
  </si>
  <si>
    <t>419ح1503003</t>
  </si>
  <si>
    <t xml:space="preserve">تامين آب آشاميدني روستاهاي بشاگرد </t>
  </si>
  <si>
    <t>580ح1503003</t>
  </si>
  <si>
    <t xml:space="preserve">تامين آب آشاميدني روستاهاي بندر لنگه </t>
  </si>
  <si>
    <t xml:space="preserve">تامين آب آشاميدني روستاهاي استان </t>
  </si>
  <si>
    <t>415ح1503003</t>
  </si>
  <si>
    <t xml:space="preserve">تکميل زير ساخت هاي تامين آب استان </t>
  </si>
  <si>
    <t>480ح1503003</t>
  </si>
  <si>
    <t>آبرساني به روستاهاي سطح استان (پوم)</t>
  </si>
  <si>
    <t>336ح1503003</t>
  </si>
  <si>
    <t>تامين آب آشاميدني روستاي ذرتو</t>
  </si>
  <si>
    <t xml:space="preserve"> 423ح1503003</t>
  </si>
  <si>
    <t>آبرساني و تامين آب روستاهاي سطح استان</t>
  </si>
  <si>
    <t xml:space="preserve"> 571ح1503003</t>
  </si>
  <si>
    <t xml:space="preserve">تامين آب اشاميدني روستاها </t>
  </si>
  <si>
    <t>680ح1503003</t>
  </si>
  <si>
    <t>675ح1503003</t>
  </si>
  <si>
    <t xml:space="preserve">توسعه و باز سازي تاسيسات آبشرب روستاهاي استان </t>
  </si>
  <si>
    <t>682ح1503003</t>
  </si>
  <si>
    <t>تجهيز چاهها و بهسازي چشمه هاي روستايي</t>
  </si>
  <si>
    <t>633ح1503003</t>
  </si>
  <si>
    <t xml:space="preserve">اصلاح تاسيسات آب روستاهاي سطح استان </t>
  </si>
  <si>
    <t>629ح1503003</t>
  </si>
  <si>
    <t xml:space="preserve">تامين آب آشاميدني روستاهاي سطح استان </t>
  </si>
  <si>
    <t>643ح1503003</t>
  </si>
  <si>
    <t xml:space="preserve">تامين آب آشاميدني روستاهاي بحران زده بندرعباس </t>
  </si>
  <si>
    <t>658ح1503003</t>
  </si>
  <si>
    <t xml:space="preserve">حفر و تجهيز چاه ها و بهسازي چشمه هاي روستايي شهرستان ميناب </t>
  </si>
  <si>
    <t>665ح1503003</t>
  </si>
  <si>
    <t xml:space="preserve">خريد تضميني آب استحصالي و پس آب تصفيه شده بخش غير دولتي </t>
  </si>
  <si>
    <t>724ح1503003</t>
  </si>
  <si>
    <t>آبرساني به روستاهاي سطح استان</t>
  </si>
  <si>
    <t xml:space="preserve">اجراي شبكه هاي داخلي در سطح استان </t>
  </si>
  <si>
    <t>آبرساني به مجتمع هاي روستايي شهرستان پارسيان</t>
  </si>
  <si>
    <t xml:space="preserve">تامين آب آشاميدني روستاي كوه لهره </t>
  </si>
  <si>
    <t>504ح1503003</t>
  </si>
  <si>
    <t xml:space="preserve">تامين آب آشاميدني روستاهاي بحران زده </t>
  </si>
  <si>
    <t>630ح1503003</t>
  </si>
  <si>
    <t xml:space="preserve">آبرساني به روستاي امام توكهور </t>
  </si>
  <si>
    <t>493ح1503003</t>
  </si>
  <si>
    <t xml:space="preserve">بازسازي تاسيسات آب شرب روستاهاي استان </t>
  </si>
  <si>
    <t>639ح1503003</t>
  </si>
  <si>
    <t xml:space="preserve">ايجادواصلاح تاسيسات آب شرب روستاها </t>
  </si>
  <si>
    <t>570ح1503003</t>
  </si>
  <si>
    <t xml:space="preserve">اصلاح وبازسازي تاسيسات آب شرب روستاهاي استان </t>
  </si>
  <si>
    <t>527ح1503003</t>
  </si>
  <si>
    <t xml:space="preserve">تكميل شبكه آب روستاي چاه دزدان </t>
  </si>
  <si>
    <t>588ح1503003</t>
  </si>
  <si>
    <t xml:space="preserve">توسعه وبازسازي شبكه هاي آبشرب روستاهاي سطح استان </t>
  </si>
  <si>
    <t>523ح1503003</t>
  </si>
  <si>
    <t xml:space="preserve">تامين آب آشاميدني كنارجو </t>
  </si>
  <si>
    <t>525ح1503003</t>
  </si>
  <si>
    <t xml:space="preserve">تامين آب آشاميدني روستاهاي سطح شهرستان بشاگرد </t>
  </si>
  <si>
    <t>413ح1503003</t>
  </si>
  <si>
    <t xml:space="preserve">اصلاح تاسيسات آب مجتمع هاي روستايي </t>
  </si>
  <si>
    <t>563ح1503003</t>
  </si>
  <si>
    <t>584ح1503003</t>
  </si>
  <si>
    <t xml:space="preserve">تامين آب آشاميدني روستاهاي ميان هنزيران </t>
  </si>
  <si>
    <t>587ح1503003</t>
  </si>
  <si>
    <t>626ح1503003</t>
  </si>
  <si>
    <t>جمع  نقل به صفحه بعد</t>
  </si>
  <si>
    <t>679ح1503003</t>
  </si>
  <si>
    <t>667ح1503003</t>
  </si>
  <si>
    <t>392ح1503003</t>
  </si>
  <si>
    <t>152ح1503003</t>
  </si>
  <si>
    <t>512ح1503003</t>
  </si>
  <si>
    <t>294ح1503003</t>
  </si>
  <si>
    <t>496ح1503003</t>
  </si>
  <si>
    <t>500ح1503003</t>
  </si>
  <si>
    <t>383ح1503003</t>
  </si>
  <si>
    <t>414ح1503003</t>
  </si>
  <si>
    <t>631ح1503003</t>
  </si>
  <si>
    <t>673ح1503003</t>
  </si>
  <si>
    <t>404ح1503003</t>
  </si>
  <si>
    <t>417ح1503003</t>
  </si>
  <si>
    <t>458ح1503003</t>
  </si>
  <si>
    <t>355ح1503003</t>
  </si>
  <si>
    <t>459ح1503003</t>
  </si>
  <si>
    <t>292ح1503003</t>
  </si>
  <si>
    <t>460ح1503003</t>
  </si>
  <si>
    <t>900ح1503003</t>
  </si>
  <si>
    <t>600ح1503003</t>
  </si>
  <si>
    <t>664ح1503003</t>
  </si>
  <si>
    <t>تامين و انتقال آب شهرهستان بندرلنگه</t>
  </si>
  <si>
    <t>602ح1503003</t>
  </si>
  <si>
    <t>بازسازي و تاسيسات خسارت ديده آبرساني در سطح استان</t>
  </si>
  <si>
    <t>احداث وتكميل مجتمع هاي آبرساني روستايي درسطح استان</t>
  </si>
  <si>
    <t xml:space="preserve">بازسازي تاسيسات خسارت ديده آبرساني درسطح استان </t>
  </si>
  <si>
    <t>احداث وتكميل آبرساني تك روستايي شهرستان بندرعباس</t>
  </si>
  <si>
    <t>احداث وتكميل آبرساني تك روستايي شهرستان بندرلنگه</t>
  </si>
  <si>
    <t>احداث وتكميل آبرساني تك روستايي شهرستان پارسيان</t>
  </si>
  <si>
    <t>احداث وتكميل آبرساني تك روستايي شهرستان جاسك</t>
  </si>
  <si>
    <t>احداث وتكميل آبرساني تك روستايي شهرستان رودان</t>
  </si>
  <si>
    <t xml:space="preserve">احداث وتكميل آبرساني تك روستايي شهرستان ميناب </t>
  </si>
  <si>
    <t xml:space="preserve">ايجاد شبكه توزيع آب آشاميدني روستايي </t>
  </si>
  <si>
    <t>تعداد روستا تحت پوشش آبرساني سيار</t>
  </si>
  <si>
    <t>ايجاد شبكه توزيع آب آشاميدني  خط انتقال</t>
  </si>
  <si>
    <t>آبرساني به روستاها</t>
  </si>
  <si>
    <t>جمع منابع عمومي نقل از صفحه قبل</t>
  </si>
  <si>
    <t>سرمايه گذاري در شركت ها</t>
  </si>
  <si>
    <t>مطالبات بلند مدت دولت</t>
  </si>
  <si>
    <t>انتقال وجوه دريافتي از محل منابع داخلي به حساب هاي پرداختني غير مبادله اي</t>
  </si>
  <si>
    <t>049ح40909</t>
  </si>
  <si>
    <t>تامين وتوزيع آب جزاير جنوب</t>
  </si>
  <si>
    <t>286ح40902</t>
  </si>
  <si>
    <t>اصلاح شبكه آب شهر جناح</t>
  </si>
  <si>
    <t>329ح40902</t>
  </si>
  <si>
    <t>رفع كمبود آبشرب فارغان</t>
  </si>
  <si>
    <t>269ح40902</t>
  </si>
  <si>
    <t>008ح31005</t>
  </si>
  <si>
    <t>تامين و توزيع آب جزاير جنوب</t>
  </si>
  <si>
    <t>027ح40203</t>
  </si>
  <si>
    <t>راهبري آب شيرينكن هاي بندرلنگه وبندركنگ</t>
  </si>
  <si>
    <t>077ح40203</t>
  </si>
  <si>
    <t>آبرساني به شهر رودان</t>
  </si>
  <si>
    <t>014ح40203</t>
  </si>
  <si>
    <t>راهبري آب شيرينكن هاي بندرلنگه</t>
  </si>
  <si>
    <t>096ح40201</t>
  </si>
  <si>
    <t>تامين آب آشاميدني سه شهر در سطح استان</t>
  </si>
  <si>
    <t>003ح30703</t>
  </si>
  <si>
    <t>بازسازي تاسيسات آب آشاميدني روستاها</t>
  </si>
  <si>
    <t>031ح30602</t>
  </si>
  <si>
    <t>احداث ايستگاه پمپاژ جهت تامين آب روستاهاي ابتداي خط انتقال كهورستان - خمير</t>
  </si>
  <si>
    <t>008ح30602</t>
  </si>
  <si>
    <t>حفر و تجهيز يک حلقه چاه درگاوبندي</t>
  </si>
  <si>
    <t>077ح30602</t>
  </si>
  <si>
    <t>اصلاح شبکه هاي آب آشاميدني تبصره 19</t>
  </si>
  <si>
    <t>052ح30602</t>
  </si>
  <si>
    <t>مرمت و بازسازي شبکه هاي توزيع آب شهري (بطول 10 کيلومتر)</t>
  </si>
  <si>
    <t>048ح30602</t>
  </si>
  <si>
    <t>مرمت و بازسازي شبکه آب شهر بندرعباس</t>
  </si>
  <si>
    <t>034ح30602</t>
  </si>
  <si>
    <t>حفروتجهيزوكف شكني 12حلقه چاه درسطح استان</t>
  </si>
  <si>
    <t>072ح30602</t>
  </si>
  <si>
    <t>توسعه شبكه آب آشاميدني شهرهاي استان</t>
  </si>
  <si>
    <t>015ح30602</t>
  </si>
  <si>
    <t>طرح اصلاح شبكه توزيع آب شهرهاي استان</t>
  </si>
  <si>
    <t>035ح30703</t>
  </si>
  <si>
    <t>آبرساني به روستاي دهنو</t>
  </si>
  <si>
    <t>طرح عمران جزايرابوموسي تنب بزرگ وكوچك</t>
  </si>
  <si>
    <t>405ح40902</t>
  </si>
  <si>
    <t>احداث مخزن 2000 مترمكعبي شهر رودان</t>
  </si>
  <si>
    <t>169ح40909</t>
  </si>
  <si>
    <t>560ح40201</t>
  </si>
  <si>
    <t>465ح40902</t>
  </si>
  <si>
    <t>ترميم مخزن 1000 متر مكعبي جزيره هنگام</t>
  </si>
  <si>
    <t>468ح40902</t>
  </si>
  <si>
    <t>طرح بازسازي سامانه هاي توزيع آب شرب شهر بستك</t>
  </si>
  <si>
    <t>473ح40901</t>
  </si>
  <si>
    <t>اجراي تاسيسات فاضلاب شهر درگهان</t>
  </si>
  <si>
    <t>495ح40902</t>
  </si>
  <si>
    <t>بازسازي تاسيسات توزيع اب شهر جاسک</t>
  </si>
  <si>
    <t>607ح40201</t>
  </si>
  <si>
    <t>خريد وتجهيز يك حلقه چاه</t>
  </si>
  <si>
    <t>آبرساني به شهرك بسيجيان</t>
  </si>
  <si>
    <t>بازسازي و افزايش ظرفيت ايستگاه پمپاژ بندرلنگه (4000متر مكعب در روز)</t>
  </si>
  <si>
    <t>حفر وتجهيز يک حلقه چاه درسطح استان</t>
  </si>
  <si>
    <t>اجراي خط انتقال غرب بندر عباس</t>
  </si>
  <si>
    <t>اجراي خط انتقال آب از آبشيرينكن به مخازن جديد تنب بزرگ و كوچك</t>
  </si>
  <si>
    <t>413ح40201</t>
  </si>
  <si>
    <t>131ح40201</t>
  </si>
  <si>
    <t>11- سایر بدهی ها</t>
  </si>
  <si>
    <t>برگشت بهاي دارايي هاي انتقالي به دستگاه بهره بردار طي سال هاي 94 تا 98</t>
  </si>
  <si>
    <t>وجوه دريافتي بابت طرح هاي غير انتفاعي (به طرفيت سرمايه گذاري در شركت ها)</t>
  </si>
  <si>
    <t>وجوه دريافتي بابت طرح هاي انتفاعي (به طرفيت مطالبات بلند مدت دولت)</t>
  </si>
  <si>
    <t>حسابهاي پرداختني غير مبادله اي</t>
  </si>
  <si>
    <t>سرمايه گذاري ها</t>
  </si>
  <si>
    <t>نقل به صفحه بعد</t>
  </si>
  <si>
    <t>(ادامه يادداشت 7)</t>
  </si>
  <si>
    <t>10-1</t>
  </si>
  <si>
    <t>10-2</t>
  </si>
  <si>
    <t>(يادداشت17)</t>
  </si>
  <si>
    <t>نقل و انتقالات</t>
  </si>
  <si>
    <t>انتقال تعهدات به جاري</t>
  </si>
  <si>
    <t>تعديلات</t>
  </si>
  <si>
    <t>آبرساني به تک روستاها وتکميل مجتمع هاي آبرساني اولويت دارروستاهي</t>
  </si>
  <si>
    <t>تسويه شده طي سال</t>
  </si>
  <si>
    <t>(ادامه يادداشت 1-9)</t>
  </si>
  <si>
    <t>بستانکار</t>
  </si>
  <si>
    <t>بدهکار</t>
  </si>
  <si>
    <t>سپرده های مکسوره</t>
  </si>
  <si>
    <t>آزاد سازی سپرده</t>
  </si>
  <si>
    <t>10224056</t>
  </si>
  <si>
    <t>اصلاح و بازسازي شبکه آبرساني شهرهاي استان</t>
  </si>
  <si>
    <t>کاهش آب بحساب نيامده _ کاهش هدر رفت آب شهري</t>
  </si>
  <si>
    <t>پيش پرداخت موجودي  كالا</t>
  </si>
  <si>
    <t>پيش پرداخت موجودي كالاي تحويلي به پيمانكاران</t>
  </si>
  <si>
    <t>سازمان تامین اجتماعی- بیمه پرداختنی</t>
  </si>
  <si>
    <t>مالیات پرداختنی</t>
  </si>
  <si>
    <t>11-1</t>
  </si>
  <si>
    <t>11-2</t>
  </si>
  <si>
    <t>بدهی بابت وجه الضمان</t>
  </si>
  <si>
    <t>احداث منبع آب روستایی مغدان</t>
  </si>
  <si>
    <t>ماليات پرداختني</t>
  </si>
  <si>
    <t>پيش پرداخت</t>
  </si>
  <si>
    <t>مانده ارزش خالص در 1398/12/29</t>
  </si>
  <si>
    <t xml:space="preserve">آبرساني و تامين آب  روستاهاي سطح استان </t>
  </si>
  <si>
    <t xml:space="preserve">بازسازي تاسيسات و خط آبرساني به بندرلنگه </t>
  </si>
  <si>
    <t>مطالبات بلند مدت  دولت</t>
  </si>
  <si>
    <t>سرمايه گذاري درشرکت ها</t>
  </si>
  <si>
    <t>(يادداشت9)</t>
  </si>
  <si>
    <t>ساير</t>
  </si>
  <si>
    <t>اصلاحی ارزش خالص</t>
  </si>
  <si>
    <t>628ح1503003</t>
  </si>
  <si>
    <t>(يادداشت8)</t>
  </si>
  <si>
    <t>جمع منابع عمومی</t>
  </si>
  <si>
    <t>جمع سایر منابع</t>
  </si>
  <si>
    <t>منابع داخلي</t>
  </si>
  <si>
    <t>افزایش</t>
  </si>
  <si>
    <t>کاهش</t>
  </si>
  <si>
    <t>بدهی به خزانه بابت وجه الضمان</t>
  </si>
  <si>
    <t xml:space="preserve">منابع داخلي </t>
  </si>
  <si>
    <t>تامين و انتقال آب در سطح استان</t>
  </si>
  <si>
    <t>توسعه شبکه و تاسيسات آب جزيره ابوموسي</t>
  </si>
  <si>
    <t>تامين آب بندرلنگه از طريق آبشيرينکن</t>
  </si>
  <si>
    <t>احداث 10کيلو متر خط انتقال تخت و قلعه قاضي</t>
  </si>
  <si>
    <t>توليد ، توزيع ، راهبري وتامين آب جزاير استان</t>
  </si>
  <si>
    <t>ارتقاي کيفي تصفيه خانه آب(تجهيز تصفيه خانه به بسترهاي کربن فعال وواحد ازن زني)در بندرعباس و خمير</t>
  </si>
  <si>
    <t>توسعه وبازسازي تاسيسات آبرساني به روستاهاي كهورستان بندرخمير</t>
  </si>
  <si>
    <t>تکميل مخازن 10000 متر مکعبي بندرعباس</t>
  </si>
  <si>
    <t>بازسازي تاسيسات آب شهرهاي استان 1</t>
  </si>
  <si>
    <t>احداث مخزن آب بتني تنب بزرگ وكوچك</t>
  </si>
  <si>
    <t>تامين آب روستاهاي شمال بندرعباس</t>
  </si>
  <si>
    <t>حفر و تجهيز يک حلقه چاه در منطقه دزک</t>
  </si>
  <si>
    <t>آبرساني به نيمه کار</t>
  </si>
  <si>
    <t>احداث شبكه تصفيه خانه فاضلاب هرمز</t>
  </si>
  <si>
    <t>تامين آب آشاميدني روستاهاي بحران زده بندرعباس</t>
  </si>
  <si>
    <t xml:space="preserve"> 658ح1503003</t>
  </si>
  <si>
    <t>احداث مخزن 500 مترمكعبي حاجي آباد</t>
  </si>
  <si>
    <t>40902ح453</t>
  </si>
  <si>
    <t>اصلاح تاسيسات آب روستاهاي سطح استان</t>
  </si>
  <si>
    <t xml:space="preserve"> 629ح1503003</t>
  </si>
  <si>
    <t>442ح1503003</t>
  </si>
  <si>
    <t>(يادداشت1-11)</t>
  </si>
  <si>
    <t xml:space="preserve"> سایر منابع</t>
  </si>
  <si>
    <t>جمع سایر منابع نقل به صفحه بعد</t>
  </si>
  <si>
    <t>جمع منابع عمومی نقل از صفحه قبل</t>
  </si>
  <si>
    <t>-10-1-1</t>
  </si>
  <si>
    <t>900ح153003</t>
  </si>
  <si>
    <t>428ح40902</t>
  </si>
  <si>
    <t>615ح40902</t>
  </si>
  <si>
    <t>448ح15030036</t>
  </si>
  <si>
    <t>1503003ح301</t>
  </si>
  <si>
    <t>625ح40201</t>
  </si>
  <si>
    <t>575ح40902</t>
  </si>
  <si>
    <t>391ح40902</t>
  </si>
  <si>
    <t>631ح153003</t>
  </si>
  <si>
    <t>019ح40901</t>
  </si>
  <si>
    <t>بيمه</t>
  </si>
  <si>
    <t>پرداخت به خزانه بابت وجه الضمان</t>
  </si>
  <si>
    <t>سایر بدهی ها</t>
  </si>
  <si>
    <t xml:space="preserve">  دريافتي ازمحل ساير منابع بابت اعتبارات سرمايه اي</t>
  </si>
  <si>
    <t xml:space="preserve">  تملك دارايي هاي سرمايه اي از محل منابع عمومي</t>
  </si>
  <si>
    <t xml:space="preserve">  تملك دارايي هاي سرمايه اي از محل ساير منابع </t>
  </si>
  <si>
    <t>وجوه انتقالی</t>
  </si>
  <si>
    <t>مصارف ازمحل وجوه انتقالی</t>
  </si>
  <si>
    <t>وجوه مصرف نشده سال جاری</t>
  </si>
  <si>
    <t>وجوه انتقالی به سال آتی</t>
  </si>
  <si>
    <t>وجوه انتقالی سال قبل شرکت آب و فاضلاب روستایی - منابع عمومی</t>
  </si>
  <si>
    <t>وجوه انتقالی سال قبل شرکت آب و فاضلاب روستایی - سایرمنابع</t>
  </si>
  <si>
    <t>1- تاريخچه و فعاليت دستگاه اجرايي</t>
  </si>
  <si>
    <t>موضوع فعاليت شركت طبق ماده 2 اساسنامه عبارت است از ايجاد و بهره برداري تاسيسات و تقسيم و توزيع آب شهري و تاسيسات مرتبط با جمع آوري، انتقال و تصفيه فاضلاب  مي باشد.</t>
  </si>
  <si>
    <t>اختلاف مانده بدهكار وبستانكار وجه الضمان</t>
  </si>
  <si>
    <t>اضافات سال جاري</t>
  </si>
  <si>
    <t>پيش پرداخت عمليات سرمايه اي</t>
  </si>
  <si>
    <t>افزايش سال جاري</t>
  </si>
  <si>
    <t xml:space="preserve">  </t>
  </si>
  <si>
    <t>جمع نفل از صفحه قبل</t>
  </si>
  <si>
    <t>جمع ساير منابع نقل به صفحه بعد</t>
  </si>
  <si>
    <t>جمع ساير منابع نقل از صفحه قبل</t>
  </si>
  <si>
    <t>طرح هاي تملك دارايي هاي سرمايه اي در تاريخ صورت وضعيت مالي فاقد تعهدات، بدهي هاي احتمالي و دارايي هاي احتمالي مي باشد.</t>
  </si>
  <si>
    <t>ساير اقلام(15قلم)</t>
  </si>
  <si>
    <t xml:space="preserve">نقد </t>
  </si>
  <si>
    <t xml:space="preserve">اسناد خزانه </t>
  </si>
  <si>
    <t>تامين انتقال آب شهرستان بندرلنگه</t>
  </si>
  <si>
    <t>پيشرفت فيزيكي واقعي منعكس درجدول فوق به استناد اطلاعات معاونت برنامه ريزي شركت اعلام گرديده است .</t>
  </si>
  <si>
    <t>40</t>
  </si>
  <si>
    <t>(يادداشت 1-6)</t>
  </si>
  <si>
    <t>(يادداشت12)</t>
  </si>
  <si>
    <t>(يادداشت18)</t>
  </si>
  <si>
    <t>(يادداشت2-11)</t>
  </si>
  <si>
    <t>7- دارايي هاي در جريان تكميل</t>
  </si>
  <si>
    <t xml:space="preserve"> جمع نقل به صفحه بعد</t>
  </si>
  <si>
    <t>تغييرات اين حساب به تفكيك هريك از طرح ها به شرح زير مي باشد:</t>
  </si>
  <si>
    <t>انتقالي از پيش پرداخت</t>
  </si>
  <si>
    <t>(يادداشت16)</t>
  </si>
  <si>
    <t>انتقال به</t>
  </si>
  <si>
    <t>بيمه پرداختني ايجاد شده طي سال</t>
  </si>
  <si>
    <t xml:space="preserve"> (ادامه يادداشت 1-11)</t>
  </si>
  <si>
    <t>وجوه دریافت شده از خزانه از محل اعتبارات سال جاری</t>
  </si>
  <si>
    <t>206ح1503003</t>
  </si>
  <si>
    <t>وجوه دریافتی از محل سایر منابع</t>
  </si>
  <si>
    <t xml:space="preserve">اعتبار مصوب سال جاري </t>
  </si>
  <si>
    <t xml:space="preserve">بودجه مخارج آتی طبق موافقتنامه </t>
  </si>
  <si>
    <t>: اهم اهداف طرحهاي تملك داراييهاي سرمايه اي فعال</t>
  </si>
  <si>
    <t>1-4-2-1</t>
  </si>
  <si>
    <t>1-4-2-2</t>
  </si>
  <si>
    <t>2-اهم رويه هاي حسابداري</t>
  </si>
  <si>
    <t>2-2- مبناي تهيه صورت مقايسه بودجه و عملكرد</t>
  </si>
  <si>
    <t>2-3- دوره گزارشگري</t>
  </si>
  <si>
    <t>2-5-دارایی های در جریان تکمیل</t>
  </si>
  <si>
    <t>2-5-1-</t>
  </si>
  <si>
    <t>2-5-2-</t>
  </si>
  <si>
    <t>2-6- درآمدها</t>
  </si>
  <si>
    <t xml:space="preserve">2-7- دريافتي از محل منابع داخلي </t>
  </si>
  <si>
    <t>2-8- هزينه ها</t>
  </si>
  <si>
    <t>دارايي هاي دريافتي از شركت آب و فاضلاب روستايي استان هرمزگان</t>
  </si>
  <si>
    <t>سايرهزینه ها</t>
  </si>
  <si>
    <t>نقد</t>
  </si>
  <si>
    <t>3-1</t>
  </si>
  <si>
    <t xml:space="preserve">طرح هاي تملك داراييهاي سرمايه اي </t>
  </si>
  <si>
    <t>موجودي نقد به تفكيك حسابهاي بانكي به شرح زير مي باشد:</t>
  </si>
  <si>
    <t>نام بانک</t>
  </si>
  <si>
    <t>نوع حساب</t>
  </si>
  <si>
    <t xml:space="preserve"> مركزي جمهوري اسلامي ايران</t>
  </si>
  <si>
    <t>مركزي جمهوري اسلامي ايران</t>
  </si>
  <si>
    <t xml:space="preserve">رد وجوه سپرده </t>
  </si>
  <si>
    <t>3-2</t>
  </si>
  <si>
    <t xml:space="preserve"> دريافت وجوه سپرده</t>
  </si>
  <si>
    <t>3-3</t>
  </si>
  <si>
    <t>پرداخت سرمايه اي(سایر منابع)</t>
  </si>
  <si>
    <t>3-1- مانده موجودي نقد بانك پرداخت سرمايه اي (منابع عمومي) مربوط به حساب جاري 2195165401008 بانك كشاورزي شعبه بندرعباس به تفكيك طرح ها به شرح زير مي باشد:</t>
  </si>
  <si>
    <t>سال1395</t>
  </si>
  <si>
    <t>325ح40902</t>
  </si>
  <si>
    <t>509ح40902</t>
  </si>
  <si>
    <t>3-2- مانده موجودي نقد بانك پرداخت سرمايه اي (سايرمنابع) مربوط به حساب جاري 2195165401008 بانك كشاورزي شعبه بندرعباس به تفكيك طرح ها به شرح زير مي باشد:</t>
  </si>
  <si>
    <t>3-3- مانده موجودي نقد بانك پرداخت سايرمنابع مربوط به حساب جاري 2195165404009 بانك كشاورزي شعبه بندرعباس به تفكيك طرح ها به شرح زير مي باشد:</t>
  </si>
  <si>
    <t>3-4- مانده موجودي نقد بانك پرداخت رد وجوه سپرده مربوط به حساب جاري 2195165402002 بانك كشاورزي شعبه بندرعباس به تفكيك طرح ها به شرح زير مي باشد:</t>
  </si>
  <si>
    <t>583ح1503003</t>
  </si>
  <si>
    <t>3-5- مانده موجودي نقد بانك دريافت وجوه سپرده (منابع عمومي) مربوط به حساب جاري 2175165402003 بانك ملي شعبه دارايي به تفكيك طرح ها به شرح زير مي باشد:</t>
  </si>
  <si>
    <t>3-6- مانده موجودي نقد بانك دريافت وجوه سپرده (سايرمنابع ) مربوط به حساب جاري 2175165402003 بانك ملي شعبه دارايي به تفكيك طرح ها به شرح زير مي باشد.</t>
  </si>
  <si>
    <t>توسعه و بازسازي تاسيسات تامين آب شرب شهري در سطح استان</t>
  </si>
  <si>
    <t xml:space="preserve">تامين آب شهرهاي استان </t>
  </si>
  <si>
    <t>124ح40201</t>
  </si>
  <si>
    <t>آبرساني به شهرحاجي آباد</t>
  </si>
  <si>
    <t>حفر و تجهيز يك حلقه چاه درسطح استان</t>
  </si>
  <si>
    <t>احداث شبكه و تصفيه خانه فاضلاب هرمز</t>
  </si>
  <si>
    <t>42</t>
  </si>
  <si>
    <t>45</t>
  </si>
  <si>
    <t>بازسازي وتعمير ايستگاه پمپاژ شهر جاسك</t>
  </si>
  <si>
    <t xml:space="preserve">توسعه وبازسازي شبكه آبرساني شهرهاي استان </t>
  </si>
  <si>
    <t>443ح40902</t>
  </si>
  <si>
    <t>3-موجودي نقد</t>
  </si>
  <si>
    <t>(ادامه يادداشت 1-4)</t>
  </si>
  <si>
    <t>ايجاد تعهدات جديد</t>
  </si>
  <si>
    <t>مشخصات وتاريخچه طرح هاي تملك دارايي هاي سرمايه اي</t>
  </si>
  <si>
    <t>(ادامه يادداشت 1-4-1 )</t>
  </si>
  <si>
    <t>(ادامه يادداشت 2-4-1 )</t>
  </si>
  <si>
    <t>(ادامه يادداشت 3-4-1 )</t>
  </si>
  <si>
    <t>(ادامه يادداشت 1-8)</t>
  </si>
  <si>
    <t xml:space="preserve"> موجودي كالا</t>
  </si>
  <si>
    <t>بازسازي تاسيسات خسارت ديده آبرساني در سطح استان-1400</t>
  </si>
  <si>
    <t>603ح1503003</t>
  </si>
  <si>
    <t>آبرسانی سیار به روستاها در سطح استان</t>
  </si>
  <si>
    <t>902ح1503003</t>
  </si>
  <si>
    <t>احداث و تكميل آبرساني تك روستايي در سطح استان</t>
  </si>
  <si>
    <t>اصلاح و بازسازي آبرساني تك روستايي</t>
  </si>
  <si>
    <t>813ح1503003</t>
  </si>
  <si>
    <t>احداث و تكميل آبرساني تك روستايي شهرستان سیریک</t>
  </si>
  <si>
    <t>بازسازي تاسيسات خسارت ديده آبرساني در سطح استان</t>
  </si>
  <si>
    <t>انتقالی به دارايي درجريان تكميل</t>
  </si>
  <si>
    <t>نام پيمانكار</t>
  </si>
  <si>
    <t>گزير دژ</t>
  </si>
  <si>
    <t>812ح1503003</t>
  </si>
  <si>
    <t xml:space="preserve">احداث وتكميل آبرساني تك روستايي درسطح استان </t>
  </si>
  <si>
    <t>مهندسين مشاور پديد آب سپاهان</t>
  </si>
  <si>
    <t>مديريت تانا انرژي</t>
  </si>
  <si>
    <t>بهرنگ بتن پارس</t>
  </si>
  <si>
    <t>سالار ساعد سهند</t>
  </si>
  <si>
    <t>پارس دژ هرمز</t>
  </si>
  <si>
    <t>سال 1400</t>
  </si>
  <si>
    <t>سيويل بتن ايليا</t>
  </si>
  <si>
    <t>پي آفرين هرمز</t>
  </si>
  <si>
    <t>توسعه و ايجاد شبكه توزيع و تاسيسات آب آشاميدني شهري در سطح استان</t>
  </si>
  <si>
    <t>بازسازي و اصلاح شبكه توزيع آب آشاميدني در سطح استان</t>
  </si>
  <si>
    <t>150303006</t>
  </si>
  <si>
    <t>سایرمنابع</t>
  </si>
  <si>
    <t>سایر اقلام(22 قلم)</t>
  </si>
  <si>
    <t>تسویه تعهدات</t>
  </si>
  <si>
    <t xml:space="preserve">آبرساني سيار به روستاهاي سطح استان </t>
  </si>
  <si>
    <t xml:space="preserve">احداث وتكميل آبرساني تك روستايي شهرستان سيريك </t>
  </si>
  <si>
    <t xml:space="preserve">غير انتفاعي </t>
  </si>
  <si>
    <t xml:space="preserve">اصلاح وبازسازي آبرساني تك روستايي </t>
  </si>
  <si>
    <t xml:space="preserve">احداث وتكميل آبرساني تك روستايي </t>
  </si>
  <si>
    <t>77</t>
  </si>
  <si>
    <t xml:space="preserve">ذيحساب  طرح های تملک دارایی های سرمایه ای                                              رئيس دستگاه اجرايي </t>
  </si>
  <si>
    <t xml:space="preserve">                  حجت کریمی                                                                           عبدالحمید حمزه پور</t>
  </si>
  <si>
    <t>اصلاح ابتدای سال</t>
  </si>
  <si>
    <t>سایر اقلام</t>
  </si>
  <si>
    <t>شرکت احداث و بهره برداری آب شیرین کن بندرعباس- شایا (یادداشت 1-2-2-6)</t>
  </si>
  <si>
    <t>تعدیلات</t>
  </si>
  <si>
    <t>(يادداشت21)</t>
  </si>
  <si>
    <t>8- سرمايه گذاري در شركت ها</t>
  </si>
  <si>
    <t xml:space="preserve">9-مطالبات بلند مدت دولت </t>
  </si>
  <si>
    <t>افزایش سال جاری</t>
  </si>
  <si>
    <t>نام پيمانكاران و مشاوران و فروشندگان كالا</t>
  </si>
  <si>
    <t xml:space="preserve"> نام پيمانكاران و مشاوران و فروشندگان كالا</t>
  </si>
  <si>
    <t>11-1-1-  بيمه و ماليات  پرداختني  به تفكيك پیمانکاران به شرح زير مي باشد</t>
  </si>
  <si>
    <t xml:space="preserve"> وجوه دريافتي از محل ساير منابع طي سال مالي مورد گزارش به تفكيك هر طرح متشكل از اقلام ذيل است :</t>
  </si>
  <si>
    <t>انتقال ازمحل پيش پرداخت ها</t>
  </si>
  <si>
    <t>اسناد خزانه</t>
  </si>
  <si>
    <t>سایر</t>
  </si>
  <si>
    <t>6-2- مانده حساب پيش پرداخت  بابت خريد تضميني آب به تفكيك طرح به شرح زير مي باشد:</t>
  </si>
  <si>
    <t>حساب های پرداختنی حاصل عملیات مبادله ای (تعهدات پرداختنی)</t>
  </si>
  <si>
    <t>جمع منابع داخلي</t>
  </si>
  <si>
    <t>فصل ششم:زمین</t>
  </si>
  <si>
    <t>6-2-2- مانده پیش پرداخت بابت خرید تضمینی آب به تفکیک فروشندگان به شرح زیر می باشد. .</t>
  </si>
  <si>
    <t>7-5-تعدیلات به مبلغ 321 ميليون ريال مربوط به برگشت علی الحساب های سنواتی به طرفیت تعهدات پرداختنی می باشد.</t>
  </si>
  <si>
    <t>اصلاحات تعهدات پرداختنی به مبلغ 1،587،613 میلیون ریال، ناشی از ثبت اعتبارات هزینه ای شرکت های آب و فاضلاب روستایی و آب و فاضلاب استان هرمزگان در سال مالی مورد گزارش ( به شرح یادداشت 1-18) می باشد.</t>
  </si>
  <si>
    <t>11-1- بيمه و ماليات  پرداختني به تفكيك هر طرح به شرح زير مي باشد:</t>
  </si>
  <si>
    <t>گردش طی سال</t>
  </si>
  <si>
    <t>(يادداشت2-5)</t>
  </si>
  <si>
    <t>(يادداشت های 14و13 )</t>
  </si>
  <si>
    <t>(يادداشت6-7)</t>
  </si>
  <si>
    <t>سایر هزینه ها  به تفکیک طرح به شرح زیر است :</t>
  </si>
  <si>
    <t>(يادداشت های 13تا15 )</t>
  </si>
  <si>
    <t>فصل دوم :ماشین آلات و تجهیزات</t>
  </si>
  <si>
    <t>تامين آب بندرلنگه ازطريق آب شيرين كن</t>
  </si>
  <si>
    <t xml:space="preserve"> گردش دارايي هاي درجريان تكمیل درطي سال به تفكيك هرطرح به شرح زير است:</t>
  </si>
  <si>
    <t>آبرساني به تک روستاها وتکميل مجتمع هاي آبرساني اولويت دار روستایي</t>
  </si>
  <si>
    <t>6-3- تغييرات حساب پيش پرداخت عمليات سرمايه اي به تفكيك طرح به شرح زير مي باشد:</t>
  </si>
  <si>
    <t>(ادامه يادداشت 3-6)</t>
  </si>
  <si>
    <t>1401/12/29</t>
  </si>
  <si>
    <t>سال 1401</t>
  </si>
  <si>
    <t>نقل از صفحه قبل</t>
  </si>
  <si>
    <t>ساير(3قلام)</t>
  </si>
  <si>
    <t>آبرساني سيار به روستاها در سطح استان</t>
  </si>
  <si>
    <t>تکميل خط آبرساني از آب شيرينکن تا مخازن داماهي</t>
  </si>
  <si>
    <t>بهينه سازي سامانه توزيع آب شرب شهر بندرعباس</t>
  </si>
  <si>
    <t>1503002173</t>
  </si>
  <si>
    <t>1503002046</t>
  </si>
  <si>
    <t>1502001005</t>
  </si>
  <si>
    <t>1503002096</t>
  </si>
  <si>
    <t>1503002067</t>
  </si>
  <si>
    <t>1503003007</t>
  </si>
  <si>
    <t>016ح30602</t>
  </si>
  <si>
    <t>سایر (60قلم)</t>
  </si>
  <si>
    <t>مهندسي آب صنعت نيکان</t>
  </si>
  <si>
    <t>قرارگاه امام حسن مجتبي (ع)</t>
  </si>
  <si>
    <t>طرح واساس آب سمنگان</t>
  </si>
  <si>
    <t>ساختماني کومار</t>
  </si>
  <si>
    <t>آتيه كوير</t>
  </si>
  <si>
    <t>آراد نيرو هرمز</t>
  </si>
  <si>
    <t>توسعه هنر متين</t>
  </si>
  <si>
    <t>خدمات فني و مهندسي نيماد نيلگون پارس</t>
  </si>
  <si>
    <t>شيب ساز ساحل</t>
  </si>
  <si>
    <t>قلعه گستر جنوب</t>
  </si>
  <si>
    <t>حک آب سازه</t>
  </si>
  <si>
    <t>مگا نيروي هرمزگان</t>
  </si>
  <si>
    <t>يكتا سازان آينده نگر</t>
  </si>
  <si>
    <t>كيان كسري ساحل</t>
  </si>
  <si>
    <t>با 206 یکی شده</t>
  </si>
  <si>
    <t>آبرساني به شهرهاي داراي تنش آب (صندوق توسعه اسلامي )</t>
  </si>
  <si>
    <t>130700208</t>
  </si>
  <si>
    <t>هزینه مالی آتی</t>
  </si>
  <si>
    <t>507</t>
  </si>
  <si>
    <t>503</t>
  </si>
  <si>
    <t xml:space="preserve"> 4-1-1- وجوه سپرده نزد خزانه به مبلغ 881.803 میلیون ریال شامل مبلغ 69.418 میلیون ریال مربوط به سنوات قبل از سال 1400، مبلغ 11.776 میلیون ریال مربوط به سال 1399 و مبلغ 800.608 میلیون ریال مربوط به سال 1401 می باشد.</t>
  </si>
  <si>
    <t xml:space="preserve">   </t>
  </si>
  <si>
    <t>منابع تامين اعتبار</t>
  </si>
  <si>
    <t>درآمد عمومي</t>
  </si>
  <si>
    <t xml:space="preserve">ساير منابع </t>
  </si>
  <si>
    <t>مبلغ</t>
  </si>
  <si>
    <t>49</t>
  </si>
  <si>
    <t>48</t>
  </si>
  <si>
    <t>53</t>
  </si>
  <si>
    <t>29</t>
  </si>
  <si>
    <t>(مبالغ به میلیون ریال)</t>
  </si>
  <si>
    <t>وجوه انتقالی از محل منابع عمومی سال قبل</t>
  </si>
  <si>
    <t>وجوه انتقالی از محل سایر منابع سال قبل</t>
  </si>
  <si>
    <t xml:space="preserve">وجوه دریافتی از محل منابع عمومی متمم سال قبل </t>
  </si>
  <si>
    <t>شركت آب و فاضلاب استان هرمزگان(سهامي خاص)   با شناسه ملی شماره 10800045461، کد اقتصادی 41143569354 و کد پستی 7914964575 به استناد ماده یک قانون تشکیل شرکت های آب و فاضلاب، مصوب  1369/10/11 تاسيس و در تاریخ 1370/12/27 تحت شماره 1701 در اداره ثبت شركت ها و مالكيت صنعتي شهرستان بندرعباس به ثبت رسيده است. شركت درحال حاضر از واحد هاي فرعي شركت مهندسي آب و فاضلاب كشور كه واحد تجاري نهايي گروه است. مركز اصلي شركت در شهر بندرعباس و حوزه فعاليت آن در سطح استان هرمزگان مي باشد.</t>
  </si>
  <si>
    <t>كاركنان قراردادي (خدمات کارشناسی طرح)</t>
  </si>
  <si>
    <t>سایر درآمدها - انتقالات</t>
  </si>
  <si>
    <t>2-1- مبانی تهیه صورت های مالی</t>
  </si>
  <si>
    <t>صورت هاي مالي طرح هاي تملك دارايي هاي سرمايه اي به استثناي صورت مقايسه بودجه و عملكرد، باتوجه به استاندارد های حسابداری بخش عمومی و بر مبناي تعهدي و به بهاي تمام شده تاريخي تهيه  شده است. در مبناي تعهدي، معاملات و ساير رويدادهاي مالي در زمان وقوع و نه صرفا در زمان دريافت و پرداخت وجه نقد شناسايي و در اسناد و مدارك حسابداري ثبت مي شود و در صورت هاي مالي دوره هاي مربوط انعكاس مي يابد.</t>
  </si>
  <si>
    <t>مبنای حسابداری تهیه بودجه و صورت های مالی، متفاوت است. بودجه بر مبنای نقدی و صورت های مالی (به استثناء صورت مقايسه بودجه و عملكرد) بر مبنای تعهدی تهیه شده است. طبقه بندی هر دو بر حسب ماهیت می باشد. شخصیت گزارشگری بودجه و صورت های مالی یکسان است.</t>
  </si>
  <si>
    <t>طبق دستورالعمل حسابداري بخش عمومي صادره توسط وزارت اموراقتصادي و دارايي، دوره گزارشگري براساس سال شمسي و از اول فروردين ماه شروع و تا پايان اسفند خاتمه مي يابد.</t>
  </si>
  <si>
    <t xml:space="preserve">دارایی های در جریان تکمیل بر مبنای بهای تمام شده اندازه گیری می شود. بهاي تمام شده دارایی های در جریان تکمیل شامل هزينه هاي انجام شده از محل اعتبارات طرح های تملك دارايي هاي سرمايه اي در سال جاري و سال هاي قبل مي باشد. </t>
  </si>
  <si>
    <t>درآمدها مشتمل بر وجوه دریافتی از اداره کل خزانه (وجوه نقد و اسناد خزانه اسلامي) و سایر منابع (به استثنای منابع داخلی دستگاه اجرایی) بر اساس موافقت نامه های مبادله شده با سازمان برنامه و بودجه در هنگام دریافت به عنوان درآمد شناسایی و در حساب ها ثبت می شود.</t>
  </si>
  <si>
    <t>پرداخت سرمايه اي(منابع عمومی)</t>
  </si>
  <si>
    <t>3-1- مانده موجودي نقد بانك پرداخت سرمايه اي نزد بانک مرکزی به تفكيك طرح ها به شرح زير مي باشد:</t>
  </si>
  <si>
    <t>واریزی</t>
  </si>
  <si>
    <t>آزادسازی</t>
  </si>
  <si>
    <t>(يادداشت 3-6)</t>
  </si>
  <si>
    <t>نوع کالا</t>
  </si>
  <si>
    <t>لوله وماشين سازي ايران</t>
  </si>
  <si>
    <t>هامون نايزه</t>
  </si>
  <si>
    <t>جاويد بتن فارس</t>
  </si>
  <si>
    <t>لوله داکتیل</t>
  </si>
  <si>
    <t>لوله تایتون</t>
  </si>
  <si>
    <t>لوله چدنی</t>
  </si>
  <si>
    <t>لوله و ماشین سازی ایران</t>
  </si>
  <si>
    <t xml:space="preserve"> موضوع</t>
  </si>
  <si>
    <t xml:space="preserve"> آبرساني به شهرهاي داراي تنش آبي</t>
  </si>
  <si>
    <t>هامون نایزه</t>
  </si>
  <si>
    <t>آبرساني به تك روستاها و تكميل مجتمع آبرساني اولويت دارروستايي</t>
  </si>
  <si>
    <t>نيمادنيلگون پارس</t>
  </si>
  <si>
    <t>كومار</t>
  </si>
  <si>
    <t>جاویدبتن فارس</t>
  </si>
  <si>
    <t>نوردلوله کوثراسپادانا</t>
  </si>
  <si>
    <t>آتیه کویر</t>
  </si>
  <si>
    <t xml:space="preserve">ساخت گستر چهارمحال </t>
  </si>
  <si>
    <t>آب صنعت نیکان</t>
  </si>
  <si>
    <t xml:space="preserve"> احداث و تكميل آبرساني تك روستايي شهرستان بندرعباس</t>
  </si>
  <si>
    <t xml:space="preserve"> توسعه و ايجادشبكه توزيع و تاسيسات آب آشاميدني شهري درسطح استان </t>
  </si>
  <si>
    <t xml:space="preserve">آرمان آداک آسیا </t>
  </si>
  <si>
    <t xml:space="preserve"> اعتبار مربوط به سفرهاي رياست جمهوري</t>
  </si>
  <si>
    <t>حك آب سازه</t>
  </si>
  <si>
    <t xml:space="preserve"> آبرساني به تك روستاها و تكميل مجتمع آبرساني اولويت دارروستايي</t>
  </si>
  <si>
    <t>پایدارستون لیدوما</t>
  </si>
  <si>
    <t xml:space="preserve"> ایجاد فاضلاب شهر بندرعباس</t>
  </si>
  <si>
    <t>ایستاسازه بندر</t>
  </si>
  <si>
    <t>مهندسي ايده طلايي ‍‍‍پارسا</t>
  </si>
  <si>
    <t>فن آوارن صانع غرب</t>
  </si>
  <si>
    <t>بنا سازه گستر راتين نارون</t>
  </si>
  <si>
    <t>برزه سراغرب همدان</t>
  </si>
  <si>
    <t>6-3-2-مانده پيش پرداخت عملیات سرمایه ای به تفكيك  پيمانكاران و فروشندگان  به شرح زير مي باشد:</t>
  </si>
  <si>
    <t>افزايش طی سال جاري</t>
  </si>
  <si>
    <t>8-1- سرمايه گذاري در شركت ها بابت بهاي تمام شده طرح هاي غير انتفاعي تكميل شده و انتقالي به دستگاه بهره برداراز محل منابع عمومی به شرح زير مي باشد.</t>
  </si>
  <si>
    <t>مانده در  ابتدای سال</t>
  </si>
  <si>
    <t>9-1- مطالبات بلند مدت دولت  بابت بهاي تمام شده طرح هاي انتفاعي تكميل شده به تفكيك هرطرح از محل منابع عمومی به شرح زير مي باشد:</t>
  </si>
  <si>
    <t>طرح های سرمایه ای</t>
  </si>
  <si>
    <t>طر ح های هزینه ای</t>
  </si>
  <si>
    <t>مانده در پایان سال</t>
  </si>
  <si>
    <t>سپرده هاي پرداختني(حسن انجام کار)</t>
  </si>
  <si>
    <t>اسناد خزانه اسلامی پرداختنی</t>
  </si>
  <si>
    <t>تعهدات ايجاد شده جاری سال</t>
  </si>
  <si>
    <t>تسویه باپيش پرداخت</t>
  </si>
  <si>
    <t>آزادسازی سپرده ها</t>
  </si>
  <si>
    <t xml:space="preserve">احداث وتكميل آبرساني تك روستايي در سطح استان </t>
  </si>
  <si>
    <t>اسناد خزانه (اصل و حفظ قدرت خرید)</t>
  </si>
  <si>
    <t>حفظ قدرت خرید سررسید شده</t>
  </si>
  <si>
    <t>حفظ قدرت خرید سررسید نشده</t>
  </si>
  <si>
    <t xml:space="preserve">بند و تبصره قانونی </t>
  </si>
  <si>
    <t>نوع اسناد خزانه</t>
  </si>
  <si>
    <t>تاریخ سررسید</t>
  </si>
  <si>
    <t>اصل بدهی</t>
  </si>
  <si>
    <t>جمع حفظ قدرت خرید اسناد خزانه صادره</t>
  </si>
  <si>
    <t xml:space="preserve">جمع کل </t>
  </si>
  <si>
    <t xml:space="preserve">دریافتی از محل اعتبارات تخصیص یافته- ابلاغی </t>
  </si>
  <si>
    <t>حفظ قدرت خرید تحقق یافته اسناد خزانه</t>
  </si>
  <si>
    <t xml:space="preserve">سایر هزینه ها </t>
  </si>
  <si>
    <t>نوع طرح</t>
  </si>
  <si>
    <t>سال قبل</t>
  </si>
  <si>
    <t xml:space="preserve">ارزش خالص انباشته در ابتدای سال- تعدیل شده </t>
  </si>
  <si>
    <t>دریافتی بابت عملیات سرمایه ای</t>
  </si>
  <si>
    <t xml:space="preserve">نقد  </t>
  </si>
  <si>
    <t>حفظ قدرت خرید سررسید شده در سال جاری</t>
  </si>
  <si>
    <t>اسنادخزانه (اصل و حفظ قدرت خرید)</t>
  </si>
  <si>
    <t>دریافتی از محل سایر منابع بابت اعتبارات سرمایه ای</t>
  </si>
  <si>
    <t>مانده ابتدای سال (بانک رد)</t>
  </si>
  <si>
    <t>مانده پایان سال (بانک رد)</t>
  </si>
  <si>
    <t xml:space="preserve">سايرقراردادها </t>
  </si>
  <si>
    <t>اول</t>
  </si>
  <si>
    <t>دوم</t>
  </si>
  <si>
    <t>ششم</t>
  </si>
  <si>
    <t>هفتم</t>
  </si>
  <si>
    <t xml:space="preserve">ساختمان و مستحدثات </t>
  </si>
  <si>
    <t>ماشین آلات و تجهیزات</t>
  </si>
  <si>
    <t xml:space="preserve"> زمین</t>
  </si>
  <si>
    <t>حق الزحمه کارکنان طرح و سایر دارایی ها</t>
  </si>
  <si>
    <t>کسر می شود: هزینه های مالی آتی</t>
  </si>
  <si>
    <t>آبرساني به تک روستاها وتکميل مجتمع هاي آبرساني اولويت دارروستایی</t>
  </si>
  <si>
    <t>آبرساني به تک روستاها وتکميل مجتمع هاي آبرساني اولويت دارروستایي</t>
  </si>
  <si>
    <t>1307006001</t>
  </si>
  <si>
    <t>حفظ قدرت خرید اسناد خزانه متمم سررسید 1402 و1403</t>
  </si>
  <si>
    <t>جمع ابلاغی</t>
  </si>
  <si>
    <t xml:space="preserve">رديف </t>
  </si>
  <si>
    <t xml:space="preserve">محل اجراي طرح </t>
  </si>
  <si>
    <t xml:space="preserve">درسطح استان </t>
  </si>
  <si>
    <t xml:space="preserve">غيرانتفاعي- ابلاغي </t>
  </si>
  <si>
    <t>در‌امد عمومي</t>
  </si>
  <si>
    <t xml:space="preserve">درآمد عمومي </t>
  </si>
  <si>
    <t xml:space="preserve">اصلاح شبكه توزيع آب آشاميدني </t>
  </si>
  <si>
    <t xml:space="preserve">تجهيز چاه وچشمه </t>
  </si>
  <si>
    <t xml:space="preserve">7-8-ادامه </t>
  </si>
  <si>
    <t xml:space="preserve">جمع کل تخصیص </t>
  </si>
  <si>
    <t xml:space="preserve">شرکت آب وفاضلاب هرمزگان </t>
  </si>
  <si>
    <t>شرکت آب وفاضلاب هرمزگان</t>
  </si>
  <si>
    <t>سایر درآمدها - انتقالات ابلاغی</t>
  </si>
  <si>
    <t xml:space="preserve">  تملك دارايي هاي سرمايه اي از محل منابع عمومي-ابلاغی</t>
  </si>
  <si>
    <t xml:space="preserve">جمع وجوه انتقالی سال های  قبل </t>
  </si>
  <si>
    <t>-1-4-1-1</t>
  </si>
  <si>
    <t>-1-4-1-2</t>
  </si>
  <si>
    <t>-1-4-2</t>
  </si>
  <si>
    <t>(مبالغ به ميليون ریال)</t>
  </si>
  <si>
    <t xml:space="preserve">اعتبارمصوب براساس آخرین موافقتنامه وابلاغي </t>
  </si>
  <si>
    <t xml:space="preserve">وجوه دريافتي </t>
  </si>
  <si>
    <t xml:space="preserve">سنوات قبل </t>
  </si>
  <si>
    <t xml:space="preserve">دريافتي طي سال جاري </t>
  </si>
  <si>
    <t>جمع منابع عمومي نقل به صفحه بعد</t>
  </si>
  <si>
    <t xml:space="preserve">جمع نقل به صفحه بعد </t>
  </si>
  <si>
    <t xml:space="preserve">جمع نقل ازصفحه قبل </t>
  </si>
  <si>
    <t xml:space="preserve">جمع منابع عمومي نقل ازصفحه قبل </t>
  </si>
  <si>
    <t xml:space="preserve">جمع منابع عمومی نقل به صفحه بعد </t>
  </si>
  <si>
    <t>جمع  سایر منابع نقل از صفحه قبل</t>
  </si>
  <si>
    <t>جمع حفظ قدرت خرید ابلاغی</t>
  </si>
  <si>
    <t>جمع حفظ قدرت خرید استانی نقل به صفحه بعد</t>
  </si>
  <si>
    <t>جمع حفظ قدرت خرید استانی نقل از صفحه قبل</t>
  </si>
  <si>
    <t xml:space="preserve">جمع حفظ قدرت خرید استانی </t>
  </si>
  <si>
    <t>غیر انتفاعی</t>
  </si>
  <si>
    <t>جمع استانی</t>
  </si>
  <si>
    <t>کمک به اجرای جهش تولید مسکن</t>
  </si>
  <si>
    <t>150100102001</t>
  </si>
  <si>
    <t>1-4-مشخصات و تاریخچه طرح هاي تملك دارايي هاي سرمايه اي:</t>
  </si>
  <si>
    <t>حفظ قدرت خريد اسناد خزانه سررسید نشده دوره متمم1400</t>
  </si>
  <si>
    <t>6-1-  پيش پرداخت موجودي كالاي تحويلي به پيمانكاران به تفكيك هريك ازطرح ها بشرح زيرمي باشد :</t>
  </si>
  <si>
    <t xml:space="preserve">اصلاحات </t>
  </si>
  <si>
    <t xml:space="preserve">7-9-ادامه </t>
  </si>
  <si>
    <t>جمع منابع عمومی نقل به صفحه بعد</t>
  </si>
  <si>
    <t>جمع منابع نقل از صفحه قبل</t>
  </si>
  <si>
    <t xml:space="preserve">بند (ب) تبصره 5 </t>
  </si>
  <si>
    <t>برگشتی  وجوه به دستگاه اجرایی</t>
  </si>
  <si>
    <t>52</t>
  </si>
  <si>
    <t>تاريخچه و فعاليت دستگاه اجرايي</t>
  </si>
  <si>
    <t>اهم رويه هاي حسابداري</t>
  </si>
  <si>
    <t xml:space="preserve">يادداشت هاي توضیحی مربوط به اقلام مندرج در صورت هاي مالي </t>
  </si>
  <si>
    <t>1-4-1-مشخصات طرح هاي تملك دارايي هاي سرمايه اي:</t>
  </si>
  <si>
    <t xml:space="preserve"> جمع سایر منابع نقل به صفحه بعد  </t>
  </si>
  <si>
    <t>(یادداشت 7)</t>
  </si>
  <si>
    <t>11-1-2- مانده حساب مالیات پرداختنی به مبلغ 4.857 میلیون ریال ، مربوط به 3% مالیات تکلیفی (طلب اداره دارایی) کسر شده از صورت وضعیت پیمانکاران تا سال 1394 و مانده بیمه پرداختنی بابت طلب سازمان تامین اجتماعی می باشد. لازم به ذکر اینکه اضافات سایر بدهی ها مربوط به بیمه های مکسوره از صورت وضعیت پیمانکاران می باشد که به دلیل کمبود نقدینگی پرداخت نشده است.</t>
  </si>
  <si>
    <t>(يادداشت 2-6)</t>
  </si>
  <si>
    <t>کمک به اجرای پروژه های جهش تولید مسکن</t>
  </si>
  <si>
    <t xml:space="preserve">*صورت وضعيت مالي </t>
  </si>
  <si>
    <t xml:space="preserve">*صورت تغييرات در وضعيت مالي </t>
  </si>
  <si>
    <t>*يادداشت هاي توضيحي :</t>
  </si>
  <si>
    <t xml:space="preserve">*صورت مقايسه بودجه و عملكرد </t>
  </si>
  <si>
    <t>910102</t>
  </si>
  <si>
    <t>بودجه اعتبار سرمايه اي</t>
  </si>
  <si>
    <t>910104</t>
  </si>
  <si>
    <t>بودجه اعتبارسرمايه اي انتقالي</t>
  </si>
  <si>
    <t>910202</t>
  </si>
  <si>
    <t>اعتبار سرمايه اي</t>
  </si>
  <si>
    <t>910502</t>
  </si>
  <si>
    <t>اعتبار سرمايه اي ابلاغي</t>
  </si>
  <si>
    <t>910802</t>
  </si>
  <si>
    <t>اعتبار سرمايه اي بابت پرداخت هاي غير قطعي</t>
  </si>
  <si>
    <t>910902</t>
  </si>
  <si>
    <t>اعتبار سرمايه اي مصرف شده</t>
  </si>
  <si>
    <t>910903</t>
  </si>
  <si>
    <t>اعتبارسرمايه اي انتقالي  مصرف شده</t>
  </si>
  <si>
    <t xml:space="preserve"> (يادداشت3-10) </t>
  </si>
  <si>
    <t xml:space="preserve"> (يادداشت12) </t>
  </si>
  <si>
    <t>(یادداشت 1-21)</t>
  </si>
  <si>
    <t xml:space="preserve">        مانده در 1400/12/29-تعدیل شده</t>
  </si>
  <si>
    <t xml:space="preserve">7-6- تعدیلات دارایی در جریان تکمیل به مبلغ 512.301 میلیون ریال شامل مبلغ  1.024.531میلیون ریال حفظ قدرت خرید اسناد خزانه اسلامی موضوع قانون بودجه های سال 1399 و 1400 با سررسید های 1401 الی 1402 به طرفیت ارزش خالص انباشته (یادداشت 18) کسر و مبلغ 512.230 میلیون ریال مربوط به صورت وضعیت های ثبت نشده در سال مالی قبل بوده که در سال مالی مورد گزارش اصلاح و ارائه مجدد گردیده است.  </t>
  </si>
  <si>
    <t>تسویه تعهدات سنوات قبل</t>
  </si>
  <si>
    <t>-1-3-1</t>
  </si>
  <si>
    <t>انتقال به مطالبات بلند مدت</t>
  </si>
  <si>
    <t>انتقال از سرمایه گذاری در شرکت ها</t>
  </si>
  <si>
    <t xml:space="preserve">خريد تضميني آب - غیر انتفاعی </t>
  </si>
  <si>
    <t>1307003025</t>
  </si>
  <si>
    <t>علت مغايرت پیشرفت فیزیکی واقعي وپيشرفت  طبق موافقتنامه ، عمدتا به دلیل عدم تخصیص بودجه مصوب مي باشد و همچنين درصد پيشرفت فیزیکی واقعي بر مبناي احجام كارهاي صورت گرفته وپيشرفت فيزيكي طبق موافقت نامه ها براساس وجوه دريافتي مي باشد.  . مضافا" افزايش قيمت مواد ، مصالح واجرت كار در واقعيت متناسب با مبلغ اعتبارات پيش بيني شده درموافقت نامه ها نمي باشد.همچنین انحراف مساعد در بعضی از طرح ها عمدتا به علت انجام کارهای انجام شده از محل تعهدات ایجاد شده طی  سال می باشد.</t>
  </si>
  <si>
    <t>1402/12/29</t>
  </si>
  <si>
    <t xml:space="preserve">براي سال مالي منتهي به 29 اسفند  1402 </t>
  </si>
  <si>
    <t>سال 1402</t>
  </si>
  <si>
    <t xml:space="preserve">برای سال مالي منتهي به 29 اسفند  1402 </t>
  </si>
  <si>
    <t xml:space="preserve"> سال مالي منتهي به 29 اسفند  1402 </t>
  </si>
  <si>
    <t>1402</t>
  </si>
  <si>
    <t xml:space="preserve"> سال مالي منتهي به 29اسفند  1402 </t>
  </si>
  <si>
    <t xml:space="preserve">    1402/12/29</t>
  </si>
  <si>
    <t xml:space="preserve"> 1402/12/29   </t>
  </si>
  <si>
    <t xml:space="preserve">  1401/12/29   </t>
  </si>
  <si>
    <t xml:space="preserve"> سال مالي منتهي به 29 اسفند 1402 </t>
  </si>
  <si>
    <t>مانده در 1402/12/29</t>
  </si>
  <si>
    <t>مانده در   1402/12/29</t>
  </si>
  <si>
    <t xml:space="preserve">مانده در  1402/12/29 </t>
  </si>
  <si>
    <t xml:space="preserve">مانده در 1402/12/29   </t>
  </si>
  <si>
    <t>مانده در  1402/12/29</t>
  </si>
  <si>
    <t xml:space="preserve">        مانده در      1402/12/29</t>
  </si>
  <si>
    <t xml:space="preserve">مانده در 1402/12/29  </t>
  </si>
  <si>
    <t xml:space="preserve">     مانده درابتدای سال</t>
  </si>
  <si>
    <t>مانده در1402/12/29</t>
  </si>
  <si>
    <t>مانده  در 1402/12/29</t>
  </si>
  <si>
    <t>احداث وتكميل آبرساني تك روستايي درسطح استان</t>
  </si>
  <si>
    <t>117ح1502016</t>
  </si>
  <si>
    <t>توسعه نواحی خاص (راهبری آب جزایر)</t>
  </si>
  <si>
    <t>آبرساني به پاسگاه درياباني يكدار شهرستان جاسك</t>
  </si>
  <si>
    <t>52245</t>
  </si>
  <si>
    <t>اتصال مكانيك</t>
  </si>
  <si>
    <t>03026</t>
  </si>
  <si>
    <t>49977</t>
  </si>
  <si>
    <t>فني مهندسي دنيز نيرو هرمزگان</t>
  </si>
  <si>
    <t>99204</t>
  </si>
  <si>
    <t>را آكا</t>
  </si>
  <si>
    <t>سورن فراب چهل تنان</t>
  </si>
  <si>
    <t>به گاز نام پاسارگاد</t>
  </si>
  <si>
    <t>49944</t>
  </si>
  <si>
    <t>03203</t>
  </si>
  <si>
    <t>03319</t>
  </si>
  <si>
    <t>49906</t>
  </si>
  <si>
    <t>99243</t>
  </si>
  <si>
    <t>پايدار ستون ليدوما</t>
  </si>
  <si>
    <t>52167</t>
  </si>
  <si>
    <t>03034</t>
  </si>
  <si>
    <t>49907</t>
  </si>
  <si>
    <t>55309</t>
  </si>
  <si>
    <t>عمران عمارت ديبا</t>
  </si>
  <si>
    <t>03310</t>
  </si>
  <si>
    <t>47743</t>
  </si>
  <si>
    <t>آرمان آداک آسيا</t>
  </si>
  <si>
    <t>49929</t>
  </si>
  <si>
    <t>49903</t>
  </si>
  <si>
    <t>راه وساختمان وتاسيسات جنوب ساز</t>
  </si>
  <si>
    <t>99221</t>
  </si>
  <si>
    <t>رايان صنعت دارابگرد</t>
  </si>
  <si>
    <t>99216</t>
  </si>
  <si>
    <t>55289</t>
  </si>
  <si>
    <t>شرکت رازيان سازه پارس</t>
  </si>
  <si>
    <t>49911</t>
  </si>
  <si>
    <t>03189</t>
  </si>
  <si>
    <t>03554</t>
  </si>
  <si>
    <t>99230</t>
  </si>
  <si>
    <t>بتن دژ پژوه</t>
  </si>
  <si>
    <t>03115</t>
  </si>
  <si>
    <t>مهندسين مشاور فرآب سازه ايمن</t>
  </si>
  <si>
    <t>30878</t>
  </si>
  <si>
    <t>49924</t>
  </si>
  <si>
    <t>مکران سازه ميناب</t>
  </si>
  <si>
    <t>49934</t>
  </si>
  <si>
    <t>بانژ دژ قلعه</t>
  </si>
  <si>
    <t>47686</t>
  </si>
  <si>
    <t>47189</t>
  </si>
  <si>
    <t>03839</t>
  </si>
  <si>
    <t>55283</t>
  </si>
  <si>
    <t>آسمان خراش مکران</t>
  </si>
  <si>
    <t>03075</t>
  </si>
  <si>
    <t>47609</t>
  </si>
  <si>
    <t>47764</t>
  </si>
  <si>
    <t>سازمان حسابرسي</t>
  </si>
  <si>
    <t>48803</t>
  </si>
  <si>
    <t>49948</t>
  </si>
  <si>
    <t>شکيل سازه اردل</t>
  </si>
  <si>
    <t>52265</t>
  </si>
  <si>
    <t>ستاره نيكو بنيان</t>
  </si>
  <si>
    <t>47118</t>
  </si>
  <si>
    <t>99246</t>
  </si>
  <si>
    <t>عمران افروز ساتراپ</t>
  </si>
  <si>
    <t>48843</t>
  </si>
  <si>
    <t>طليعه سازان سپهر</t>
  </si>
  <si>
    <t>48847</t>
  </si>
  <si>
    <t>47769</t>
  </si>
  <si>
    <t>سديد راه عطش قشم</t>
  </si>
  <si>
    <t>55300</t>
  </si>
  <si>
    <t>اصغر ولي زاده</t>
  </si>
  <si>
    <t>49933</t>
  </si>
  <si>
    <t>49904</t>
  </si>
  <si>
    <t>آب راه سازه خيبر</t>
  </si>
  <si>
    <t>47709</t>
  </si>
  <si>
    <t>47768</t>
  </si>
  <si>
    <t>طرح و ساخت خزر</t>
  </si>
  <si>
    <t>52277</t>
  </si>
  <si>
    <t>پارس صداقت هرمز</t>
  </si>
  <si>
    <t>49905</t>
  </si>
  <si>
    <t>رود سيويل هرمزگان</t>
  </si>
  <si>
    <t>03405</t>
  </si>
  <si>
    <t>48819</t>
  </si>
  <si>
    <t>49912</t>
  </si>
  <si>
    <t>سکوهه دژ</t>
  </si>
  <si>
    <t>49979</t>
  </si>
  <si>
    <t>اسپاد بتن كوير</t>
  </si>
  <si>
    <t>52228</t>
  </si>
  <si>
    <t>رستاك برج سيوان</t>
  </si>
  <si>
    <t>49945</t>
  </si>
  <si>
    <t>03084</t>
  </si>
  <si>
    <t>مهندسي و بازرسي فني تجهيزات نيرو</t>
  </si>
  <si>
    <t>52129</t>
  </si>
  <si>
    <t>مهندسي و توسعه لاديز</t>
  </si>
  <si>
    <t>55303</t>
  </si>
  <si>
    <t>کران عرش پايان</t>
  </si>
  <si>
    <t>52250</t>
  </si>
  <si>
    <t>امير آويژه بندر</t>
  </si>
  <si>
    <t>47740</t>
  </si>
  <si>
    <t>47730</t>
  </si>
  <si>
    <t>هيدرو سازه شاهو</t>
  </si>
  <si>
    <t>03464</t>
  </si>
  <si>
    <t>جزيره خنك</t>
  </si>
  <si>
    <t>51119</t>
  </si>
  <si>
    <t>زيگورات كاخ پارسي</t>
  </si>
  <si>
    <t>52262</t>
  </si>
  <si>
    <t>دنيز برج فرداد</t>
  </si>
  <si>
    <t>51133</t>
  </si>
  <si>
    <t>سفيد آب گستر آستان</t>
  </si>
  <si>
    <t>99239</t>
  </si>
  <si>
    <t>عمران خشت آدرينا</t>
  </si>
  <si>
    <t>47180</t>
  </si>
  <si>
    <t>51120</t>
  </si>
  <si>
    <t>فجرپل آرتاويل</t>
  </si>
  <si>
    <t>49913</t>
  </si>
  <si>
    <t>ميلاد عمارت پارسيان</t>
  </si>
  <si>
    <t>51211</t>
  </si>
  <si>
    <t xml:space="preserve"> پل دژهاني</t>
  </si>
  <si>
    <t>49910</t>
  </si>
  <si>
    <t>ايران نمر</t>
  </si>
  <si>
    <t>51118</t>
  </si>
  <si>
    <t>صلب سيال پايتخت</t>
  </si>
  <si>
    <t>52209</t>
  </si>
  <si>
    <t>آبان كاريز بوتيا</t>
  </si>
  <si>
    <t>55297</t>
  </si>
  <si>
    <t>آذر فراز هفتصد</t>
  </si>
  <si>
    <t>49985</t>
  </si>
  <si>
    <t>تكساز آرمه جنوب</t>
  </si>
  <si>
    <t>03840</t>
  </si>
  <si>
    <t>40743</t>
  </si>
  <si>
    <t>آبادگران عمران گنو</t>
  </si>
  <si>
    <t>52270</t>
  </si>
  <si>
    <t>مشاور كوثر آب پارس</t>
  </si>
  <si>
    <t>99223</t>
  </si>
  <si>
    <t>كيا سازه مكران</t>
  </si>
  <si>
    <t>99241</t>
  </si>
  <si>
    <t>چارگون</t>
  </si>
  <si>
    <t>03269</t>
  </si>
  <si>
    <t>پخش فراوده هاي نفتي</t>
  </si>
  <si>
    <t>55280</t>
  </si>
  <si>
    <t>سپاه امام سجاد استان هرمزگان</t>
  </si>
  <si>
    <t>30860</t>
  </si>
  <si>
    <t>فرايند سيستم آدينه</t>
  </si>
  <si>
    <t>30896</t>
  </si>
  <si>
    <t>آب وخاك قاره</t>
  </si>
  <si>
    <t>51145</t>
  </si>
  <si>
    <t>عمران پيشه شاخص</t>
  </si>
  <si>
    <t>47631</t>
  </si>
  <si>
    <t>کيوان جاويد جنوب</t>
  </si>
  <si>
    <t>40938</t>
  </si>
  <si>
    <t>رسالوله پاسارگاد</t>
  </si>
  <si>
    <t>40490</t>
  </si>
  <si>
    <t>03110</t>
  </si>
  <si>
    <t>صاف گام بندر</t>
  </si>
  <si>
    <t>99231</t>
  </si>
  <si>
    <t>سانا صنعت نکيسا</t>
  </si>
  <si>
    <t>49930</t>
  </si>
  <si>
    <t>40958</t>
  </si>
  <si>
    <t>رهپويان خاك بهار</t>
  </si>
  <si>
    <t>47766</t>
  </si>
  <si>
    <t>راديه سازان هرمزگان</t>
  </si>
  <si>
    <t>51177</t>
  </si>
  <si>
    <t>چشمه ساز كرمان</t>
  </si>
  <si>
    <t>49982</t>
  </si>
  <si>
    <t>آبسار دريس</t>
  </si>
  <si>
    <t>30874</t>
  </si>
  <si>
    <t>مشاور پارس جوياب</t>
  </si>
  <si>
    <t>49987</t>
  </si>
  <si>
    <t>سازه سازان سمنگان</t>
  </si>
  <si>
    <t>51156</t>
  </si>
  <si>
    <t>احسان سازه سپهر</t>
  </si>
  <si>
    <t>03408</t>
  </si>
  <si>
    <t>شن تراش جنوب</t>
  </si>
  <si>
    <t>47802</t>
  </si>
  <si>
    <t>طاقپوش پاسارگاد</t>
  </si>
  <si>
    <t>47793</t>
  </si>
  <si>
    <t>ژرف آب آويد</t>
  </si>
  <si>
    <t>03155</t>
  </si>
  <si>
    <t>فراسازان شكيبا</t>
  </si>
  <si>
    <t>30904</t>
  </si>
  <si>
    <t>پايپ اتيلن</t>
  </si>
  <si>
    <t>30898</t>
  </si>
  <si>
    <t>برج بلوچ ايرانشهر</t>
  </si>
  <si>
    <t>47114</t>
  </si>
  <si>
    <t>سازمان بسيج سازندگي</t>
  </si>
  <si>
    <t>30897</t>
  </si>
  <si>
    <t>آب وحيات كرمان</t>
  </si>
  <si>
    <t>51166</t>
  </si>
  <si>
    <t>سامان الكتريك رضوان</t>
  </si>
  <si>
    <t>49949</t>
  </si>
  <si>
    <t>مثلث بتن آذين</t>
  </si>
  <si>
    <t>03571</t>
  </si>
  <si>
    <t>سيمان فارس و خوزستان</t>
  </si>
  <si>
    <t>52131</t>
  </si>
  <si>
    <t>تاسيساتي و ساختماني ارکشن گاز</t>
  </si>
  <si>
    <t>03248</t>
  </si>
  <si>
    <t>هزارسازه جنوب</t>
  </si>
  <si>
    <t>47121</t>
  </si>
  <si>
    <t>پي ريزان حاجي آباد</t>
  </si>
  <si>
    <t>03237</t>
  </si>
  <si>
    <t>رخشان كاران هرمز</t>
  </si>
  <si>
    <t>03144</t>
  </si>
  <si>
    <t>صنايع هفتم تير اصفهان</t>
  </si>
  <si>
    <t>30871</t>
  </si>
  <si>
    <t>سامان بتن ميناب</t>
  </si>
  <si>
    <t>51319</t>
  </si>
  <si>
    <t>پژوشكده پارك علم و فناوري استان هرمزگان</t>
  </si>
  <si>
    <t>03607</t>
  </si>
  <si>
    <t>لوله سازي تهران</t>
  </si>
  <si>
    <t>03858</t>
  </si>
  <si>
    <t>مهندسان مشاورنظاره جغرافياي سپهر</t>
  </si>
  <si>
    <t>03579</t>
  </si>
  <si>
    <t>زفكس</t>
  </si>
  <si>
    <t>03206</t>
  </si>
  <si>
    <t>آبراهه سيرجان</t>
  </si>
  <si>
    <t>03097</t>
  </si>
  <si>
    <t>شادبحربندر</t>
  </si>
  <si>
    <t>51115</t>
  </si>
  <si>
    <t>چاهوراه</t>
  </si>
  <si>
    <t>48856</t>
  </si>
  <si>
    <t>ايليار نگار گل راه توران</t>
  </si>
  <si>
    <t>30883</t>
  </si>
  <si>
    <t>مشاور نظاره جغرافيايي سپهر</t>
  </si>
  <si>
    <t>03597</t>
  </si>
  <si>
    <t>برق الكتريك</t>
  </si>
  <si>
    <t>03604</t>
  </si>
  <si>
    <t>بتن گستر مستحكم</t>
  </si>
  <si>
    <t>03846</t>
  </si>
  <si>
    <t>03826</t>
  </si>
  <si>
    <t>خوشنام خراسان</t>
  </si>
  <si>
    <t>47767</t>
  </si>
  <si>
    <t>برجيس بهينه ايده</t>
  </si>
  <si>
    <t>03021</t>
  </si>
  <si>
    <t>صنايع پي وي سي ايران</t>
  </si>
  <si>
    <t>03600</t>
  </si>
  <si>
    <t>كوليس ابزار</t>
  </si>
  <si>
    <t>47098</t>
  </si>
  <si>
    <t>ساير منابع دانشگاه هرمزگان</t>
  </si>
  <si>
    <t>47614</t>
  </si>
  <si>
    <t>دانشگاه آزاد اسلامي</t>
  </si>
  <si>
    <t>40771</t>
  </si>
  <si>
    <t>03606</t>
  </si>
  <si>
    <t>صنايع لاستيك پارس</t>
  </si>
  <si>
    <t>03610</t>
  </si>
  <si>
    <t>لوله پلي اتيلن دوجداره بوشهر</t>
  </si>
  <si>
    <t>47661</t>
  </si>
  <si>
    <t>صنعتي سديد</t>
  </si>
  <si>
    <t>52132</t>
  </si>
  <si>
    <t>حوصله وفايي</t>
  </si>
  <si>
    <t>03327</t>
  </si>
  <si>
    <t>سازه گستران هرمز</t>
  </si>
  <si>
    <t>03029</t>
  </si>
  <si>
    <t>بام بندرعباس</t>
  </si>
  <si>
    <t>47144</t>
  </si>
  <si>
    <t>رستاك آبرون</t>
  </si>
  <si>
    <t>03594</t>
  </si>
  <si>
    <t>مجتمع آب وبرق اصفهان</t>
  </si>
  <si>
    <t>51150</t>
  </si>
  <si>
    <t>پل دژ عرفان</t>
  </si>
  <si>
    <t>49967</t>
  </si>
  <si>
    <t>تكين افشار خليج فارس</t>
  </si>
  <si>
    <t>40937</t>
  </si>
  <si>
    <t>آرين سازان هرمز</t>
  </si>
  <si>
    <t>30895</t>
  </si>
  <si>
    <t>دانشگاه هرمزگان</t>
  </si>
  <si>
    <t>03148</t>
  </si>
  <si>
    <t>تحقيقات و آموزش مديريت</t>
  </si>
  <si>
    <t>03595</t>
  </si>
  <si>
    <t>پيمان بتن بندر</t>
  </si>
  <si>
    <t>03605</t>
  </si>
  <si>
    <t>مركزآموزش كوتاه مديريت</t>
  </si>
  <si>
    <t>03609</t>
  </si>
  <si>
    <t>مركزآموزش وپژوهش صنايع ايران</t>
  </si>
  <si>
    <t>52133</t>
  </si>
  <si>
    <t>کيان آب پارس</t>
  </si>
  <si>
    <t>52122</t>
  </si>
  <si>
    <t>گراديان پارس پويا</t>
  </si>
  <si>
    <t>03216</t>
  </si>
  <si>
    <t>شاهد بتون اراك</t>
  </si>
  <si>
    <t>03165</t>
  </si>
  <si>
    <t>صنعت آب و برق</t>
  </si>
  <si>
    <t>03306</t>
  </si>
  <si>
    <t>سامان صباي بندر</t>
  </si>
  <si>
    <t>03199</t>
  </si>
  <si>
    <t>پمپ سعدي</t>
  </si>
  <si>
    <t>03608</t>
  </si>
  <si>
    <t>فروشگاه مهرپويا</t>
  </si>
  <si>
    <t>03195</t>
  </si>
  <si>
    <t>گروه ملي صنعتي فولاد ايران</t>
  </si>
  <si>
    <t>51202</t>
  </si>
  <si>
    <t>افراز پيمايش</t>
  </si>
  <si>
    <t>52165</t>
  </si>
  <si>
    <t>نويد آب گستر تهران</t>
  </si>
  <si>
    <t>40701</t>
  </si>
  <si>
    <t>هرمز طاير</t>
  </si>
  <si>
    <t>03314</t>
  </si>
  <si>
    <t>صنعتي طلايه</t>
  </si>
  <si>
    <t>49997</t>
  </si>
  <si>
    <t>جنوب مهر گاوبندي</t>
  </si>
  <si>
    <t>بانک رد</t>
  </si>
  <si>
    <t>'1402/03/29</t>
  </si>
  <si>
    <t>بابت واريزي نقدي جهت تسويه پيش پرداخت</t>
  </si>
  <si>
    <t>'1402/05/08</t>
  </si>
  <si>
    <t>بابت واريزي شركت آراد نيرو هرمز درقبال مستهلك شدن پيش پرداخت</t>
  </si>
  <si>
    <t>'1402/08/17</t>
  </si>
  <si>
    <t>بابت واريزي شركت نيرو ابنيه سهند درقبال مستهلك شدن پيش پرداخت</t>
  </si>
  <si>
    <t>'1402/12/29</t>
  </si>
  <si>
    <t>بابت واريزي شرکت زلال ايران جهت تسويه ‍يش پرداخت</t>
  </si>
  <si>
    <t>بابت واريزي تسويه پيش پرداخت قرارداد 33030/16</t>
  </si>
  <si>
    <t>صدور چك در وجه بانک تمرکز سپرده</t>
  </si>
  <si>
    <t>صدور چك در وجه بيمه شركت طرح افرا صفاهان</t>
  </si>
  <si>
    <t>صدور چك در وجه بيمه</t>
  </si>
  <si>
    <t>صدور چك در وجه تامين اجتماعي</t>
  </si>
  <si>
    <t>صدور چك در وجه بيمه قرارداد 5102</t>
  </si>
  <si>
    <t>صدور چك در وجه بيمه قرارداد 45830</t>
  </si>
  <si>
    <t>صدور چک در وجه بيمه</t>
  </si>
  <si>
    <t>صدور چک در وجه شرکت سديد راه عطش قشم</t>
  </si>
  <si>
    <t>صدور چك در وجه طراحي و توليدي تصفيه آب البرز</t>
  </si>
  <si>
    <t>اصلاح</t>
  </si>
  <si>
    <t>واریزی بانک رد که از محل خزانه نمی باشد</t>
  </si>
  <si>
    <t>'1402/10/25</t>
  </si>
  <si>
    <t>'1402/12/15</t>
  </si>
  <si>
    <t>'1402/12/26</t>
  </si>
  <si>
    <t>اصلاح طرح و پروژه</t>
  </si>
  <si>
    <t>'1402/05/02</t>
  </si>
  <si>
    <t>اصلاحي</t>
  </si>
  <si>
    <t>'1402/09/06</t>
  </si>
  <si>
    <t>بابت اصلاح کد شرکت</t>
  </si>
  <si>
    <t>'1402/05/09</t>
  </si>
  <si>
    <t>بابت اصلاح چک برداشت از حساب 709 (پرداخت)</t>
  </si>
  <si>
    <t>'1402/11/09</t>
  </si>
  <si>
    <t>بابت اصلاح چک بيمه (پرداخت)</t>
  </si>
  <si>
    <t>'1402/03/07</t>
  </si>
  <si>
    <t>بابت اصلاح حساب شماره قرارداد شرکت جمع نما</t>
  </si>
  <si>
    <t>'1402/05/10</t>
  </si>
  <si>
    <t>بابت اصلاح سپرده از قرارداد متفرقه به شماره قرارداد شركت 18835</t>
  </si>
  <si>
    <t>بابت اصلاح سند پارس پژوه آب قرارداد 37226/16</t>
  </si>
  <si>
    <t>'1402/05/18</t>
  </si>
  <si>
    <t>بابت اصلاح طرح مهندسي مشاور صدرآب پويا قرارداد 38562/16</t>
  </si>
  <si>
    <t>بابت اصلاح طرح مهندسين پارس پژوه آب قرارداد367226/16</t>
  </si>
  <si>
    <t>بابت اصلاح طرح مهندسين پارس پژوه آب قرارداد(پرداخت)367226/16</t>
  </si>
  <si>
    <t>'1402/05/22</t>
  </si>
  <si>
    <t>بابت اصلاح طرح مهندسين مشاور فرآب سازه ايمن قرارداد 35790/16 تاريخ 1388/11/13</t>
  </si>
  <si>
    <t>'1402/05/17</t>
  </si>
  <si>
    <t>بابت اصلاح طرح و پروژه شرکت آب راه سازه خيبر قرارداد 3368</t>
  </si>
  <si>
    <t>بابت اصلاح طرح و پروژه شرکت مهندسين مشاور پارس پژوه</t>
  </si>
  <si>
    <t>'1402/06/29</t>
  </si>
  <si>
    <t>بابت اصلاح عطف 3595 سال 1401</t>
  </si>
  <si>
    <t>'1402/04/11</t>
  </si>
  <si>
    <t>بابت اصلاحيه سند 3454 (پرداخت)</t>
  </si>
  <si>
    <t>'1402/03/24</t>
  </si>
  <si>
    <t>بهسازان هرمزگان - اصلاح طرح و پروژه</t>
  </si>
  <si>
    <t>'1402/03/08</t>
  </si>
  <si>
    <t>'1402/12/24</t>
  </si>
  <si>
    <t>سرخوان همگام قشم - اصلاح طرح و پروژه</t>
  </si>
  <si>
    <t>سرخوان همگام قشم - اصلاح طرح و پروژه (سپرده بيمه)</t>
  </si>
  <si>
    <t>سي رنگ طلايي - اصلاح طرح و پروژه</t>
  </si>
  <si>
    <t xml:space="preserve"> جابجایی حق بیمه</t>
  </si>
  <si>
    <t>=</t>
  </si>
  <si>
    <t>ساير(12اقلام)</t>
  </si>
  <si>
    <t>11203</t>
  </si>
  <si>
    <t>040201511</t>
  </si>
  <si>
    <t>11353</t>
  </si>
  <si>
    <t>11469</t>
  </si>
  <si>
    <t>15030ح813</t>
  </si>
  <si>
    <t>11371</t>
  </si>
  <si>
    <t>15030ح810</t>
  </si>
  <si>
    <t>11358</t>
  </si>
  <si>
    <t>احداث وتكميل مجتمع هاي آبرساني روستاهي در سطح استان 100ح1503003</t>
  </si>
  <si>
    <t>15030ح100</t>
  </si>
  <si>
    <t>11343</t>
  </si>
  <si>
    <t>11365</t>
  </si>
  <si>
    <t>11360</t>
  </si>
  <si>
    <t>150300200</t>
  </si>
  <si>
    <t>11369</t>
  </si>
  <si>
    <t>11366</t>
  </si>
  <si>
    <t>11473</t>
  </si>
  <si>
    <t>11352</t>
  </si>
  <si>
    <t>13070ح209</t>
  </si>
  <si>
    <t>11271</t>
  </si>
  <si>
    <t>40201ح597</t>
  </si>
  <si>
    <t>اصل</t>
  </si>
  <si>
    <t>واریزی حقوق</t>
  </si>
  <si>
    <t>حقوق</t>
  </si>
  <si>
    <t>حقوق و دریافتی</t>
  </si>
  <si>
    <t>دریافتی</t>
  </si>
  <si>
    <t>سررسید نشده</t>
  </si>
  <si>
    <t>مشاور آب سازه فاضلاب</t>
  </si>
  <si>
    <t>اوراق تسویه</t>
  </si>
  <si>
    <t>15010002001</t>
  </si>
  <si>
    <t>100000000</t>
  </si>
  <si>
    <t xml:space="preserve">6-3-2 -  اصلاحات  به مبلغ 148 میلیون ریال بابت صورت وضعیت منفی پیمانکار بوده است  که در سال جاری به حساب پیش پرداخت لحاظ گردید و از دارایی ها کسر گردیده است . </t>
  </si>
  <si>
    <t>طرح و کار هونام</t>
  </si>
  <si>
    <t>وجوه و اسناد خزانه  دریافتی درسال جاری</t>
  </si>
  <si>
    <t>انتفاعی</t>
  </si>
  <si>
    <t>غیرانتفاعی</t>
  </si>
  <si>
    <t>تامین آب شهرک های صنعتی استان هرمزگان</t>
  </si>
  <si>
    <t>375ح40902</t>
  </si>
  <si>
    <t xml:space="preserve">جمع کل دريافتي </t>
  </si>
  <si>
    <t>طرح توسعه نواحي خاص (راهبري آب )</t>
  </si>
  <si>
    <t xml:space="preserve">احداث وتكميل آبرساني تك روستايي شهرستان ابوموسي </t>
  </si>
  <si>
    <t xml:space="preserve">خريد تضميني آب استحصالي پساب تصفيه شده از بخش غير دولتي </t>
  </si>
  <si>
    <t>کمک فنی واعتباری به توسعه اشتغال روستایی</t>
  </si>
  <si>
    <t>95</t>
  </si>
  <si>
    <t xml:space="preserve">اجراي طرح هاي توسعه تواحي خاص </t>
  </si>
  <si>
    <t>71</t>
  </si>
  <si>
    <t xml:space="preserve">احداث مخزن آب شرب </t>
  </si>
  <si>
    <t>عطف 4762 بابت اضافه بردن به حساب سایر هزینه ها و انتقال به ارزش خالص (43( طرح 170</t>
  </si>
  <si>
    <t xml:space="preserve">9-1-1-باتوجه به اصلاح نظام حسابداری بخش عمومی، بهای تمام شده طرح های انتفاعی خاتمه یافته انتقالی به دستگاه بهره بردار از سال 1394 (سال اجرای استانداردهای حسابداری بخش عمومی)، به عنوان مطالبات بلند مدت منظور شده است . شایان ذکراینکه طی سال مالی مورد گزارش مبلغ2.455.677 میلیون ریال بهای تمام شده طرح های غیر انتفاعی تکمیل شده، بر اساس صورتجلسات تحویل و تحول از سرفصل دارایی های در جریان تکمیل به حساب مطالبات بلند مدت منظور شده است. </t>
  </si>
  <si>
    <t>910101</t>
  </si>
  <si>
    <t>صورت تغييرات در ارزش خالص</t>
  </si>
  <si>
    <t>سایردريافتني ها</t>
  </si>
  <si>
    <t xml:space="preserve"> پرداختني ها </t>
  </si>
  <si>
    <t>12</t>
  </si>
  <si>
    <t>4- سایر دريافتني ها</t>
  </si>
  <si>
    <t>- موجودي ها</t>
  </si>
  <si>
    <t>26</t>
  </si>
  <si>
    <t>30</t>
  </si>
  <si>
    <t>50</t>
  </si>
  <si>
    <t>54</t>
  </si>
  <si>
    <t>7-8-مبلغ42.856.565 میلیون ریال مانده دارايي هاي در جريان تكميل بر حسب فصول سرمایه گذاری و به تفکیک طرح به شرح زيراست:</t>
  </si>
  <si>
    <t>10-1- حساب ها ي پرداختني حاصل از عمليات مبادله اي</t>
  </si>
  <si>
    <t>حساب های پرداختنی حاصل از عملیات مبادله ای</t>
  </si>
  <si>
    <t>حساب های پرداختنی حاصل ازعملیات غیرمبادله ای</t>
  </si>
  <si>
    <t>10-1-1</t>
  </si>
  <si>
    <t>10-1-2</t>
  </si>
  <si>
    <t>10-1-3</t>
  </si>
  <si>
    <t>10-1-1-تعهدات پرداختنی حاصل از عملیات مبادله ای به تفکیک هر طرح و منابع تامین اعتبار به شرح زیر می باشد:</t>
  </si>
  <si>
    <t xml:space="preserve"> (ادامه يادداشت1-1-10)</t>
  </si>
  <si>
    <t>69</t>
  </si>
  <si>
    <t>-10-1-1-1</t>
  </si>
  <si>
    <t xml:space="preserve">10-1-1-2- صورت ريز تعهدات پرداختني به تفكيك پيمانكاران ، مشاوران و فروشندگان کالا به شرح زير است: </t>
  </si>
  <si>
    <t xml:space="preserve">10-1-2-صورت ريز  سپرده های پرداختني (حسن انجام كار) به تفكيك هرطرح به شرح زير است: </t>
  </si>
  <si>
    <t xml:space="preserve">10-1-2-صورت ريز حساب ها ي سپرده های پرداختني (حسن انجام كار) به تفكيك هرطرح به شرح زير است: </t>
  </si>
  <si>
    <t xml:space="preserve">10-1-2-1- صورت ريز سپرده پرداختني (حسن انجام كار) به تفكيك پيمانكاران، مشاوران وفروشندگان کالا به شرح زير است: </t>
  </si>
  <si>
    <t xml:space="preserve">10-2-حساب های پرداختنی حاصل از عملیات غیر مبادله ای </t>
  </si>
  <si>
    <t>10-1-3-حفظ قدرت خرید اسناد خزانه پرداختنی به تفکیک هر طرح به شرح زیر می باشد:</t>
  </si>
  <si>
    <t>12- وجوه دريافتي از خزانه طی سال مالی به تفکیک هر طرح متشکل از اقلام ذیل می باشد</t>
  </si>
  <si>
    <t>13-وجوه دریافتی از محل سایر منابع</t>
  </si>
  <si>
    <t xml:space="preserve">14-سایر درآمدها- انتقالات </t>
  </si>
  <si>
    <t>14-1- وجوه دریافتی از محل اعتبارات تخصیص یافته - ابلاغی طی سال مالی به تفکیک هر طرح متشکل از اقلام ذیل می باشد:</t>
  </si>
  <si>
    <t>14-1</t>
  </si>
  <si>
    <t>14-2</t>
  </si>
  <si>
    <t>-15</t>
  </si>
  <si>
    <t>16- وجوه ارسالی به خزانه</t>
  </si>
  <si>
    <t>17-  ارزش خالص انباشته</t>
  </si>
  <si>
    <t>17-1-ارزش خالص انباشته به تفکیک هر طرح  به شرح زیراست :</t>
  </si>
  <si>
    <t>( ادامه 17- ارزش خالص انباشته )</t>
  </si>
  <si>
    <t xml:space="preserve">21-1-مقایسه بودجه مصوب و عملکرد طرح هاي تملک دارایی های سرمايه اي به تفكيك هر طرح ( برمبناي 12 ماهه ) به شرح زير مي باشد : </t>
  </si>
  <si>
    <t>21-1-ادامه</t>
  </si>
  <si>
    <t>21-1-1- علت وجود تفاوت بین عملکرد بر مبنای قابل مقایسه و بودجه ، عمدتا عدم اختصاص بودجه بطورکامل توسط دستگاه های ذیربط بودجه است. شایان ذکر اینکه مبلغ 4.255.109 میلیون ریال از مازاد وجوه مصرف نشده در پایان سال می باشد که به سال بعد انتقال یافته که در دوره متمم  به مصرف رسیده است .</t>
  </si>
  <si>
    <t>21-1-2- علت وجود تفاوت بین بین بودجه اولیه و بودجه نهایی، اصلاح موافقتنامه ها می باشد.</t>
  </si>
  <si>
    <t xml:space="preserve">21-2-مقایسه بودجه مصوب و عملکرد طرح هاي تملک دارایی های سرمايه اي به تفكيك فصول سرمايه گذاري ( برمبناي 12 ماهه ) به شرح زير مي باشد : </t>
  </si>
  <si>
    <t>101</t>
  </si>
  <si>
    <t>پرداختنی ها</t>
  </si>
  <si>
    <t>6</t>
  </si>
  <si>
    <t xml:space="preserve">صورت تغييرات در ارزش خالص </t>
  </si>
  <si>
    <t>انتقال به سرمایه گذاری در شرکت ها</t>
  </si>
  <si>
    <t>انتقال از سایر هزینه</t>
  </si>
  <si>
    <t>انتقال از مطالبات بلند مدت</t>
  </si>
  <si>
    <t xml:space="preserve">5-1- موجودی ها  تا مبلغ 230،000 میلیون ریال در مقابل خطرات ناشی از آتش سوزی، صاعقه، انفجار، زلزله، سیل و طغیان آب دارای پوشش بیمه ای می باشد. </t>
  </si>
  <si>
    <t>كيوان جاويد جنوب- (خط انتقال آب )</t>
  </si>
  <si>
    <t>قرارگاه امام حسن مجتبي (ع)-(خط انتقال آب)</t>
  </si>
  <si>
    <t>آزاد راه سازان ساحل - (عملیات زیر سازی و رو سازی نوارحفاری فاضلاب)</t>
  </si>
  <si>
    <t>آب صنعت نيكان -( احداث تلمبه خانه)</t>
  </si>
  <si>
    <t>ره كوشا سراب - (عملیات زیرسازی و روسازی فاضلاب )</t>
  </si>
  <si>
    <t>مهندسي تارا -( ایستگاه پمپاژ سدجگین)</t>
  </si>
  <si>
    <t>مشاور ري آب -( نظارت کارگاهی)</t>
  </si>
  <si>
    <t>خدمات فني و مهندسي نيماد نيلگون پارس - (خط انتقال آب)</t>
  </si>
  <si>
    <t>كيان كسري ساحل- (جمع آوری شبک فاضلاب)</t>
  </si>
  <si>
    <t>طرح و كار هونام- (خط انتقال آب )</t>
  </si>
  <si>
    <t>آتيه كوير-(عملیاتراه اندازی ایستگاه پمپاژو اصلاح خط انتقال شهر زهوکی)</t>
  </si>
  <si>
    <t>طرح واساس آب سمنگان-(تکمیل نواقص شبکه جمع آوری فاضلاب)</t>
  </si>
  <si>
    <t>ساخت گستر چهارمحال-( احداث مخزن 1000 متر مکعبی)</t>
  </si>
  <si>
    <t>بنا سازه گستر راتين نارون- (خط لوله انتقال آب)</t>
  </si>
  <si>
    <t>مهندسين مشاور پارس پژوه آب- (نظارت کارگاهی)</t>
  </si>
  <si>
    <t>تيراژه گامرون- (جمع آوری شبکه فاضلاب)</t>
  </si>
  <si>
    <t>مهندسين مشاور پديد آب سپاهان- (نظارت کارگاهی)</t>
  </si>
  <si>
    <t>جاويد بتن فارس- (خط انتقال لوله)</t>
  </si>
  <si>
    <t>پارس دژ هرمز- (عملیات اجرایی خطوط انتقال مخازن)</t>
  </si>
  <si>
    <t>كامكارسازه جنوب -(لوله گذاری شبکه فاضلاب بندرعباس)</t>
  </si>
  <si>
    <t>11-2-1- گردش حساب بدهي  بابت وجه الضمان به شرح زير مي باشد:</t>
  </si>
  <si>
    <t>(يادداشت15)</t>
  </si>
  <si>
    <t>1501001020</t>
  </si>
  <si>
    <t>68</t>
  </si>
  <si>
    <t>93</t>
  </si>
  <si>
    <t>94</t>
  </si>
  <si>
    <t>آن بخش از دارايي هاي در جريان تكميل كه طي سال تكميل مي گردد. به موجب نظام حسابداري بخش عمومي ابلاغي طي شماره 54/14098 مورخ 1402/01/30 معاونت نظارت مالي و خزانه داري كل كشور پس از انتقال، بهاي تمام شده  دارایی های تحصیل شده از محل منابع عمومی و سایر منابع (به استثنایی منابع داخلی دستگاه بهره بردار )بابت طرح های غیر انتفاعی به حساب سرمایه گذاری در شرکت ها و بابت طرح هاي انتفاعي به سرفصل مطالبات بلندمدت دولت منظور مي گردد. درصورتی که دارایی ها از محل سایر منابع (منابع داخلی دستگاه اجرایی) تحصیل شده باشد، در زمان بهره برداری و انتقال به دستگاه بهره بردار ، با حساب های پرداختنی حاصل از عملیات غیر مبادله ای تهاتر می گردد.</t>
  </si>
  <si>
    <t>(يادداشت1-1-10)</t>
  </si>
  <si>
    <t xml:space="preserve"> انتقال به سایرهزينه</t>
  </si>
  <si>
    <t>(يادداشت 15)</t>
  </si>
  <si>
    <t>( يادداشت 3-6 )</t>
  </si>
  <si>
    <t>(یادداشت 1-3-1-10)</t>
  </si>
  <si>
    <t>10-1-3-ادامه حفظ قدرت خرید اسناد خزانه پرداختنی به تفکیک هر طرح به شرح زیر می باشد:</t>
  </si>
  <si>
    <t>11-2- بدهي  بابت وجه الضمان :</t>
  </si>
  <si>
    <t>مانده درابتدای سال</t>
  </si>
  <si>
    <t>مانده درپایان سال</t>
  </si>
  <si>
    <t>(یادداشت 1-15)</t>
  </si>
  <si>
    <t>19-1</t>
  </si>
  <si>
    <t xml:space="preserve">حساب انتظامی -اسناد خزانه </t>
  </si>
  <si>
    <t xml:space="preserve">طرف حساب انتظامی -اسناد خزانه </t>
  </si>
  <si>
    <t>سایر طر ح های فاقد موافقت نامه در سال 1402</t>
  </si>
  <si>
    <t xml:space="preserve">(  يادداشت های 3-6 و1-6  ) </t>
  </si>
  <si>
    <t xml:space="preserve"> حسابهای پرداختنی حاصل از عمليات غیرمبادله ای بابت وجوه دريافتي از محل منابع داخلي دستگاه اجرايي به تفکیک هرطرح به شرح زير مي باشد.</t>
  </si>
  <si>
    <t>بدهی به خزانه بابت وجه الضمان به مبلغ 473،143 میلیون ريال (سال مالی قبل324،760 میلیون ریال ) بابت تضمین مطالبات پیمانکاران در قبال آزاد سازی سپرده های حسن انجام کار می باشد.</t>
  </si>
  <si>
    <t xml:space="preserve">(يادداشت1-11)و (يادداشت-1-1-10) </t>
  </si>
  <si>
    <t>(يادداشت12و14)</t>
  </si>
  <si>
    <t xml:space="preserve"> (يادداشت1-3-10) </t>
  </si>
  <si>
    <t>21-منابع و مصارف طرح های تملک دارایی های سرمایه ای</t>
  </si>
  <si>
    <t>2-4- موجودی ها</t>
  </si>
  <si>
    <t>موجودي ها شامل موجودی کالا می باشد که بر اساس  بهاي تمام شده تاریخی، ارزشيابي و بهاي تمام شده آن به روش اولين صادره از اولين وارده تعیین می گردد.</t>
  </si>
  <si>
    <t>8-1-1 - باتوجه به اصلاح نظام حسابداری بخش عمومی، بهای تمام شده طرح های غیر انتفاعی خاتمه یافته انتقالی به دستگاه بهره بردار از سال 1394 (سال اجرای استانداردهای حسابداری بخش عمومی)، به عنوان سرمایه گذاری در شرکت ها منظور شده است. شایان ذکراینکه طی سال مالی مورد گزارش مبلغ 3.044.365 میلیون ریال بهای تمام شده طرح های غیر انتفاعی تکمیل شده ، بر اساس صورتجلسات تحویل و تحول از سرفصل دارایی های درجریان تکمیل به حساب سرمایه گذاری در شرکت ها منظور شده است.</t>
  </si>
  <si>
    <t>انتقال بین طرح ها</t>
  </si>
  <si>
    <t>حفظ قدرت خرید تحقق یافته پروژه های خاتمه یافته</t>
  </si>
  <si>
    <t>وجوه نقد</t>
  </si>
  <si>
    <t xml:space="preserve"> (يادداشت-1-1-10) </t>
  </si>
  <si>
    <t>و</t>
  </si>
  <si>
    <t>وجوه درراه</t>
  </si>
  <si>
    <t>اسناد تسویه</t>
  </si>
  <si>
    <t>اسنادتسویه</t>
  </si>
  <si>
    <t>مانده تعدیل شده در ابتدای سال</t>
  </si>
  <si>
    <t xml:space="preserve">  دريافتي از محل اعتبارات تملك دارايي هاي سرمايه اي</t>
  </si>
  <si>
    <t xml:space="preserve"> مازاد منابع بر مصارف</t>
  </si>
  <si>
    <t xml:space="preserve"> وجوه انتقالی مصرف نشده</t>
  </si>
  <si>
    <t>(تجدید اراِئه شده)</t>
  </si>
  <si>
    <t>1-3- كاركنان</t>
  </si>
  <si>
    <t>میانگین ماهانه كاركنان در استخدام طرح هاي تملك دارايي هاي سرمايه اي طی سال مالي  به شرح زير بوده است.</t>
  </si>
  <si>
    <t>1-3-1- علت کاهش تعداد کارکنان قراردادی نسبت به سال قبل ناشی از تبدیل وضعیت تعداد 5 نفر از کارکنان طرح می باشد که به بخش جاری شرکت انتقال یافته اند.</t>
  </si>
  <si>
    <t>3-2- مانده موجودي نقد بانك دريافت وجوه سپرده  به تفكيك طرح ها به شرح زير مي باشد:</t>
  </si>
  <si>
    <t>3-3- مانده موجودي نقد بانك پرداخت سرمايه اي (ساير منابع) به تفكيك طرح ها به شرح زير مي باشد:</t>
  </si>
  <si>
    <t>3-4- مانده وجوه  درراه  به تفكيك طرح ها به شرح زير مي باشد:</t>
  </si>
  <si>
    <t xml:space="preserve"> 4-1-وجوه سپرده نزد خزانه (سپرده حسن انجام كار) بوده که به تفكيك طرح به شرح زير مي باشد:</t>
  </si>
  <si>
    <t xml:space="preserve"> 4-1-1-نقل و انتقالات به شرح جدول فوق ناشی ازتعدیل سپرده های پرداختنی میباشد که اشتباها در سال های قبل در طرح مربوطه منظور نگردیده و در سال  مالی مورد گزارش اصلاح گردیده است.</t>
  </si>
  <si>
    <t>در تاريخ 29 اسفند 1402</t>
  </si>
  <si>
    <t>يادداشت هاي توضيحي ، جزء جدايي نشدنی  صورت هاي مالي است.</t>
  </si>
  <si>
    <t>مازاد انباشته در ابتداي سال</t>
  </si>
  <si>
    <t>تعدیلات سنواتی</t>
  </si>
  <si>
    <t xml:space="preserve"> مازاد انباشته در ابتدای سال- تعدیل شده</t>
  </si>
  <si>
    <t>مازاد سال جاری</t>
  </si>
  <si>
    <t>يادداشت هاي توضيحي ، جزء جدايي نشدنی صورت هاي مالي است.</t>
  </si>
  <si>
    <t>يادداشت هاي توضيحي ،  جزء جدايي نشدنی  صورت هاي مالي  است.</t>
  </si>
  <si>
    <t>دريافتي از محل منابع عمومی</t>
  </si>
  <si>
    <t>جمع درآمدها</t>
  </si>
  <si>
    <t>سایر هزینه ها</t>
  </si>
  <si>
    <t>خالص درآمد</t>
  </si>
  <si>
    <t>مازاد دوره</t>
  </si>
  <si>
    <t>6-1-1- نقل و انتقالات به مبلغ 30/000 میلیون ریال بابت اصلاح سایر منابع می باشد که در سال مالی قبل اشتباها در این سرفصل منظور شده است.</t>
  </si>
  <si>
    <t>10- پرداختنی ها</t>
  </si>
  <si>
    <t xml:space="preserve">حساب های پرداختني </t>
  </si>
  <si>
    <t>(يادداشت-6-7)</t>
  </si>
  <si>
    <t xml:space="preserve"> (يادداشت3-1-10) </t>
  </si>
  <si>
    <t>(يادداشت12 و 14)</t>
  </si>
  <si>
    <t>بموجب نظام حسابداري بخش عمومي، ابلاغي طي شماره 54/14098 مورخ 1402/01/30 معاونت نظارت مالي و خزانه داركل كشور، دريافتي از محل منابع داخلي دستگاه اجرايي به سر فصل  پرداختني ها منظور مي گردد.</t>
  </si>
  <si>
    <t>6-1-2-  مانده پیش پرداخت موجودی کالای تحویلی به پیمانکاران به تفکیک طرح ها، پیمانکاران و نوع کالا به شرح زیر می باشد:</t>
  </si>
  <si>
    <t>انتقال به سرمایه گذاری ها</t>
  </si>
  <si>
    <t>انتقال به مطالبات دولت</t>
  </si>
  <si>
    <t>8-1-2 -  نقل و انتقالات  بابت اصلاح طرح های انتفایی و غیرانتفایی می باشد که در سال های قبل اشتباها" در سرفصل های سرمایه گذاری در شرکت ها و یا مطالبات بلندمدت دولت منظور گردیده است.</t>
  </si>
  <si>
    <t>9-1-2 -  نقل و انتقالات  بابت اصلاح طرح های انتفایی و غیرانتفایی می باشد که در سال های قبل اشتباها" در سرفصل های سرمایه گذاری در شرکت ها و یا مطالبات بلندمدت دولت منظور گردیده است.</t>
  </si>
  <si>
    <t>(یادداشت 13،12و14)</t>
  </si>
  <si>
    <t>(اصلاحات)
انتقال بین طرح</t>
  </si>
  <si>
    <t xml:space="preserve">17-1-علت منفی شدن ارزش خالص انباشته تعدادی از طرح های منعکس در جدول فوق، ناشی از وجود بدهی جهت این طرح ها و ماهیت هزینه ای داشتن آن ها می باشد . </t>
  </si>
  <si>
    <t>7-1-باتوجه به ماهیت دارایی ها و کمبود منابع مالی و رعایت صرفه و صلاح شرکت ،دارایی در جریان تکمیل فاقد پوشش بیمه ای می باشد، لیکن موضوع قرارداد های پروژه های در جریان تکمیل که توسط پیمانکار در حال اجرا می باشد از پوشش بیمه تمام خطر پیمان برخوردار است .</t>
  </si>
  <si>
    <t>7-2-تعدیلات ابتدای سال جمعا" به مبلغ 3،784،136 میلیون ریال بابت بهای تمام شده پروژه های خاتمه یافته طرح های تملک دارایی های سرمایه ای در سال های قبل می باشد که در سال جاری اقلام مقایسه ای از این بابت اصلاح گردیده است.</t>
  </si>
  <si>
    <t>(يادداشت2-7)</t>
  </si>
  <si>
    <t>6-3-2-1- در اجرای شیوه نامه هماهنگی اقدام ملی محرومیت زدایی از  محل اعتبارات جزء (3) جدول (17) قانون بودجه سال 1400 و بودجه های سنواتی آتی، قرارداد شماره 38400/16 مورخ 1400/11/06 با موضوع آبرسانی شرب به روستاهای استان هرمزگان (مشتمل بر 67 روستا) به مبلغ 11.040 میلیارد ریال بین شرکت آب و فاضلاب استان هرمزگان و قرارگاه امام حسن مجتبی (ع) با نظارت شرکت مهندسی آب و فاضلاب کشور منعقد گردیده و طی سال مالی مورد گزارش و سال مالی قبل  از این بابت جمعا" مبلغ 1.545.600 میلیون ریال معادل 14 درصد مبلغ قرارداد به عنوان  پیش پرداخت به آن قرارگاه پرداخت و طی سال مالی مورد گزارش و سال مالی قبل مبلغ 420.843 میلیون ریال بابت صورت وضعیت های ارائه شده مستهلک گردیده است.</t>
  </si>
  <si>
    <t>مازاد انباشته</t>
  </si>
  <si>
    <t>مازاد انباشته در پایان سال</t>
  </si>
  <si>
    <t xml:space="preserve">غيرانتفاعي </t>
  </si>
  <si>
    <t>درصورتيكه مخارج انجام شده منجر به ايجاد يك قلم دارايي معين منطبق با تعريف استانداردهای حسابداري بخش عمومي نگردد،‌ اينگونه مبالغ به عنوان هزینه  شناسایی مي گردد.</t>
  </si>
  <si>
    <t xml:space="preserve">6-2-1- مبلغ 130.692 میلیون ریال پیش پرداخت انتقالی به هزینه مربوط به طرح خريد تضميني آب  می باشد که  با توجه به هزينه اي بودن طرح مزبور، حسب مورد متناسب با میزان آب دریافتی یا مدت قرارداد خرید آب، قسمتی از پیش پرداخت به حساب هزینه (یادداشت توضیحی 15) منظور شده است . </t>
  </si>
  <si>
    <t xml:space="preserve">10-1-2-1- صورت ريز سپرده پرداختني (حسن انجام كار) به تفكيك سال ایجاد به شرح زير است: </t>
  </si>
  <si>
    <t>سال های قبل</t>
  </si>
  <si>
    <t xml:space="preserve">سال ایجاد </t>
  </si>
  <si>
    <t>7-7-علت مغایرت تعداد طرح های مندرج دریادداشت 7 با تعدادطرح های مبادله شده به شرح یادداشت 1-4-1 ، بخشی ناشی از طرح های بهره برداری نشده می باشد که در سال 1402 اعتباراتی برای آنها تخصیص نیافته لیکن دارای تعهدات پرداختنی می باشند و همچنین مبلغ 981،618 میلیون ریال از دارایی های در جریان تکمیل بابت طرح های انتقالی از شرکت آب و فاضلاب روستایی سابق (شامل80  طرح )می باشد که سوابق آن ها در موافقت نامه های مبادله شده با شرکت آب و فاضلاب منظور شده و تاکنون به بهره برداری نرسیده است. شایان ذکر اینکه با توجه به تغییر نرم افزار حسابداری در سال 1403 طرح های مذکور با طرح های دارای موافقت نامه ادغام و اصلاح خواهد شد.</t>
  </si>
  <si>
    <t>7-9-مبلغ16.734.117 میلیون ریال افزایش  دارايي هاي در جريان تكميل بر حسب فصول سرمایه گذاری و به تفکیک طرح به شرح زيراست:</t>
  </si>
  <si>
    <t xml:space="preserve"> 1403/12/30   </t>
  </si>
  <si>
    <t xml:space="preserve">  1402/12/29   </t>
  </si>
  <si>
    <t xml:space="preserve"> سال مالي منتهي به 30اسفند 1403 </t>
  </si>
  <si>
    <t>3-4-1-وجوه در راه بابت وجوه دریافتی از محل منابع عمومی می باشد که تخصیص آن درسال 1403 در حساب منظور گردیده  اما وجوه آن در سال مالی بعد واریز گردیده است.</t>
  </si>
  <si>
    <t>1403/12/30</t>
  </si>
  <si>
    <t xml:space="preserve"> سال مالي منتهي به30اسفند 1403</t>
  </si>
  <si>
    <t xml:space="preserve"> سال مالي منتهي به30 اسفند 1403</t>
  </si>
  <si>
    <t xml:space="preserve"> سال مالي منتهي به 30اسفند 1403</t>
  </si>
  <si>
    <t xml:space="preserve">    1403/12/30</t>
  </si>
  <si>
    <t xml:space="preserve"> سال مالي منتهي به 30 اسفند1403 </t>
  </si>
  <si>
    <t>مانده در 1403/12/30</t>
  </si>
  <si>
    <t>مانده در   1403/12/30</t>
  </si>
  <si>
    <t xml:space="preserve"> سال مالي منتهي به30 اسفند 1403 </t>
  </si>
  <si>
    <t xml:space="preserve">مانده در  1403/12/30 </t>
  </si>
  <si>
    <t xml:space="preserve"> سال مالي منتهي به30اسفند 1403 </t>
  </si>
  <si>
    <t xml:space="preserve">مانده در 1403/12/30  </t>
  </si>
  <si>
    <t xml:space="preserve"> سال مالي منتهي به 30 اسفند1403</t>
  </si>
  <si>
    <t>مانده تعدیل شده در 1402/12/29</t>
  </si>
  <si>
    <t xml:space="preserve"> سال مالي منتهي به 30اسفند1403 </t>
  </si>
  <si>
    <t>مانده در  1403/12/30</t>
  </si>
  <si>
    <t xml:space="preserve">     مانده در      1403/12/30</t>
  </si>
  <si>
    <t xml:space="preserve">        مانده در      1403/12/30</t>
  </si>
  <si>
    <t xml:space="preserve"> سال مالي منتهي به 30 اسفند 1403 </t>
  </si>
  <si>
    <t>حفظ قدرت خرید اسناد خزانه صادره (دوره متمم) سال 1402</t>
  </si>
  <si>
    <t>حفظ قدرت خرید اسناد خزانه صادره از محل اعتبارات سال 1403</t>
  </si>
  <si>
    <t>حفظ قدرت خرید سررسید شده در سال جاری از محل اعتبارات دوره متمم سال 1402</t>
  </si>
  <si>
    <t xml:space="preserve"> حفظ قدرت خرید سررسید شده در سال جاری از محل اعتبارات اسناد صادره سال 1403</t>
  </si>
  <si>
    <t>حفظ قدرت خرید سررسید شده در سال 1403 از محل اسناد خزانه سال های قبل</t>
  </si>
  <si>
    <t xml:space="preserve"> سال مالي منتهي به 30 اسفند 1403</t>
  </si>
  <si>
    <t>مانده در1403/12/30</t>
  </si>
  <si>
    <t>دریافتی دوره متمم سال 1402</t>
  </si>
  <si>
    <t>دریافتی سال 1403</t>
  </si>
  <si>
    <t>حفظ قدرت خرید اسناد خزانه صادره (دردوره متمم) از محل اعتبارات سال 1402</t>
  </si>
  <si>
    <t>سال 1403</t>
  </si>
  <si>
    <t>دریافتی طی دوره متمم از محل اعتبارات سال 1402</t>
  </si>
  <si>
    <t>دریافتی از محل اعتبارات سال 1403</t>
  </si>
  <si>
    <t>سال1402</t>
  </si>
  <si>
    <t>مانده  در 1403/12/30</t>
  </si>
  <si>
    <t>وجوه و اسناد  خزانه دریافتی از محل اعتبارات دوره متمم 1402</t>
  </si>
  <si>
    <t>هزینه های مالی آتی اسناد صادره سال 1403</t>
  </si>
  <si>
    <t>حفظ قدرت خرید سررسید 1403 اسناد صادره در سال های قبل</t>
  </si>
  <si>
    <t>منابع از محل اعتبارات سال1403</t>
  </si>
  <si>
    <t>حفظ قدرت خرید سنواتی سررسید 1403</t>
  </si>
  <si>
    <t>وجوه نقد دوره متمم1402</t>
  </si>
  <si>
    <t>اسنادخزانه اسلامی دوره انتقالی از سال 1402</t>
  </si>
  <si>
    <t>موجودي نقد پايان سال1403</t>
  </si>
  <si>
    <t>منابع از محل اعتبارات سال 1403</t>
  </si>
  <si>
    <t>موجودی نقد متمم سال 1402</t>
  </si>
  <si>
    <t>اسنادخزانه اسلامی سال 1402</t>
  </si>
  <si>
    <t>احداث و تكميل و بازسازي مجتمع هاي آبرساني روستايي در سطح استان</t>
  </si>
  <si>
    <t>11005</t>
  </si>
  <si>
    <t>1307002010</t>
  </si>
  <si>
    <t>احداث تكميل اصلاح و بازسازي آبرساني تك روستايي شهرستان بندرعباس</t>
  </si>
  <si>
    <t>احداث تكميل اصلاح و بازسازي آبرساني تك روستايي شهرستان خمير</t>
  </si>
  <si>
    <t>احداث تکميل اصلاح و بازسازي آبرساني تک روستايي شهرستان رودان</t>
  </si>
  <si>
    <t>احداث تكميل اصلاح و بازسازي آبرساني تك روستايي شهرستان بستك</t>
  </si>
  <si>
    <t>احداث تکميل اصلاح وبازسازي آبرساني تک روستايي شهرستان قشم</t>
  </si>
  <si>
    <t>احداث تكميل اصلاح و بازسازي آبرساني تك روستايي شهرستان بندرلنگه</t>
  </si>
  <si>
    <t>احداث تكميل اصلاح و بازسازي آبرساني تك روستايي شهرستان سيريك</t>
  </si>
  <si>
    <t>احداث تكميل اصلاح و بازسازي آبرساني تك روستايي شهرستان بشاگرد</t>
  </si>
  <si>
    <t>احداث تكميل اصلاح و بازسازي آبرساني تك روستايي</t>
  </si>
  <si>
    <t>احداث تكميل اصلاح و بازسازي آبرساني تك روستايي در سطح استان</t>
  </si>
  <si>
    <t>احداث تکميل اصلاح و بازسازي آبرساني تک روستايي شهرستان حاجي آباد</t>
  </si>
  <si>
    <t>احداث تكميل اصلاح و بازسازي آبرساني تك روستايي شهرستان ميناب</t>
  </si>
  <si>
    <t>كمك به تامين و انتقال آب و ايجاد تاسيسات فاضلاب در سطح كشور</t>
  </si>
  <si>
    <t>1307002321</t>
  </si>
  <si>
    <t>احداث تكميل اصلاح و بازسازي آبرساني تك روستايي شهرستان پارسيان</t>
  </si>
  <si>
    <t>آبرساني سيار به روستاها در سطح استان-1</t>
  </si>
  <si>
    <t>احداث و تكميل آبرساني تك روستايي شهرستان ابوموسي</t>
  </si>
  <si>
    <t>توسعه و ايجاد شبکه توزيع و تاسيسات آب آشاميدني شهري در سطح استان</t>
  </si>
  <si>
    <t>ايجاد طرح هاي كوچك تامين و انتقال آب شهرستان بندرعباس 308ح1307003</t>
  </si>
  <si>
    <t>ايجاد طرح هاي كوچك تامين و انتقال آب شهرهاي استان</t>
  </si>
  <si>
    <t>توسعه نواحي خاص (راهبري آب )</t>
  </si>
  <si>
    <t>904ح1503003</t>
  </si>
  <si>
    <t>908ح1503003</t>
  </si>
  <si>
    <t>907ح1503003</t>
  </si>
  <si>
    <t>913ح1503003</t>
  </si>
  <si>
    <t>905ح1503003</t>
  </si>
  <si>
    <t>915ح1503003</t>
  </si>
  <si>
    <t>909ح1503003</t>
  </si>
  <si>
    <t>911ح1503003</t>
  </si>
  <si>
    <t>914ح1503003</t>
  </si>
  <si>
    <t>906ح1503003</t>
  </si>
  <si>
    <t>918ح1503003</t>
  </si>
  <si>
    <t>920ح1503003</t>
  </si>
  <si>
    <t>912ح1503003</t>
  </si>
  <si>
    <t>921ح1503003</t>
  </si>
  <si>
    <t>916ح1503003</t>
  </si>
  <si>
    <t>910ح1503003</t>
  </si>
  <si>
    <t>919ح1503003</t>
  </si>
  <si>
    <t>917ح1503003</t>
  </si>
  <si>
    <t>922ح1503003</t>
  </si>
  <si>
    <t>308ح1307003</t>
  </si>
  <si>
    <t>309ح1307003</t>
  </si>
  <si>
    <t>ايجاد طرح هاي كوچك تامين و انتقال آب شهرستان بندرعباس</t>
  </si>
  <si>
    <t>119ح1502016</t>
  </si>
  <si>
    <t xml:space="preserve">احداث تکميل اصلاح و بازسازي آبرساني تک روستايي شهرستان جاسک </t>
  </si>
  <si>
    <t>3-1-1- موجودی نقد نزد بانک پرداخت به مبلغ 5.685.786 میلیون ریال ، مانده وجوه مصرف نشده از محل منابع عمومی می باشد که تا پایان دوره متمم به طور کامل مصرف شده است.</t>
  </si>
  <si>
    <t>بازسازي و اصلاح شبكه توزيع آب آشاميدني شهري در سطح استان</t>
  </si>
  <si>
    <t>سایر(8قلم)</t>
  </si>
  <si>
    <t>توسعه نواحي خاص (راهبري آب جزاير )</t>
  </si>
  <si>
    <t>سایر اقلام (8قلم)</t>
  </si>
  <si>
    <t>3-4- تا تاریخ تهیه این یادداشت مانده وجوه مصرف نشده در تاریخ صورت وضعیت مالی به طور کامل مصرف گردیده است.</t>
  </si>
  <si>
    <t>11001</t>
  </si>
  <si>
    <t>11003</t>
  </si>
  <si>
    <t>11345</t>
  </si>
  <si>
    <t>1503003ح300</t>
  </si>
  <si>
    <t>1503003ح100</t>
  </si>
  <si>
    <t>1503003ح803</t>
  </si>
  <si>
    <t>1503003ح804</t>
  </si>
  <si>
    <t>11034</t>
  </si>
  <si>
    <t>40902ح325</t>
  </si>
  <si>
    <t>11063</t>
  </si>
  <si>
    <t>40201ح438</t>
  </si>
  <si>
    <t>11078</t>
  </si>
  <si>
    <t>11091</t>
  </si>
  <si>
    <t>40902ح344</t>
  </si>
  <si>
    <t>11204</t>
  </si>
  <si>
    <t>40901ح019</t>
  </si>
  <si>
    <t>11236</t>
  </si>
  <si>
    <t>40902ح408</t>
  </si>
  <si>
    <t>11255</t>
  </si>
  <si>
    <t>11268</t>
  </si>
  <si>
    <t>40201ح596</t>
  </si>
  <si>
    <t>11288</t>
  </si>
  <si>
    <t>40902ح535</t>
  </si>
  <si>
    <t>11321</t>
  </si>
  <si>
    <t>1307003ح206</t>
  </si>
  <si>
    <t>11344</t>
  </si>
  <si>
    <t>1307003ح210</t>
  </si>
  <si>
    <t>11346</t>
  </si>
  <si>
    <t>1503003ح400</t>
  </si>
  <si>
    <t>1307003ح209</t>
  </si>
  <si>
    <t>11354</t>
  </si>
  <si>
    <t>1307003ح215</t>
  </si>
  <si>
    <t>11362</t>
  </si>
  <si>
    <t>1503003ح601</t>
  </si>
  <si>
    <t>11363</t>
  </si>
  <si>
    <t>1503003ح801</t>
  </si>
  <si>
    <t>11364</t>
  </si>
  <si>
    <t>1503003ح802</t>
  </si>
  <si>
    <t>11367</t>
  </si>
  <si>
    <t>1503003ح805</t>
  </si>
  <si>
    <t>11368</t>
  </si>
  <si>
    <t>1503003ح806</t>
  </si>
  <si>
    <t>1503003ح807</t>
  </si>
  <si>
    <t>11370</t>
  </si>
  <si>
    <t>1503003ح808</t>
  </si>
  <si>
    <t>1503003ح810</t>
  </si>
  <si>
    <t>11372</t>
  </si>
  <si>
    <t>1503003ح811</t>
  </si>
  <si>
    <t>11376</t>
  </si>
  <si>
    <t>1503003ح800</t>
  </si>
  <si>
    <t>11381</t>
  </si>
  <si>
    <t>1503003ح809</t>
  </si>
  <si>
    <t>11467</t>
  </si>
  <si>
    <t>احداث وتكميل آبرساني تك روستايي درسطح استان 812ح1503003</t>
  </si>
  <si>
    <t>1503003ح812</t>
  </si>
  <si>
    <t>11468</t>
  </si>
  <si>
    <t>احداث وتكميل آبرساني تك روستايي در سطح استان 902ح</t>
  </si>
  <si>
    <t>1503003ح902</t>
  </si>
  <si>
    <t>1503003ح813</t>
  </si>
  <si>
    <t>11471</t>
  </si>
  <si>
    <t>1503003ح603</t>
  </si>
  <si>
    <t>11472</t>
  </si>
  <si>
    <t>کمک به اجراي پروژهاي جهش توليد مسکن موضوع</t>
  </si>
  <si>
    <t>كمك هاي فني و اعتباري به توسعه اشتغال روستايي</t>
  </si>
  <si>
    <t>1502017008</t>
  </si>
  <si>
    <t>بازسازي و اصلاح شبكه توزيع آب آشاميدني شهري در سطح استان-</t>
  </si>
  <si>
    <t>11491</t>
  </si>
  <si>
    <t>1503003ح913</t>
  </si>
  <si>
    <t>11493</t>
  </si>
  <si>
    <t>1503003ح918</t>
  </si>
  <si>
    <t>احداث تکميل اصلاح و بازسازي آبرساني تک روستايي شهرستان جاسک</t>
  </si>
  <si>
    <t xml:space="preserve"> 911ح1503003</t>
  </si>
  <si>
    <t xml:space="preserve"> 921ح1503003</t>
  </si>
  <si>
    <t xml:space="preserve"> 907ح1503003</t>
  </si>
  <si>
    <t xml:space="preserve"> 918ح1503003</t>
  </si>
  <si>
    <t xml:space="preserve"> 920ح1503003</t>
  </si>
  <si>
    <t>11140</t>
  </si>
  <si>
    <t>40902ح274</t>
  </si>
  <si>
    <t>11322</t>
  </si>
  <si>
    <t>909ح1503004</t>
  </si>
  <si>
    <t>5-2- اضافات موجودي ها به مبلغ 738/283 میلیون ریال عمدتا"شامل لوله گالوانیزه، الکتروموتور، لوله چدنی، لوله فولادی و فلنچ مي باشد.</t>
  </si>
  <si>
    <t>انتقال به دارایی در جریان تکمیل</t>
  </si>
  <si>
    <t>6-2-2-1- مبلغ 261.378 ميليون ريال پيش پرداخت  به شركت احداث و بهره برداري آب شيرين كن بندرعباس-شايا، در اجراي قرارداد شماره 20014/16 مورخ 1391/05/21  به روش B.O.O تحت پیمان شرکت مذکور و در قالب طرح خريد تضميني آب به شماره 1307003025 پرداخت گردیده است. لازم به ذكر اينكه به موجب مفاد قرارداد منعقده في مابين به شرح فوق(بند 1-4-5 قرارداد) مبلغ مزبور بابت پيش خريد آب ، پس از شروع بهره برداري تجاري از ظرفيت كامل تاسيسات با لحاظ نمودن يك سال دوره تنفس، در يك دوره 7 ساله از محل صورتحساب هاي سرمايه گذار تسويه خواهد گرديد. اضافه مي گردد پروژه آبشيرين كن از تاريخ 1398/6/31 با استحصال آب به ميزان 40000 مترمكعب روزانه بهره برداري و به ظرفيت 100،000 مترمكعب روزانه رسيده است. خريد آب از پيمانكارشركت احداث و بهره برداري آب شيرين كن بندرعباس-شايا توسط مهندسي آب و فاضلاب كشور به مدت 21 سال تضمين گرديده است.</t>
  </si>
  <si>
    <t>سدفام توس</t>
  </si>
  <si>
    <t>فني و مهندسي سازه هاي امن هوشمند</t>
  </si>
  <si>
    <t>جلگه گستر لرستان</t>
  </si>
  <si>
    <t>شرکت نگين پرتو نصر (نگين گهر خاورميانه)</t>
  </si>
  <si>
    <t>صدر آب نيرو</t>
  </si>
  <si>
    <t>فرا پويان افق نوسان</t>
  </si>
  <si>
    <t>آلاچيق سازان جوي زر</t>
  </si>
  <si>
    <t>یادداشت 4</t>
  </si>
  <si>
    <t>همراه بتن</t>
  </si>
  <si>
    <t>ساير672قلم)</t>
  </si>
  <si>
    <t>دوره متمم سال 1402</t>
  </si>
  <si>
    <t xml:space="preserve">13-1- مبلغ271.495  میلیون ریال وجوه دریافتی از محل سایر منابع شامل مبلغ89.900 میلیون ریال در اجرای بند (الف) تبصره (6) قانون بودجه سال 1402 از محل اعتبارات سایر منابع، مبلغ 174.995 میلیون ریال بابت قدر سهم دریافتی از شرکت ملی  نفت و گاز ایران ومبلغ 7.500 میلیون ریال دریافتی از فرمانداری حاجی آباد به حساب سایر منابع واریز گردیده است. </t>
  </si>
  <si>
    <t>دریافتی حقوق</t>
  </si>
  <si>
    <t>سایر (4قلم)</t>
  </si>
  <si>
    <t>سایر(16قلم)</t>
  </si>
  <si>
    <t>جمع حفظ قدرت خرید اسناد خزانه صادره دوره متمم 1402</t>
  </si>
  <si>
    <t>12-1- در اجرای مفاد بند های قانون بودجه سال1402  و مطابق با موافقت نامه و نامه های استانی  نسبت به واگذاری اسناد خزانه اسلامی به پیمانکاران و تامین کنندگان کالا طبق بندهای قانونی ذیل اقدام گردیده است.</t>
  </si>
  <si>
    <t>14-1-1- در اجرای مفاد بند های قانون بودجه سال1402  و مطابق با موافقت نامه و نامه های ابلاغی  شرکت مهندسی آبفای کشور و وزارت نیرو نسبت به واگذاری اسناد خزانه اسلامی به پیمانکاران و تامین کنندگان کالا طبق بندهای قانونی ذیل اقدام گردیده است.</t>
  </si>
  <si>
    <t xml:space="preserve">بند(ب) تبصره 5 قانون بودجه سال 1402 </t>
  </si>
  <si>
    <t>1405/09/23</t>
  </si>
  <si>
    <t>1405/11/12</t>
  </si>
  <si>
    <t>12-1-1- مبلغ 57.047 میلیون ریال حفظ قدرت خرید اسناد صادره در سال 1403 شامل مبلغ  35،934 میلیون ریال حفظ قدرت خرید سال 1404 به بعد و همچنین مبلغ 21،113 میلیون ریال حفظ قدرت خرید سال 1403 می باشد که به همراه مبلغ  98،044میلیون ریال بابت اصل مبلغ اسناد خزانه صادره سال 1403 به حساب دارایی در جریان تکمیل منظور گردیده است.</t>
  </si>
  <si>
    <t>از محل الحاق بند(ب) تبصره 5</t>
  </si>
  <si>
    <t>1405/03/25</t>
  </si>
  <si>
    <t>1405/08/18</t>
  </si>
  <si>
    <t>1405/07/20</t>
  </si>
  <si>
    <t>1405/09/16</t>
  </si>
  <si>
    <t>1405/10/21</t>
  </si>
  <si>
    <t>14-1-1-1- مبلغ 539،988 میلیون ریال حفظ قدرت خرید اسناد صادره در سال 1403 شامل مبلغ 339،522 میلیون ریال حفظ قدرت خرید سال 1404 به بعد و همچنین مبلغ 200،466 میلیون ریال حفظ قدرت خرید سال 1403 می باشد که به همراه مبلغ  1،005،054 میلیون ریال بابت اصل مبلغ اسناد خزانه صادراه سال 1403 به حساب دارایی در جریان تکمیل منظور گردیده است.</t>
  </si>
  <si>
    <t>804ح1503004</t>
  </si>
  <si>
    <t>سایر(149 قلم)</t>
  </si>
  <si>
    <t>18-حساب انتظامی</t>
  </si>
  <si>
    <t>18-1-حساب های انتظامی بابت تضمین دریافتی از پيمانكاران به شرح زیر می باشد:</t>
  </si>
  <si>
    <t xml:space="preserve">19-تعهدات، بدهي ها ودارايي هاي احتمالي </t>
  </si>
  <si>
    <t>کنترل دریافتی ها بابت اعتبار</t>
  </si>
  <si>
    <t>احداث تکميل اصلاح و بازسازي آبرساني تک روستايي شهرستان جاسک 911ح1503003</t>
  </si>
  <si>
    <t>نقد بدون حقوق</t>
  </si>
  <si>
    <t xml:space="preserve"> آبرساني به حاجي آباد</t>
  </si>
  <si>
    <t>559ح40201</t>
  </si>
  <si>
    <t>انتقال آب به شمال بندرعباس</t>
  </si>
  <si>
    <t>سایر(283قلم)</t>
  </si>
  <si>
    <t xml:space="preserve"> 904ح1503003</t>
  </si>
  <si>
    <t>احداث تكميل اصلاح و بازسازي آبرساني روستایی سطح استان</t>
  </si>
  <si>
    <t>هزینه</t>
  </si>
  <si>
    <t>سایر کسورز</t>
  </si>
  <si>
    <t>فني مهندسي دنيز نيرو هرمزگان(برق رسانی سطح استان)</t>
  </si>
  <si>
    <t>بردو(تصفیه خانه میناب)</t>
  </si>
  <si>
    <t>ايستا سازه بندر(تامین و انتقال آب شهر های استان)</t>
  </si>
  <si>
    <t>اتصال مكانيك(خرید پکیج)</t>
  </si>
  <si>
    <t>مگا نيروي هرمزگان(برق رسانی به سطح استان)</t>
  </si>
  <si>
    <t>مشاور پارس آب تدبير(نظارت کارگاهی)</t>
  </si>
  <si>
    <t>سالار ساعد سهند(تکمیل مخزن)</t>
  </si>
  <si>
    <t>شيب ساز ساحل(خط انتقال آب)</t>
  </si>
  <si>
    <t>شرکت نگين پرتو نصر(اصلاح و بازسازی)</t>
  </si>
  <si>
    <t>آداب سيرگان( عملیات اجرایی ایستگاه های بالابر و پسماند فاضلاب)</t>
  </si>
  <si>
    <t>1403</t>
  </si>
  <si>
    <t xml:space="preserve">براي سال مالي منتهي به 30 اسفند  1403 </t>
  </si>
  <si>
    <t>سایر منابع کسر شده</t>
  </si>
  <si>
    <t>7-2-مبلغ 3،021،109میلیون ریال  بهای تمام شده دارایی های  تکمیل شده به دستگاه بهره بردار ( شامل مبلغ 1.7060.84 میلیون ریال طرح های غیر انتفاعی به طرفیت سرمایه گذاری در شرکت ها و مبلغ1.315.025  میلیون ریال طرح های انتفاعی به طرفیت مطالبات بلند مدت دولت) براساس صورتجلسات تحویل و تحول می باشد.</t>
  </si>
  <si>
    <t>7-5-نقل و انتقالات به شرح جدول فوق به مبلغ 1.435.214 میلیون ریال مربوط به جابجایی تعهدات و دارایی در جریان تکمیل یک طرح به طرح مشابه می باشد که طی سال جهت صورت وضعیت های ارائه شده در طرح های مشابه تعهد ایجاد شده و با توجه به تخصیص منابع جهت طرح های دارای منابع مالی، تعهدات تعدیل و دارایی های ایجاد شده نیز به طرح های دارای منابع انتقال یافته است.</t>
  </si>
  <si>
    <t>10-1-3-1-مبلغ 1.026.815 میلیون ریال سهم سال جاری سررسید شده مربوط به حفظ قدرت خرید اسناد خزانه صادره در سال های 1399 (به نرخ 15%)، 1400 (به نرخ 15%) ، دوره متمم 1401(به نرخ 18%) و 1402(به نرخ 20/5) می باشد که مبلغ 959.140میلیون ریال به حساب دارایی های در جریان تکمیل (یادداشت 7) و مبلغ 102.251 میلیون ریال به حساب سایر هزینه ها (یادداشت 15) منظور شده است.</t>
  </si>
  <si>
    <t>7-4- افزایش دارایی در جریان تکمیل شامل مبلغ 959.140میلیون ریال حفظ قدرت خرید اسناد خزانه اسلامی واگذار شده به شرح یادداشت 1-3-1-10 می باشد.</t>
  </si>
  <si>
    <t xml:space="preserve">6-3-1 -  تهاتر با حساب های پرداختنی  حاصل عملیات مبادله ای (تعهدات ) به مبلغ  70،264 میلیون ریال مربوط به پيش پرداخت هاي 14 فقره قرارداد مي باشد كه عمدتا به دلیل آزاد سازی ضمانت نامه ها به درخواست پیمانکاران مربوطه  از محل مطالبات سنواتي كسر گرديده است. </t>
  </si>
  <si>
    <t>7-6-مبلغ 62.009 میلیون ریال  اصلاحات شامل مبلغ 35.356 میلیون ریال مربوط به مازاد تعهدات سنوات قبل بوده که در سال جاری با دارایی های در جریان ایجاد شده مربوطه در سال های قبل تهاتر گردیده است (یاداشت 1-1-10)و مبلغ 11.263 میلیون ریال بابت صورت  وضعیت منفی که به حساب پیش پرداخت ها منظور گردیده (یاداشت 3-6)و همچنین مبلغ 15.390 میلیون ریال بابت اضافه دارایی ثبت شده در سال قبل می باشد.</t>
  </si>
  <si>
    <t>نقل و انتقالات به مبلغ  1.435.213 میلیون ریال مربوط به جابه جایی تعهدات و دارایی های در جریان تکمیل یک طرح به طرح مشابه می باشد که طی سال جهت صورت وضعیت های ارائه شده در طرح های مشابه تعهد ایجاد شده و با توجه به تخصیص منابع جهت طرح های دارای منابع مالی، تعهدات تعدیل و دارایی های ایجاد شده نیز به طرح های دارای منابع انتقال یافته است.</t>
  </si>
  <si>
    <t>سایر اقلام (27قلم)</t>
  </si>
  <si>
    <t xml:space="preserve">مالیات </t>
  </si>
  <si>
    <t>جمع منایع عمومی نقل به صفحه بعد</t>
  </si>
  <si>
    <t>جمع سایر نقل از صفحه قبل</t>
  </si>
  <si>
    <t xml:space="preserve">وجوه ارسالی به خزانه به مبلغ 1.582 میلیون ریال بابت تسویه حساب پیش پرداخت های سنواتی به تعداد 2 فقره قرارداد پیمانکاران  به دلیل خاتمه پیمان (موضوع ماده 48 شرایط عمومی پیمان- یادداشت3-6 ) می باشد که در سال جاری به حساب خزانه واریز شده است.    </t>
  </si>
  <si>
    <t>منابع ابلاغی</t>
  </si>
  <si>
    <t>منابع استانی</t>
  </si>
  <si>
    <t>دريافتي در سال 1403</t>
  </si>
  <si>
    <t>دريافتي از محل اعتبارات سال 1402 (دوره متمم)در سال جاری</t>
  </si>
  <si>
    <t>انتفاعي - ابلاغي</t>
  </si>
  <si>
    <t>غيرانتفاعي- ابلاغي</t>
  </si>
  <si>
    <t xml:space="preserve">توسعه و ایجاد شبکه توزیع آب آشامیدنی شهرهای استان </t>
  </si>
  <si>
    <t xml:space="preserve">غیر انتفاعی </t>
  </si>
  <si>
    <t>سال مالي منتهي به 30 اسفند 1403</t>
  </si>
  <si>
    <t xml:space="preserve">انتفاعي- ابلاغي </t>
  </si>
  <si>
    <t xml:space="preserve"> سال مالي منتهي به سال مالي منتهي به 30 اسفند 1403</t>
  </si>
  <si>
    <t xml:space="preserve">زيرساخت مسكن مهر (سهم دولت) </t>
  </si>
  <si>
    <t>غير انتفاعي- ابلاغي</t>
  </si>
  <si>
    <t>کمک به ایجاد تاسیسات فاضلاب درسطح کشور</t>
  </si>
  <si>
    <t xml:space="preserve">غیر انتفاعی - ابلاغی </t>
  </si>
  <si>
    <t xml:space="preserve">کمک به اجرای جهش تولید مسکن </t>
  </si>
  <si>
    <t>آبرسانی به شهرهای دارای تنش آبی</t>
  </si>
  <si>
    <t xml:space="preserve">انتفاعي  </t>
  </si>
  <si>
    <t xml:space="preserve">تامين وانتقال آب شهرهاي استان </t>
  </si>
  <si>
    <t xml:space="preserve">توسعه وايجاد شبكه توزيع آب آشاميدني شهرهاي استان </t>
  </si>
  <si>
    <t>308ح1503003</t>
  </si>
  <si>
    <t xml:space="preserve">احداث وتكميل اصلاح وبارسازي آبرساني تك روستايي </t>
  </si>
  <si>
    <t xml:space="preserve">انتفاعی -ابلاغی </t>
  </si>
  <si>
    <t>ایجاد تاسیسات فاضلاب شهر رودان</t>
  </si>
  <si>
    <t>ايجادتاسيسات فاضلاب شهرجاسک</t>
  </si>
  <si>
    <t xml:space="preserve">ايجاد تاسيسات فاضلاب روستاهاي داراي اولويت كشور </t>
  </si>
  <si>
    <t>در سال مالي مورد گزارش از محل اعتبارات سال 1403مبلغ  29.304/937 ميليون ريال اسناد خزانه (شامل مبلغ  17/728/487 میلیون ريال بابت اصل ومبلغ11/576/450 میلیون ريال حفظ قدرت خريد ) و مبلغ 9/801/019 ريال وجه نقد از محل منابع عمومي ابلاغي دريافت ومصرف گرديده است .</t>
  </si>
  <si>
    <t xml:space="preserve">درسال مالي 1403 ازمبلغ54/760/657 ميليون ريال اعتبار مصوب، مبلغ45/281/151 ريال تخصيص يافته كه از اين بابت تا پايان سال 1403 مبلغ15/996/092میلیون ریال (شامل مبلغ.15/976/214 ريال وجه نقد از محل منابع عمومي و ابلاغي و مبلغ19/878 ريال وجه نقد از محل ساير منابع ) دريافت گرديده است شايان ذكر است كه مبلغ8/545/840 میلیون ریال در سال 1404 از محل اعتبارات  سال 1403 دریافت و مصرف گردیده است و این رویداد براساس فصل چهارم نظام حسابداری بخش عمومی در سال مالی بعد شناسایی و ثبت گردیده است. </t>
  </si>
  <si>
    <t>دريافتي طي دوره متمم سال 1402</t>
  </si>
  <si>
    <t xml:space="preserve">ايجاد تاسيسات فاضلاب بندرعباس </t>
  </si>
  <si>
    <t xml:space="preserve">ايجاد تاسيسات فاضلاب روستاهاي اولويت دار </t>
  </si>
  <si>
    <t>15</t>
  </si>
  <si>
    <t>20</t>
  </si>
  <si>
    <t>21</t>
  </si>
  <si>
    <t>27</t>
  </si>
  <si>
    <t>31</t>
  </si>
  <si>
    <t>34</t>
  </si>
  <si>
    <t>51</t>
  </si>
  <si>
    <t>57</t>
  </si>
  <si>
    <t>58</t>
  </si>
  <si>
    <t>59</t>
  </si>
  <si>
    <t>/</t>
  </si>
  <si>
    <t>67</t>
  </si>
  <si>
    <t>70</t>
  </si>
  <si>
    <t>73</t>
  </si>
  <si>
    <t>74</t>
  </si>
  <si>
    <t>86</t>
  </si>
  <si>
    <t>92</t>
  </si>
  <si>
    <t>102</t>
  </si>
  <si>
    <t>104</t>
  </si>
  <si>
    <t>105</t>
  </si>
  <si>
    <t>107</t>
  </si>
  <si>
    <t>116</t>
  </si>
  <si>
    <t>710101</t>
  </si>
  <si>
    <t>810101</t>
  </si>
  <si>
    <t>810106</t>
  </si>
  <si>
    <t>810108</t>
  </si>
  <si>
    <t>810109</t>
  </si>
  <si>
    <t>810117</t>
  </si>
  <si>
    <t>حساب انتظامي- کنترل دريافتي ها بابت اعتبار</t>
  </si>
  <si>
    <t>810201</t>
  </si>
  <si>
    <t>810206</t>
  </si>
  <si>
    <t>810208</t>
  </si>
  <si>
    <t>810209</t>
  </si>
  <si>
    <t>810217</t>
  </si>
  <si>
    <t>طرف حساب انتظامي- کنترل دريافتي ها بابت اعتبار</t>
  </si>
  <si>
    <t>910103</t>
  </si>
  <si>
    <t>910302</t>
  </si>
  <si>
    <t>910501</t>
  </si>
  <si>
    <t>910503</t>
  </si>
  <si>
    <t>910504</t>
  </si>
  <si>
    <t>910803</t>
  </si>
  <si>
    <t>910901</t>
  </si>
  <si>
    <t>910904</t>
  </si>
  <si>
    <t>22-116</t>
  </si>
  <si>
    <t>7-20</t>
  </si>
  <si>
    <t xml:space="preserve"> به پيوست صورت هاي مالي طرح‌هاي تملك دارايي‌هاي سرمايه‌اي شركت آب ‌و فاضلاب استان هرمزگان (سهامي خاص) براي سال مالي منتهي به 30اسفند1403  تقديم مي‌شود، اجزاي تشكيل دهنده صورت هاي مالي به قرار زير است.</t>
  </si>
  <si>
    <t>64/39</t>
  </si>
  <si>
    <t>35/17</t>
  </si>
  <si>
    <t>73/14</t>
  </si>
  <si>
    <t>25/17</t>
  </si>
  <si>
    <t>65/8</t>
  </si>
  <si>
    <t>84/20</t>
  </si>
  <si>
    <t>45/06</t>
  </si>
  <si>
    <t>47/5</t>
  </si>
  <si>
    <t>23/97</t>
  </si>
  <si>
    <t>24</t>
  </si>
  <si>
    <t>ـ</t>
  </si>
  <si>
    <t>100</t>
  </si>
  <si>
    <t>73/59</t>
  </si>
  <si>
    <t>49/15</t>
  </si>
  <si>
    <t>84/10</t>
  </si>
  <si>
    <t>8/12</t>
  </si>
  <si>
    <t>48/94</t>
  </si>
  <si>
    <t>75/23</t>
  </si>
  <si>
    <t>46/67</t>
  </si>
  <si>
    <t>55/15</t>
  </si>
  <si>
    <t>84/16</t>
  </si>
  <si>
    <t>84/83</t>
  </si>
  <si>
    <t>66/31</t>
  </si>
  <si>
    <t>36/26</t>
  </si>
  <si>
    <t>79/9</t>
  </si>
  <si>
    <t>82/9</t>
  </si>
  <si>
    <t>82/71</t>
  </si>
  <si>
    <t>81</t>
  </si>
  <si>
    <t>40/39</t>
  </si>
  <si>
    <t>65</t>
  </si>
  <si>
    <t>54/12</t>
  </si>
  <si>
    <t>79/87</t>
  </si>
  <si>
    <t>80</t>
  </si>
  <si>
    <t>76/22</t>
  </si>
  <si>
    <t>76/5</t>
  </si>
  <si>
    <t>92/29</t>
  </si>
  <si>
    <t>86/14</t>
  </si>
  <si>
    <t>2/45</t>
  </si>
  <si>
    <t>14/38</t>
  </si>
  <si>
    <t>(10)</t>
  </si>
  <si>
    <t>46/75</t>
  </si>
  <si>
    <t>0</t>
  </si>
  <si>
    <t>(1/06)</t>
  </si>
  <si>
    <t>(1/21)</t>
  </si>
  <si>
    <t>/03</t>
  </si>
  <si>
    <t>(26/41)</t>
  </si>
  <si>
    <t>(50/85)</t>
  </si>
  <si>
    <t>7/9</t>
  </si>
  <si>
    <t>(0/81)</t>
  </si>
  <si>
    <t>26/29</t>
  </si>
  <si>
    <t>8/48</t>
  </si>
  <si>
    <t>0/67</t>
  </si>
  <si>
    <t>1079</t>
  </si>
  <si>
    <t>43/64</t>
  </si>
  <si>
    <t>21/15</t>
  </si>
  <si>
    <t>(1/71)</t>
  </si>
  <si>
    <t>24/61</t>
  </si>
  <si>
    <t>25/75</t>
  </si>
  <si>
    <t>7/38</t>
  </si>
  <si>
    <t>21/47</t>
  </si>
  <si>
    <t>(0/6)</t>
  </si>
  <si>
    <t>(7/71)</t>
  </si>
  <si>
    <t>(13/86)</t>
  </si>
  <si>
    <t>صورت هاي مالي طرح هاي تملك دارايي هاي سرمايه اي براساس استاندارد هاي حسابداري بخش عمومي در چارچوب دستورالعمل حسابداري وزارت امور اقتصادي و دارايي  تهيه شده و در تاريخ1404/7/20 به تاييد مقامات زیر رسيده است.</t>
  </si>
  <si>
    <t xml:space="preserve">احداث ، تكميل ، اصلاح وبازسازي آبرساني تك روستايي در سطح استان </t>
  </si>
  <si>
    <t xml:space="preserve">آبرساني سيار به روستاها سطح استان </t>
  </si>
  <si>
    <t xml:space="preserve">آبرساني سيار به روستاها در سطح استان </t>
  </si>
  <si>
    <t>8/93</t>
  </si>
  <si>
    <t xml:space="preserve">احداث ، تكميل ، اصلاح وبازسازي آبرساني تك روستايي </t>
  </si>
  <si>
    <t xml:space="preserve">احداث ، تكميل اصلاح وبازسازي آبرساني تك روستايي </t>
  </si>
  <si>
    <t xml:space="preserve">احداث ، تكميل اصلاح وبازسازي آبرساني تك روستايي در سطح استان </t>
  </si>
  <si>
    <t xml:space="preserve">احداث ، تكميل ، اصلاح و بازسازي آبرساني تك روستايي شهرستان ابوموسي </t>
  </si>
  <si>
    <t xml:space="preserve">احداث ، تكميل ، اصلاح وبازسازي آبرساني روستايي شهرستان ابوموسي  </t>
  </si>
  <si>
    <t xml:space="preserve">احداث ، تكميل ، اصلاح و بازسازي آبرساني تك روستايي شهرستان ميناب </t>
  </si>
  <si>
    <t>76/52</t>
  </si>
  <si>
    <t>916ح1503004</t>
  </si>
  <si>
    <t>احداث ، تكميل ، اصلاح و بازسازي آبرساني تك روستايي شهرستان قشم</t>
  </si>
  <si>
    <t>53/23</t>
  </si>
  <si>
    <t>احداث ، تكميل ، اصلاح و بازسازي آبرساني تك روستايي شهرستان سيريك</t>
  </si>
  <si>
    <t>73/28</t>
  </si>
  <si>
    <t>احداث ، تكميل ، اصلاح و بازسازي آبرساني تك روستايي شهرستان رودان</t>
  </si>
  <si>
    <t>احداث ، تكميل ، اصلاح و بازسازي آبرساني تك روستايي شهرستان حاجي آباد</t>
  </si>
  <si>
    <t>احداث ، تكميل ، اصلاح و بازسازي آبرساني تك روستايي شهرستان جاسك</t>
  </si>
  <si>
    <t xml:space="preserve">احداث ، تكميل ، اصلاح و بازسازي آبرساني تك روستايي شهرستان پارسيان </t>
  </si>
  <si>
    <t>احداث ، تكميل ، اصلاح و بازسازي آبرساني تك روستايي شهرستان پارسيان</t>
  </si>
  <si>
    <t>61/74</t>
  </si>
  <si>
    <t>احداث ، تكميل ، اصلاح و بازسازي آبرساني تك روستايي شهرستان بندرلنگه</t>
  </si>
  <si>
    <t>احداث ، تكميل ، اصلاح و بازسازي آبرساني تك روستايي شهرستان بندر لنگه</t>
  </si>
  <si>
    <t>احداث ، تكميل ، اصلاح و بازسازي آبرساني تك روستايي شهرستان بندرعباس</t>
  </si>
  <si>
    <t>57/66</t>
  </si>
  <si>
    <t>احداث ، تكميل ، اصلاح و بازسازي آبرساني تك روستايي شهرستان خمير</t>
  </si>
  <si>
    <t>احداث ، تكميل ، اصلاح و بازسازي آبرساني تك روستايي شهرستان بشاگرد</t>
  </si>
  <si>
    <t>احداث ، تكميل ، اصلاح و بازسازي آبرساني تك روستايي شهرستان بستك</t>
  </si>
  <si>
    <t xml:space="preserve">احداث ، تكميل ، اصلاح و بازسازي آبرساني تك روستايي شهرستان بستك </t>
  </si>
  <si>
    <t xml:space="preserve">توسعه و ايجاد شبكه توزيع و تاسيسات آب آشاميدني شهري درسطح استان </t>
  </si>
  <si>
    <t>76/6</t>
  </si>
  <si>
    <t xml:space="preserve">ايجاد شبكه توزيع آب آشاميدني شهري - احداث خط انتقال - احداث مخزن آب شرب شهري </t>
  </si>
  <si>
    <t xml:space="preserve">بازسازي و اصلاح شبكه توزيع آب آشاميدني شهري در استان </t>
  </si>
  <si>
    <t xml:space="preserve">بازسازي واصلاح شبكه توزيع آب آشاميدني شهر ي در سطح استان </t>
  </si>
  <si>
    <t xml:space="preserve">اصلاح شبكه توزيع آب آشاميدني شهري </t>
  </si>
  <si>
    <t>ايجاد شبكه توزيع آب آشاميدني روستايي</t>
  </si>
  <si>
    <t xml:space="preserve">احداث ، تكميل و بازسازي مجتمع هاي آبرساني روستايي درسطح استان </t>
  </si>
  <si>
    <t>احداث، تكميل بازسازي مجتمع هاي آبرساني  روستايي درسطح استان</t>
  </si>
  <si>
    <t xml:space="preserve">آبرساني به تك روستاها وتكميل مجتمع هاي آبرساني اولويت دار روستايي </t>
  </si>
  <si>
    <t>42/94</t>
  </si>
  <si>
    <t xml:space="preserve">ايجاد تاسيسات فاضلاب شهر جاسك </t>
  </si>
  <si>
    <t>ايجادتاسيسات فاضلاب شهر ميناب</t>
  </si>
  <si>
    <t>48/72</t>
  </si>
  <si>
    <t xml:space="preserve">جمع آوري فاضلاب جاسك </t>
  </si>
  <si>
    <t>ايجادتاسيسات فاضلاب شهر بندرعباس</t>
  </si>
  <si>
    <t>پيماني - اماني</t>
  </si>
  <si>
    <t xml:space="preserve"> توسعه نواحي خاص (راهبري آب )</t>
  </si>
  <si>
    <t>19/04</t>
  </si>
  <si>
    <t>ايجاد طرح هاي كوچك تامين وانتقال آب شهرهاي استان</t>
  </si>
  <si>
    <t xml:space="preserve">تامين آب شرب  </t>
  </si>
  <si>
    <t>58/75</t>
  </si>
  <si>
    <t xml:space="preserve">ايجاد طرح هاي كوچك تامين انتقال آب در شهرستان بندرعباس </t>
  </si>
  <si>
    <t>61/93</t>
  </si>
  <si>
    <t xml:space="preserve">تامين آب صنعت - تامين آب شرب </t>
  </si>
  <si>
    <t xml:space="preserve">كاهش آب به حساب نيامده - كاهش  هدر رفت آب شهري </t>
  </si>
  <si>
    <t>كاهش آب به حساب نيامده - كاهش  هدر رفت آب شهري (ابلاغي)</t>
  </si>
  <si>
    <t xml:space="preserve">كاهش هدررفت </t>
  </si>
  <si>
    <t xml:space="preserve">باز چرخاني پساب تصفيه شده - كاهش سرانه مصرف آب شهري </t>
  </si>
  <si>
    <t>پيماني</t>
  </si>
  <si>
    <t xml:space="preserve">كمك به تكميل زير ساخت مسكن </t>
  </si>
  <si>
    <t>كمك به تكميل زير ساخت مسكن ( ابلاغي )</t>
  </si>
  <si>
    <t xml:space="preserve">كمك به زير ساخت مسكن </t>
  </si>
  <si>
    <t xml:space="preserve">كمك به اجراي طرح هاي تامين وانتقال آب وايجاد تاسيسات فاضلاب </t>
  </si>
  <si>
    <t xml:space="preserve">تامين وانتقال آب وايجاد تاسيسات فاضلاب </t>
  </si>
  <si>
    <t xml:space="preserve">تامين وانتقال آب   </t>
  </si>
  <si>
    <t xml:space="preserve">كمك به اجراي پروژه هاي جهش توليد مسكن </t>
  </si>
  <si>
    <t xml:space="preserve">کمک به اجرای پروژه هاي جهش توليد مسكن </t>
  </si>
  <si>
    <t xml:space="preserve">تامين زير ساخت مسكن </t>
  </si>
  <si>
    <t>كمك به اجراي پروژه هاي جهش توليد مسكن (ابلاغي)</t>
  </si>
  <si>
    <t>خريد تضميني آب استحصالي پساب تصفيه شده از بخش غير دولتي (ابلاغي)</t>
  </si>
  <si>
    <t>آبرساني به شهرهاي داراي تنش آبي ارتقاي كيفي آب شرب (ابلاغي)</t>
  </si>
  <si>
    <t xml:space="preserve">تامين كمي وكيفي آب شرب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</si>
</sst>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_ ;_ * #,##0.00\-_ ;_ * &quot;-&quot;??_-_ ;_ @_ "/>
    <numFmt numFmtId="165" formatCode="_(* #,##0.00_);_(* \(#,##0.00\);_(* &quot;-&quot;??_);_(@_)"/>
    <numFmt numFmtId="166" formatCode="_ * #,##0.00_-_ر_ي_ا_ل_ ;_ * #,##0.00\-_ر_ي_ا_ل_ ;_ * &quot;-&quot;??_-_ر_ي_ا_ل_ ;_ @_ "/>
    <numFmt numFmtId="167" formatCode="_-&quot;ريال&quot;\ * #,##0.00_-;_-&quot;ريال&quot;\ * #,##0.00\-;_-&quot;ريال&quot;\ * &quot;-&quot;??_-;_-@_-"/>
    <numFmt numFmtId="168" formatCode="_-* #,##0.00_-;_-* #,##0.00\-;_-* &quot;-&quot;??_-;_-@_-"/>
    <numFmt numFmtId="169" formatCode="#,###,,&quot; &quot;;&quot;(&quot;#,###,,&quot;)&quot;"/>
    <numFmt numFmtId="170" formatCode="#,##0,,&quot; &quot;;&quot;(&quot;#,###,,&quot;)&quot;;&quot; - &quot;"/>
    <numFmt numFmtId="171" formatCode="&quot; &quot;#,##0&quot; &quot;;&quot; &quot;#,##0&quot;-&quot;;&quot; -&quot;00&quot; &quot;;&quot; &quot;@&quot; &quot;"/>
    <numFmt numFmtId="172" formatCode="0&quot; &quot;;&quot;-&quot;0&quot; &quot;"/>
    <numFmt numFmtId="173" formatCode="&quot; &quot;#,##0.00&quot; &quot;;&quot; &quot;#,##0.00&quot;-&quot;;&quot; -&quot;00&quot; &quot;;&quot; &quot;@&quot; &quot;"/>
    <numFmt numFmtId="174" formatCode="#,###,,_-;\(#,###,,\)"/>
    <numFmt numFmtId="175" formatCode="_ * #,##0_-_ر_ي_ا_ل_ ;_ * #,##0\-_ر_ي_ا_ل_ ;_ * &quot;-&quot;??_-_ر_ي_ا_ل_ ;_ @_ "/>
    <numFmt numFmtId="176" formatCode="#,##0_-;\(#,##0\)"/>
    <numFmt numFmtId="177" formatCode="_ * #,##0_-_ ;_ * #,##0\-_ ;_ * &quot;-&quot;??_-_ ;_ @_ "/>
  </numFmts>
  <fonts count="147" x14ac:knownFonts="1">
    <font>
      <sz val="10"/>
      <color rgb="FF000000"/>
      <name val="Arial"/>
      <family val="2"/>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4"/>
      <color indexed="8"/>
      <name val="Calibri"/>
      <family val="2"/>
      <charset val="178"/>
    </font>
    <font>
      <b/>
      <sz val="11"/>
      <name val="B Mitra"/>
      <charset val="178"/>
    </font>
    <font>
      <sz val="11"/>
      <name val="B Mitra"/>
      <charset val="178"/>
    </font>
    <font>
      <sz val="12"/>
      <name val="B Mitra"/>
      <charset val="178"/>
    </font>
    <font>
      <sz val="10"/>
      <name val="B Mitra"/>
      <charset val="178"/>
    </font>
    <font>
      <sz val="9"/>
      <color indexed="81"/>
      <name val="Tahoma"/>
      <family val="2"/>
    </font>
    <font>
      <b/>
      <sz val="9"/>
      <color indexed="81"/>
      <name val="Tahoma"/>
      <family val="2"/>
    </font>
    <font>
      <b/>
      <sz val="12"/>
      <name val="B Mitra"/>
      <charset val="178"/>
    </font>
    <font>
      <sz val="10"/>
      <color indexed="8"/>
      <name val="Arial"/>
      <family val="2"/>
    </font>
    <font>
      <sz val="14"/>
      <color indexed="8"/>
      <name val="Calibri"/>
      <family val="2"/>
      <charset val="178"/>
    </font>
    <font>
      <sz val="11"/>
      <color indexed="8"/>
      <name val="Calibri"/>
      <family val="2"/>
      <charset val="178"/>
    </font>
    <font>
      <sz val="10"/>
      <color indexed="8"/>
      <name val="B Mitra"/>
      <charset val="178"/>
    </font>
    <font>
      <b/>
      <sz val="11"/>
      <color indexed="8"/>
      <name val="B Mitra"/>
      <charset val="178"/>
    </font>
    <font>
      <b/>
      <sz val="14"/>
      <color indexed="8"/>
      <name val="B Mitra"/>
      <charset val="178"/>
    </font>
    <font>
      <sz val="13"/>
      <color indexed="8"/>
      <name val="B Mitra"/>
      <charset val="178"/>
    </font>
    <font>
      <sz val="12"/>
      <color indexed="8"/>
      <name val="B Mitra"/>
      <charset val="178"/>
    </font>
    <font>
      <sz val="14"/>
      <color indexed="8"/>
      <name val="B Mitra"/>
      <charset val="178"/>
    </font>
    <font>
      <sz val="11"/>
      <color indexed="8"/>
      <name val="B Mitra"/>
      <charset val="178"/>
    </font>
    <font>
      <b/>
      <sz val="13"/>
      <color indexed="8"/>
      <name val="B Mitra"/>
      <charset val="178"/>
    </font>
    <font>
      <b/>
      <sz val="12"/>
      <color indexed="8"/>
      <name val="B Mitra"/>
      <charset val="178"/>
    </font>
    <font>
      <b/>
      <sz val="10"/>
      <color indexed="8"/>
      <name val="B Mitra"/>
      <charset val="178"/>
    </font>
    <font>
      <b/>
      <u/>
      <sz val="11"/>
      <color indexed="8"/>
      <name val="B Mitra"/>
      <charset val="178"/>
    </font>
    <font>
      <b/>
      <sz val="9"/>
      <color indexed="8"/>
      <name val="B Mitra"/>
      <charset val="178"/>
    </font>
    <font>
      <sz val="8"/>
      <color indexed="8"/>
      <name val="B Mitra"/>
      <charset val="178"/>
    </font>
    <font>
      <b/>
      <sz val="8"/>
      <color indexed="8"/>
      <name val="B Mitra"/>
      <charset val="178"/>
    </font>
    <font>
      <sz val="9"/>
      <color indexed="8"/>
      <name val="B Mitra"/>
      <charset val="178"/>
    </font>
    <font>
      <sz val="16"/>
      <color indexed="8"/>
      <name val="B Mitra"/>
      <charset val="178"/>
    </font>
    <font>
      <b/>
      <sz val="16"/>
      <color indexed="8"/>
      <name val="B Mitra"/>
      <charset val="178"/>
    </font>
    <font>
      <sz val="26"/>
      <color indexed="8"/>
      <name val="B Mitra"/>
      <charset val="178"/>
    </font>
    <font>
      <b/>
      <sz val="18"/>
      <color indexed="8"/>
      <name val="B Mitra"/>
      <charset val="178"/>
    </font>
    <font>
      <b/>
      <sz val="20"/>
      <color indexed="8"/>
      <name val="B Mitra"/>
      <charset val="178"/>
    </font>
    <font>
      <b/>
      <u/>
      <sz val="12"/>
      <color indexed="8"/>
      <name val="B Mitra"/>
      <charset val="178"/>
    </font>
    <font>
      <sz val="24"/>
      <color indexed="8"/>
      <name val="B Mitra"/>
      <charset val="178"/>
    </font>
    <font>
      <b/>
      <sz val="24"/>
      <color indexed="8"/>
      <name val="B Mitra"/>
      <charset val="178"/>
    </font>
    <font>
      <sz val="15"/>
      <color indexed="8"/>
      <name val="B Mitra"/>
      <charset val="178"/>
    </font>
    <font>
      <sz val="1"/>
      <color indexed="8"/>
      <name val="B Mitra"/>
      <charset val="178"/>
    </font>
    <font>
      <b/>
      <sz val="26"/>
      <color indexed="8"/>
      <name val="B Mitra"/>
      <charset val="178"/>
    </font>
    <font>
      <b/>
      <sz val="22"/>
      <color indexed="8"/>
      <name val="B Mitra"/>
      <charset val="178"/>
    </font>
    <font>
      <sz val="11"/>
      <color indexed="8"/>
      <name val="Calibri"/>
      <family val="2"/>
      <charset val="178"/>
    </font>
    <font>
      <sz val="10.5"/>
      <name val="B Mitra"/>
      <charset val="178"/>
    </font>
    <font>
      <sz val="11"/>
      <color indexed="8"/>
      <name val="Calibri"/>
      <family val="2"/>
      <charset val="178"/>
    </font>
    <font>
      <b/>
      <sz val="10"/>
      <name val="B Mitra"/>
      <charset val="178"/>
    </font>
    <font>
      <sz val="11"/>
      <color indexed="8"/>
      <name val="Calibri"/>
      <family val="2"/>
      <charset val="178"/>
    </font>
    <font>
      <sz val="11"/>
      <color indexed="8"/>
      <name val="Calibri"/>
      <family val="2"/>
      <charset val="178"/>
    </font>
    <font>
      <sz val="11"/>
      <color indexed="8"/>
      <name val="Calibri"/>
      <family val="2"/>
      <charset val="178"/>
    </font>
    <font>
      <sz val="10"/>
      <color indexed="8"/>
      <name val="Arial"/>
      <family val="2"/>
    </font>
    <font>
      <sz val="11"/>
      <color indexed="8"/>
      <name val="Calibri"/>
      <family val="2"/>
      <charset val="178"/>
    </font>
    <font>
      <b/>
      <sz val="14"/>
      <name val="B Mitra"/>
      <charset val="178"/>
    </font>
    <font>
      <sz val="14"/>
      <name val="B Mitra"/>
      <charset val="178"/>
    </font>
    <font>
      <sz val="10"/>
      <color indexed="8"/>
      <name val="Arial"/>
      <family val="2"/>
    </font>
    <font>
      <sz val="11"/>
      <color indexed="8"/>
      <name val="Calibri"/>
      <family val="2"/>
      <charset val="178"/>
    </font>
    <font>
      <sz val="10"/>
      <color indexed="10"/>
      <name val="B Mitra"/>
      <charset val="178"/>
    </font>
    <font>
      <b/>
      <sz val="8"/>
      <name val="B Mitra"/>
      <charset val="178"/>
    </font>
    <font>
      <sz val="10"/>
      <color indexed="8"/>
      <name val="Arial"/>
      <family val="2"/>
    </font>
    <font>
      <sz val="14"/>
      <color indexed="8"/>
      <name val="Calibri"/>
      <family val="2"/>
      <charset val="178"/>
    </font>
    <font>
      <sz val="11"/>
      <color indexed="8"/>
      <name val="Calibri"/>
      <family val="2"/>
    </font>
    <font>
      <b/>
      <i/>
      <sz val="11"/>
      <color indexed="8"/>
      <name val="B Mitra"/>
      <charset val="178"/>
    </font>
    <font>
      <sz val="11"/>
      <color indexed="8"/>
      <name val="Calibri"/>
      <family val="2"/>
    </font>
    <font>
      <sz val="11"/>
      <color indexed="8"/>
      <name val="Calibri"/>
      <family val="2"/>
    </font>
    <font>
      <sz val="11"/>
      <color indexed="8"/>
      <name val="Calibri"/>
      <family val="2"/>
    </font>
    <font>
      <sz val="11"/>
      <color indexed="8"/>
      <name val="Arial"/>
      <family val="2"/>
      <charset val="178"/>
    </font>
    <font>
      <sz val="11"/>
      <color indexed="8"/>
      <name val="Arial"/>
      <family val="2"/>
      <charset val="178"/>
    </font>
    <font>
      <sz val="11"/>
      <color indexed="8"/>
      <name val="Arial"/>
      <family val="2"/>
      <charset val="178"/>
    </font>
    <font>
      <sz val="12"/>
      <color indexed="10"/>
      <name val="B Mitra"/>
      <charset val="178"/>
    </font>
    <font>
      <sz val="11"/>
      <color indexed="8"/>
      <name val="Arial"/>
      <family val="2"/>
      <charset val="178"/>
    </font>
    <font>
      <sz val="11"/>
      <color indexed="8"/>
      <name val="Arial"/>
      <family val="2"/>
      <charset val="178"/>
    </font>
    <font>
      <sz val="20"/>
      <color indexed="8"/>
      <name val="B Mitra"/>
      <charset val="178"/>
    </font>
    <font>
      <sz val="11"/>
      <color indexed="8"/>
      <name val="Arial"/>
      <family val="2"/>
      <charset val="178"/>
    </font>
    <font>
      <sz val="11"/>
      <color indexed="8"/>
      <name val="Arial"/>
      <family val="2"/>
      <charset val="178"/>
    </font>
    <font>
      <sz val="11"/>
      <color indexed="8"/>
      <name val="Arial"/>
      <family val="2"/>
      <charset val="178"/>
    </font>
    <font>
      <sz val="26"/>
      <name val="B Mitra"/>
      <charset val="178"/>
    </font>
    <font>
      <b/>
      <sz val="26"/>
      <name val="B Mitra"/>
      <charset val="178"/>
    </font>
    <font>
      <b/>
      <sz val="9"/>
      <name val="B Mitra"/>
      <charset val="178"/>
    </font>
    <font>
      <b/>
      <sz val="10.5"/>
      <name val="B Mitra"/>
      <charset val="178"/>
    </font>
    <font>
      <b/>
      <sz val="36"/>
      <color indexed="8"/>
      <name val="B Mitra"/>
      <charset val="178"/>
    </font>
    <font>
      <sz val="11"/>
      <color indexed="8"/>
      <name val="Arial"/>
      <family val="2"/>
      <charset val="178"/>
    </font>
    <font>
      <sz val="11"/>
      <color indexed="8"/>
      <name val="Arial"/>
      <family val="2"/>
      <charset val="178"/>
    </font>
    <font>
      <sz val="11"/>
      <color indexed="8"/>
      <name val="Arial"/>
      <family val="2"/>
      <charset val="178"/>
    </font>
    <font>
      <sz val="11"/>
      <color indexed="8"/>
      <name val="Arial"/>
      <family val="2"/>
      <charset val="178"/>
    </font>
    <font>
      <sz val="11"/>
      <color indexed="8"/>
      <name val="Arial"/>
      <family val="2"/>
      <charset val="178"/>
    </font>
    <font>
      <sz val="11"/>
      <color indexed="8"/>
      <name val="Arial"/>
      <family val="2"/>
      <charset val="178"/>
    </font>
    <font>
      <sz val="10"/>
      <color rgb="FF000000"/>
      <name val="Arial"/>
      <family val="2"/>
    </font>
    <font>
      <sz val="14"/>
      <color theme="1"/>
      <name val="Arial"/>
      <family val="2"/>
      <charset val="178"/>
      <scheme val="minor"/>
    </font>
    <font>
      <sz val="11"/>
      <color rgb="FF000000"/>
      <name val="Calibri"/>
      <family val="2"/>
    </font>
    <font>
      <sz val="11"/>
      <color theme="1"/>
      <name val="Arial"/>
      <family val="2"/>
      <scheme val="minor"/>
    </font>
    <font>
      <sz val="11"/>
      <color theme="1"/>
      <name val="Arial"/>
      <family val="2"/>
      <charset val="178"/>
      <scheme val="minor"/>
    </font>
    <font>
      <sz val="14"/>
      <color rgb="FF000000"/>
      <name val="Calibri"/>
      <family val="2"/>
    </font>
    <font>
      <sz val="11"/>
      <color rgb="FF000000"/>
      <name val="Arial"/>
      <family val="2"/>
    </font>
    <font>
      <sz val="11"/>
      <color theme="1"/>
      <name val="B Mitra"/>
      <charset val="178"/>
    </font>
    <font>
      <sz val="28"/>
      <color indexed="8"/>
      <name val="B Mitra"/>
      <charset val="178"/>
    </font>
    <font>
      <sz val="36"/>
      <color indexed="8"/>
      <name val="B Mitra"/>
      <charset val="178"/>
    </font>
    <font>
      <sz val="48"/>
      <color indexed="8"/>
      <name val="B Mitra"/>
      <charset val="178"/>
    </font>
    <font>
      <sz val="18"/>
      <color indexed="8"/>
      <name val="B Mitra"/>
      <charset val="178"/>
    </font>
    <font>
      <sz val="22"/>
      <color indexed="8"/>
      <name val="B Mitra"/>
      <charset val="178"/>
    </font>
    <font>
      <b/>
      <sz val="13"/>
      <name val="B Mitra"/>
      <charset val="178"/>
    </font>
    <font>
      <sz val="9"/>
      <name val="B Mitra"/>
      <charset val="178"/>
    </font>
    <font>
      <sz val="11"/>
      <color rgb="FF0070C0"/>
      <name val="B Mitra"/>
      <charset val="178"/>
    </font>
    <font>
      <sz val="10"/>
      <color theme="1"/>
      <name val="B Mitra"/>
      <charset val="178"/>
    </font>
    <font>
      <sz val="10"/>
      <color rgb="FF000000"/>
      <name val="B Mitra"/>
      <charset val="178"/>
    </font>
    <font>
      <sz val="14"/>
      <color rgb="FF000000"/>
      <name val="B Mitra"/>
      <charset val="178"/>
    </font>
    <font>
      <sz val="11"/>
      <color rgb="FF000000"/>
      <name val="B Mitra"/>
      <charset val="178"/>
    </font>
    <font>
      <sz val="8"/>
      <name val="Arial"/>
      <family val="2"/>
    </font>
    <font>
      <sz val="14"/>
      <color theme="1"/>
      <name val="B Mitra"/>
      <charset val="178"/>
    </font>
    <font>
      <b/>
      <sz val="11"/>
      <color theme="1"/>
      <name val="B Mitra"/>
      <charset val="178"/>
    </font>
    <font>
      <b/>
      <sz val="12"/>
      <color theme="1"/>
      <name val="B Mitra"/>
      <charset val="178"/>
    </font>
    <font>
      <sz val="14"/>
      <color theme="1"/>
      <name val="Calibri"/>
      <family val="2"/>
      <charset val="178"/>
    </font>
    <font>
      <b/>
      <sz val="7"/>
      <color indexed="8"/>
      <name val="B Mitra"/>
      <charset val="178"/>
    </font>
    <font>
      <b/>
      <sz val="24"/>
      <name val="B Mitra"/>
      <charset val="178"/>
    </font>
    <font>
      <sz val="24"/>
      <name val="B Mitra"/>
      <charset val="178"/>
    </font>
    <font>
      <b/>
      <sz val="18"/>
      <name val="B Mitra"/>
      <charset val="178"/>
    </font>
    <font>
      <b/>
      <sz val="22"/>
      <name val="B Mitra"/>
      <charset val="178"/>
    </font>
    <font>
      <b/>
      <sz val="20"/>
      <name val="B Mitra"/>
      <charset val="178"/>
    </font>
    <font>
      <sz val="22"/>
      <name val="B Mitra"/>
      <charset val="178"/>
    </font>
    <font>
      <b/>
      <sz val="48"/>
      <name val="B Mitra"/>
      <charset val="178"/>
    </font>
    <font>
      <sz val="17"/>
      <name val="B Mitra"/>
      <charset val="178"/>
    </font>
    <font>
      <b/>
      <sz val="28"/>
      <name val="B Mitra"/>
      <charset val="178"/>
    </font>
    <font>
      <b/>
      <sz val="17"/>
      <name val="B Mitra"/>
      <charset val="178"/>
    </font>
    <font>
      <sz val="32"/>
      <name val="B Mitra"/>
      <charset val="178"/>
    </font>
    <font>
      <sz val="28"/>
      <name val="B Mitra"/>
      <charset val="178"/>
    </font>
    <font>
      <sz val="16"/>
      <color theme="1"/>
      <name val="B Mitra"/>
      <charset val="178"/>
    </font>
    <font>
      <b/>
      <sz val="10"/>
      <color theme="1"/>
      <name val="B Mitra"/>
      <charset val="178"/>
    </font>
    <font>
      <b/>
      <sz val="10"/>
      <color theme="1"/>
      <name val="Arial"/>
      <family val="2"/>
      <charset val="178"/>
      <scheme val="minor"/>
    </font>
    <font>
      <sz val="24"/>
      <color theme="1"/>
      <name val="B Mitra"/>
      <charset val="178"/>
    </font>
    <font>
      <b/>
      <sz val="24"/>
      <color theme="1"/>
      <name val="B Mitra"/>
      <charset val="178"/>
    </font>
    <font>
      <sz val="26"/>
      <color theme="1"/>
      <name val="B Mitra"/>
      <charset val="178"/>
    </font>
  </fonts>
  <fills count="9">
    <fill>
      <patternFill patternType="none"/>
    </fill>
    <fill>
      <patternFill patternType="gray125"/>
    </fill>
    <fill>
      <patternFill patternType="solid">
        <fgColor indexed="9"/>
        <bgColor indexed="9"/>
      </patternFill>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0000"/>
        <bgColor indexed="64"/>
      </patternFill>
    </fill>
  </fills>
  <borders count="111">
    <border>
      <left/>
      <right/>
      <top/>
      <bottom/>
      <diagonal/>
    </border>
    <border>
      <left/>
      <right/>
      <top/>
      <bottom style="thin">
        <color indexed="8"/>
      </bottom>
      <diagonal/>
    </border>
    <border>
      <left/>
      <right/>
      <top style="thin">
        <color indexed="8"/>
      </top>
      <bottom style="thin">
        <color indexed="8"/>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double">
        <color indexed="8"/>
      </bottom>
      <diagonal/>
    </border>
    <border>
      <left style="thin">
        <color indexed="8"/>
      </left>
      <right style="thin">
        <color indexed="8"/>
      </right>
      <top/>
      <bottom/>
      <diagonal/>
    </border>
    <border>
      <left style="thin">
        <color indexed="8"/>
      </left>
      <right/>
      <top/>
      <bottom/>
      <diagonal/>
    </border>
    <border>
      <left style="thin">
        <color indexed="8"/>
      </left>
      <right/>
      <top style="medium">
        <color indexed="8"/>
      </top>
      <bottom style="medium">
        <color indexed="8"/>
      </bottom>
      <diagonal/>
    </border>
    <border>
      <left/>
      <right/>
      <top style="thin">
        <color indexed="8"/>
      </top>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8"/>
      </top>
      <bottom/>
      <diagonal/>
    </border>
    <border>
      <left/>
      <right/>
      <top/>
      <bottom style="double">
        <color indexed="8"/>
      </bottom>
      <diagonal/>
    </border>
    <border>
      <left style="thin">
        <color indexed="8"/>
      </left>
      <right/>
      <top/>
      <bottom style="thin">
        <color indexed="8"/>
      </bottom>
      <diagonal/>
    </border>
    <border>
      <left style="thin">
        <color indexed="8"/>
      </left>
      <right/>
      <top style="thin">
        <color indexed="8"/>
      </top>
      <bottom/>
      <diagonal/>
    </border>
    <border>
      <left style="thin">
        <color indexed="8"/>
      </left>
      <right style="thin">
        <color indexed="8"/>
      </right>
      <top/>
      <bottom style="double">
        <color indexed="8"/>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8"/>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uble">
        <color indexed="64"/>
      </top>
      <bottom/>
      <diagonal/>
    </border>
    <border>
      <left/>
      <right style="thin">
        <color indexed="8"/>
      </right>
      <top style="thin">
        <color indexed="64"/>
      </top>
      <bottom style="double">
        <color indexed="64"/>
      </bottom>
      <diagonal/>
    </border>
    <border>
      <left style="thin">
        <color indexed="8"/>
      </left>
      <right style="thin">
        <color indexed="8"/>
      </right>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8"/>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8"/>
      </bottom>
      <diagonal/>
    </border>
    <border>
      <left/>
      <right style="thin">
        <color indexed="8"/>
      </right>
      <top/>
      <bottom/>
      <diagonal/>
    </border>
    <border>
      <left style="thin">
        <color indexed="8"/>
      </left>
      <right style="thin">
        <color indexed="8"/>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8"/>
      </top>
      <bottom style="thin">
        <color indexed="8"/>
      </bottom>
      <diagonal/>
    </border>
    <border>
      <left/>
      <right/>
      <top style="double">
        <color indexed="8"/>
      </top>
      <bottom/>
      <diagonal/>
    </border>
    <border>
      <left/>
      <right/>
      <top/>
      <bottom style="double">
        <color indexed="64"/>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top/>
      <bottom style="double">
        <color indexed="8"/>
      </bottom>
      <diagonal/>
    </border>
    <border>
      <left style="thin">
        <color indexed="64"/>
      </left>
      <right style="thin">
        <color indexed="64"/>
      </right>
      <top/>
      <bottom style="medium">
        <color indexed="64"/>
      </bottom>
      <diagonal/>
    </border>
    <border>
      <left style="thin">
        <color indexed="8"/>
      </left>
      <right style="thin">
        <color indexed="8"/>
      </right>
      <top/>
      <bottom style="thin">
        <color indexed="64"/>
      </bottom>
      <diagonal/>
    </border>
    <border>
      <left style="thin">
        <color indexed="8"/>
      </left>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8"/>
      </top>
      <bottom/>
      <diagonal/>
    </border>
    <border>
      <left style="thin">
        <color indexed="8"/>
      </left>
      <right/>
      <top/>
      <bottom style="thin">
        <color indexed="64"/>
      </bottom>
      <diagonal/>
    </border>
    <border>
      <left style="medium">
        <color indexed="8"/>
      </left>
      <right style="thin">
        <color indexed="8"/>
      </right>
      <top style="medium">
        <color indexed="8"/>
      </top>
      <bottom style="medium">
        <color indexed="8"/>
      </bottom>
      <diagonal/>
    </border>
    <border>
      <left style="thin">
        <color indexed="64"/>
      </left>
      <right/>
      <top style="thin">
        <color indexed="8"/>
      </top>
      <bottom style="thin">
        <color indexed="64"/>
      </bottom>
      <diagonal/>
    </border>
    <border>
      <left/>
      <right style="thin">
        <color indexed="8"/>
      </right>
      <top style="thin">
        <color indexed="8"/>
      </top>
      <bottom style="double">
        <color indexed="8"/>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thin">
        <color indexed="64"/>
      </top>
      <bottom style="double">
        <color indexed="8"/>
      </bottom>
      <diagonal/>
    </border>
    <border>
      <left/>
      <right style="thin">
        <color indexed="8"/>
      </right>
      <top style="thin">
        <color indexed="64"/>
      </top>
      <bottom style="double">
        <color indexed="8"/>
      </bottom>
      <diagonal/>
    </border>
    <border>
      <left/>
      <right style="thin">
        <color indexed="64"/>
      </right>
      <top/>
      <bottom style="thin">
        <color indexed="8"/>
      </bottom>
      <diagonal/>
    </border>
    <border>
      <left/>
      <right style="thin">
        <color indexed="64"/>
      </right>
      <top style="medium">
        <color indexed="64"/>
      </top>
      <bottom style="medium">
        <color indexed="64"/>
      </bottom>
      <diagonal/>
    </border>
    <border>
      <left style="thin">
        <color indexed="8"/>
      </left>
      <right style="thin">
        <color indexed="8"/>
      </right>
      <top style="thin">
        <color indexed="64"/>
      </top>
      <bottom/>
      <diagonal/>
    </border>
    <border>
      <left/>
      <right style="thin">
        <color indexed="8"/>
      </right>
      <top/>
      <bottom style="double">
        <color indexed="8"/>
      </bottom>
      <diagonal/>
    </border>
    <border>
      <left style="thin">
        <color indexed="8"/>
      </left>
      <right style="thin">
        <color indexed="64"/>
      </right>
      <top style="thin">
        <color indexed="64"/>
      </top>
      <bottom style="double">
        <color indexed="64"/>
      </bottom>
      <diagonal/>
    </border>
    <border>
      <left style="thin">
        <color indexed="64"/>
      </left>
      <right style="thin">
        <color indexed="8"/>
      </right>
      <top style="thin">
        <color indexed="64"/>
      </top>
      <bottom style="double">
        <color indexed="64"/>
      </bottom>
      <diagonal/>
    </border>
    <border>
      <left/>
      <right/>
      <top style="medium">
        <color indexed="64"/>
      </top>
      <bottom style="medium">
        <color indexed="64"/>
      </bottom>
      <diagonal/>
    </border>
    <border>
      <left/>
      <right style="thin">
        <color indexed="64"/>
      </right>
      <top style="thin">
        <color indexed="8"/>
      </top>
      <bottom style="thin">
        <color indexed="64"/>
      </bottom>
      <diagonal/>
    </border>
    <border>
      <left/>
      <right/>
      <top style="medium">
        <color indexed="64"/>
      </top>
      <bottom/>
      <diagonal/>
    </border>
    <border>
      <left style="medium">
        <color indexed="8"/>
      </left>
      <right style="thin">
        <color indexed="8"/>
      </right>
      <top/>
      <bottom style="double">
        <color indexed="8"/>
      </bottom>
      <diagonal/>
    </border>
    <border>
      <left/>
      <right/>
      <top style="thin">
        <color auto="1"/>
      </top>
      <bottom/>
      <diagonal/>
    </border>
    <border>
      <left/>
      <right/>
      <top/>
      <bottom style="medium">
        <color indexed="64"/>
      </bottom>
      <diagonal/>
    </border>
    <border>
      <left/>
      <right/>
      <top style="thin">
        <color indexed="8"/>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64"/>
      </right>
      <top/>
      <bottom style="thin">
        <color indexed="8"/>
      </bottom>
      <diagonal/>
    </border>
    <border>
      <left style="thin">
        <color indexed="8"/>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64"/>
      </left>
      <right/>
      <top/>
      <bottom style="thin">
        <color indexed="8"/>
      </bottom>
      <diagonal/>
    </border>
  </borders>
  <cellStyleXfs count="178">
    <xf numFmtId="0" fontId="0" fillId="0" borderId="0"/>
    <xf numFmtId="173" fontId="30"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66" fontId="68" fillId="0" borderId="0" applyFont="0" applyFill="0" applyBorder="0" applyAlignment="0" applyProtection="0"/>
    <xf numFmtId="166" fontId="32" fillId="0" borderId="0" applyFont="0" applyFill="0" applyBorder="0" applyAlignment="0" applyProtection="0"/>
    <xf numFmtId="166" fontId="72" fillId="0" borderId="0" applyFont="0" applyFill="0" applyBorder="0" applyAlignment="0" applyProtection="0"/>
    <xf numFmtId="166" fontId="32" fillId="0" borderId="0" applyFont="0" applyFill="0" applyBorder="0" applyAlignment="0" applyProtection="0"/>
    <xf numFmtId="173" fontId="71" fillId="0" borderId="0" applyFont="0" applyFill="0" applyBorder="0" applyAlignment="0" applyProtection="0"/>
    <xf numFmtId="173" fontId="30" fillId="0" borderId="0" applyFont="0" applyFill="0" applyBorder="0" applyAlignment="0" applyProtection="0"/>
    <xf numFmtId="173" fontId="75" fillId="0" borderId="0" applyFont="0" applyFill="0" applyBorder="0" applyAlignment="0" applyProtection="0"/>
    <xf numFmtId="165" fontId="77" fillId="0" borderId="0" applyFont="0" applyFill="0" applyBorder="0" applyAlignment="0" applyProtection="0"/>
    <xf numFmtId="165" fontId="79" fillId="0" borderId="0" applyFont="0" applyFill="0" applyBorder="0" applyAlignment="0" applyProtection="0"/>
    <xf numFmtId="165" fontId="80" fillId="0" borderId="0" applyFont="0" applyFill="0" applyBorder="0" applyAlignment="0" applyProtection="0"/>
    <xf numFmtId="165" fontId="81" fillId="0" borderId="0" applyFont="0" applyFill="0" applyBorder="0" applyAlignment="0" applyProtection="0"/>
    <xf numFmtId="166" fontId="82" fillId="0" borderId="0" applyFont="0" applyFill="0" applyBorder="0" applyAlignment="0" applyProtection="0"/>
    <xf numFmtId="168" fontId="31" fillId="0" borderId="0" applyFont="0" applyFill="0" applyBorder="0" applyAlignment="0" applyProtection="0"/>
    <xf numFmtId="168" fontId="76" fillId="0" borderId="0" applyFont="0" applyFill="0" applyBorder="0" applyAlignment="0" applyProtection="0"/>
    <xf numFmtId="168" fontId="22" fillId="0" borderId="0" applyFont="0" applyFill="0" applyBorder="0" applyAlignment="0" applyProtection="0"/>
    <xf numFmtId="166" fontId="83" fillId="0" borderId="0" applyFont="0" applyFill="0" applyBorder="0" applyAlignment="0" applyProtection="0"/>
    <xf numFmtId="166" fontId="84" fillId="0" borderId="0" applyFont="0" applyFill="0" applyBorder="0" applyAlignment="0" applyProtection="0"/>
    <xf numFmtId="166" fontId="86" fillId="0" borderId="0" applyFont="0" applyFill="0" applyBorder="0" applyAlignment="0" applyProtection="0"/>
    <xf numFmtId="166" fontId="87" fillId="0" borderId="0" applyFont="0" applyFill="0" applyBorder="0" applyAlignment="0" applyProtection="0"/>
    <xf numFmtId="166" fontId="89" fillId="0" borderId="0" applyFont="0" applyFill="0" applyBorder="0" applyAlignment="0" applyProtection="0"/>
    <xf numFmtId="166" fontId="90" fillId="0" borderId="0" applyFont="0" applyFill="0" applyBorder="0" applyAlignment="0" applyProtection="0"/>
    <xf numFmtId="173" fontId="30" fillId="0" borderId="0" applyFont="0" applyFill="0" applyBorder="0" applyAlignment="0" applyProtection="0"/>
    <xf numFmtId="166" fontId="91" fillId="0" borderId="0" applyFont="0" applyFill="0" applyBorder="0" applyAlignment="0" applyProtection="0"/>
    <xf numFmtId="173" fontId="30" fillId="0" borderId="0" applyFont="0" applyFill="0" applyBorder="0" applyAlignment="0" applyProtection="0"/>
    <xf numFmtId="166" fontId="97" fillId="0" borderId="0" applyFont="0" applyFill="0" applyBorder="0" applyAlignment="0" applyProtection="0"/>
    <xf numFmtId="166" fontId="97"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73" fontId="75" fillId="0" borderId="0" applyFont="0" applyFill="0" applyBorder="0" applyAlignment="0" applyProtection="0"/>
    <xf numFmtId="166" fontId="32" fillId="0" borderId="0" applyFont="0" applyFill="0" applyBorder="0" applyAlignment="0" applyProtection="0"/>
    <xf numFmtId="173" fontId="30" fillId="0" borderId="0" applyFont="0" applyFill="0" applyBorder="0" applyAlignment="0" applyProtection="0"/>
    <xf numFmtId="173" fontId="75"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66" fontId="98" fillId="0" borderId="0" applyFont="0" applyFill="0" applyBorder="0" applyAlignment="0" applyProtection="0"/>
    <xf numFmtId="166" fontId="99" fillId="0" borderId="0" applyFont="0" applyFill="0" applyBorder="0" applyAlignment="0" applyProtection="0"/>
    <xf numFmtId="166" fontId="100" fillId="0" borderId="0" applyFont="0" applyFill="0" applyBorder="0" applyAlignment="0" applyProtection="0"/>
    <xf numFmtId="166" fontId="101" fillId="0" borderId="0" applyFont="0" applyFill="0" applyBorder="0" applyAlignment="0" applyProtection="0"/>
    <xf numFmtId="166" fontId="102" fillId="0" borderId="0" applyFont="0" applyFill="0" applyBorder="0" applyAlignment="0" applyProtection="0"/>
    <xf numFmtId="166" fontId="60" fillId="0" borderId="0" applyFont="0" applyFill="0" applyBorder="0" applyAlignment="0" applyProtection="0"/>
    <xf numFmtId="166" fontId="32" fillId="0" borderId="0" applyFont="0" applyFill="0" applyBorder="0" applyAlignment="0" applyProtection="0"/>
    <xf numFmtId="166" fontId="62" fillId="0" borderId="0" applyFont="0" applyFill="0" applyBorder="0" applyAlignment="0" applyProtection="0"/>
    <xf numFmtId="173" fontId="30" fillId="0" borderId="0" applyFont="0" applyFill="0" applyBorder="0" applyAlignment="0" applyProtection="0"/>
    <xf numFmtId="166" fontId="32" fillId="0" borderId="0" applyFont="0" applyFill="0" applyBorder="0" applyAlignment="0" applyProtection="0"/>
    <xf numFmtId="173" fontId="30" fillId="0" borderId="0" applyFont="0" applyFill="0" applyBorder="0" applyAlignment="0" applyProtection="0"/>
    <xf numFmtId="173" fontId="30" fillId="0" borderId="0" applyFont="0" applyFill="0" applyBorder="0" applyAlignment="0" applyProtection="0"/>
    <xf numFmtId="166" fontId="64" fillId="0" borderId="0" applyFont="0" applyFill="0" applyBorder="0" applyAlignment="0" applyProtection="0"/>
    <xf numFmtId="166" fontId="32" fillId="0" borderId="0" applyFont="0" applyFill="0" applyBorder="0" applyAlignment="0" applyProtection="0"/>
    <xf numFmtId="166" fontId="65" fillId="0" borderId="0" applyFont="0" applyFill="0" applyBorder="0" applyAlignment="0" applyProtection="0"/>
    <xf numFmtId="166" fontId="32" fillId="0" borderId="0" applyFont="0" applyFill="0" applyBorder="0" applyAlignment="0" applyProtection="0"/>
    <xf numFmtId="166" fontId="66"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7" fontId="31" fillId="0" borderId="0" applyFont="0" applyFill="0" applyBorder="0" applyAlignment="0" applyProtection="0"/>
    <xf numFmtId="167" fontId="22" fillId="0" borderId="0" applyFont="0" applyFill="0" applyBorder="0" applyAlignment="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6" fillId="0" borderId="0"/>
    <xf numFmtId="0" fontId="30" fillId="0" borderId="0" applyNumberFormat="0" applyFont="0" applyBorder="0" applyProtection="0"/>
    <xf numFmtId="0" fontId="67" fillId="0" borderId="0" applyNumberFormat="0" applyFont="0" applyBorder="0" applyProtection="0"/>
    <xf numFmtId="0" fontId="30" fillId="0" borderId="0" applyNumberFormat="0" applyFont="0" applyBorder="0" applyProtection="0"/>
    <xf numFmtId="0" fontId="71" fillId="0" borderId="0" applyNumberFormat="0" applyFont="0" applyBorder="0" applyProtection="0"/>
    <xf numFmtId="0" fontId="30" fillId="0" borderId="0" applyNumberFormat="0" applyFont="0" applyBorder="0" applyProtection="0"/>
    <xf numFmtId="0" fontId="75" fillId="0" borderId="0" applyNumberFormat="0" applyFont="0" applyBorder="0" applyProtection="0"/>
    <xf numFmtId="0" fontId="30" fillId="0" borderId="0" applyNumberFormat="0" applyFont="0" applyBorder="0" applyProtection="0"/>
    <xf numFmtId="0" fontId="107" fillId="0" borderId="0"/>
    <xf numFmtId="0" fontId="105" fillId="0" borderId="0" applyNumberFormat="0" applyBorder="0" applyProtection="0"/>
    <xf numFmtId="0" fontId="107" fillId="0" borderId="0"/>
    <xf numFmtId="0" fontId="105" fillId="0" borderId="0" applyNumberFormat="0" applyBorder="0" applyProtection="0"/>
    <xf numFmtId="0" fontId="105" fillId="0" borderId="0" applyNumberFormat="0" applyBorder="0" applyProtection="0"/>
    <xf numFmtId="0" fontId="107" fillId="0" borderId="0"/>
    <xf numFmtId="0" fontId="103" fillId="0" borderId="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30" fillId="0" borderId="0" applyNumberFormat="0" applyFon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7" fillId="0" borderId="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7" fillId="0" borderId="0"/>
    <xf numFmtId="0" fontId="104" fillId="0" borderId="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7" fillId="0" borderId="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8"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5" fillId="0" borderId="0" applyNumberFormat="0" applyBorder="0" applyProtection="0"/>
    <xf numFmtId="0" fontId="103" fillId="0" borderId="0"/>
    <xf numFmtId="0" fontId="105" fillId="0" borderId="0" applyNumberFormat="0" applyBorder="0" applyProtection="0"/>
    <xf numFmtId="0" fontId="109" fillId="0" borderId="0" applyNumberFormat="0" applyBorder="0" applyProtection="0"/>
    <xf numFmtId="0" fontId="21" fillId="0" borderId="0"/>
    <xf numFmtId="166" fontId="21" fillId="0" borderId="0" applyFont="0" applyFill="0" applyBorder="0" applyAlignment="0" applyProtection="0"/>
    <xf numFmtId="0" fontId="20" fillId="0" borderId="0"/>
    <xf numFmtId="166" fontId="20" fillId="0" borderId="0" applyFont="0" applyFill="0" applyBorder="0" applyAlignment="0" applyProtection="0"/>
    <xf numFmtId="0" fontId="19" fillId="0" borderId="0"/>
    <xf numFmtId="0" fontId="18" fillId="0" borderId="0"/>
    <xf numFmtId="166" fontId="18" fillId="0" borderId="0" applyFont="0" applyFill="0" applyBorder="0" applyAlignment="0" applyProtection="0"/>
    <xf numFmtId="0" fontId="17" fillId="0" borderId="0"/>
    <xf numFmtId="164" fontId="17" fillId="0" borderId="0" applyFont="0" applyFill="0" applyBorder="0" applyAlignment="0" applyProtection="0"/>
    <xf numFmtId="0" fontId="16" fillId="0" borderId="0"/>
    <xf numFmtId="164" fontId="16" fillId="0" borderId="0" applyFont="0" applyFill="0" applyBorder="0" applyAlignment="0" applyProtection="0"/>
    <xf numFmtId="0" fontId="15" fillId="0" borderId="0"/>
    <xf numFmtId="164" fontId="15" fillId="0" borderId="0" applyFont="0" applyFill="0" applyBorder="0" applyAlignment="0" applyProtection="0"/>
    <xf numFmtId="0" fontId="14" fillId="0" borderId="0"/>
    <xf numFmtId="164" fontId="14" fillId="0" borderId="0" applyFont="0" applyFill="0" applyBorder="0" applyAlignment="0" applyProtection="0"/>
    <xf numFmtId="0" fontId="13" fillId="0" borderId="0"/>
    <xf numFmtId="164" fontId="13" fillId="0" borderId="0" applyFont="0" applyFill="0" applyBorder="0" applyAlignment="0" applyProtection="0"/>
    <xf numFmtId="0" fontId="12" fillId="0" borderId="0"/>
    <xf numFmtId="164" fontId="12" fillId="0" borderId="0" applyFont="0" applyFill="0" applyBorder="0" applyAlignment="0" applyProtection="0"/>
    <xf numFmtId="0" fontId="127" fillId="0" borderId="0"/>
    <xf numFmtId="0" fontId="11" fillId="0" borderId="0"/>
    <xf numFmtId="164" fontId="11" fillId="0" borderId="0" applyFont="0" applyFill="0" applyBorder="0" applyAlignment="0" applyProtection="0"/>
    <xf numFmtId="0" fontId="11" fillId="0" borderId="0"/>
    <xf numFmtId="0" fontId="10" fillId="0" borderId="0"/>
    <xf numFmtId="164" fontId="10" fillId="0" borderId="0" applyFont="0" applyFill="0" applyBorder="0" applyAlignment="0" applyProtection="0"/>
    <xf numFmtId="0" fontId="9" fillId="0" borderId="0"/>
    <xf numFmtId="164" fontId="9" fillId="0" borderId="0" applyFont="0" applyFill="0" applyBorder="0" applyAlignment="0" applyProtection="0"/>
    <xf numFmtId="0" fontId="8" fillId="0" borderId="0"/>
    <xf numFmtId="164" fontId="8" fillId="0" borderId="0" applyFont="0" applyFill="0" applyBorder="0" applyAlignment="0" applyProtection="0"/>
    <xf numFmtId="0" fontId="7" fillId="0" borderId="0"/>
    <xf numFmtId="0" fontId="6" fillId="0" borderId="0"/>
    <xf numFmtId="164" fontId="6" fillId="0" borderId="0" applyFont="0" applyFill="0" applyBorder="0" applyAlignment="0" applyProtection="0"/>
    <xf numFmtId="0" fontId="5" fillId="0" borderId="0"/>
    <xf numFmtId="164"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164" fontId="1" fillId="0" borderId="0" applyFont="0" applyFill="0" applyBorder="0" applyAlignment="0" applyProtection="0"/>
  </cellStyleXfs>
  <cellXfs count="4480">
    <xf numFmtId="0" fontId="0" fillId="0" borderId="0" xfId="0"/>
    <xf numFmtId="169" fontId="33" fillId="0" borderId="0" xfId="70" applyNumberFormat="1" applyFont="1"/>
    <xf numFmtId="169" fontId="33" fillId="0" borderId="0" xfId="70" applyNumberFormat="1" applyFont="1" applyAlignment="1">
      <alignment horizontal="right"/>
    </xf>
    <xf numFmtId="169" fontId="34" fillId="0" borderId="0" xfId="0" applyNumberFormat="1" applyFont="1" applyAlignment="1">
      <alignment vertical="center" shrinkToFit="1"/>
    </xf>
    <xf numFmtId="169" fontId="34" fillId="0" borderId="0" xfId="0" applyNumberFormat="1" applyFont="1" applyAlignment="1">
      <alignment vertical="center"/>
    </xf>
    <xf numFmtId="169" fontId="35" fillId="0" borderId="0" xfId="70" applyNumberFormat="1" applyFont="1" applyAlignment="1">
      <alignment vertical="center" readingOrder="2"/>
    </xf>
    <xf numFmtId="169" fontId="33" fillId="0" borderId="0" xfId="70" applyNumberFormat="1" applyFont="1" applyAlignment="1">
      <alignment horizontal="right" indent="1"/>
    </xf>
    <xf numFmtId="169" fontId="35" fillId="0" borderId="0" xfId="70" applyNumberFormat="1" applyFont="1" applyAlignment="1">
      <alignment horizontal="right" vertical="center" indent="1" readingOrder="2"/>
    </xf>
    <xf numFmtId="169" fontId="36" fillId="0" borderId="0" xfId="70" applyNumberFormat="1" applyFont="1" applyAlignment="1">
      <alignment horizontal="right" vertical="center" indent="1" readingOrder="2"/>
    </xf>
    <xf numFmtId="169" fontId="36" fillId="0" borderId="0" xfId="70" applyNumberFormat="1" applyFont="1" applyAlignment="1">
      <alignment horizontal="right" indent="1" readingOrder="2"/>
    </xf>
    <xf numFmtId="169" fontId="37" fillId="0" borderId="0" xfId="70" applyNumberFormat="1" applyFont="1" applyAlignment="1">
      <alignment horizontal="right" indent="1"/>
    </xf>
    <xf numFmtId="169" fontId="37" fillId="0" borderId="0" xfId="70" applyNumberFormat="1" applyFont="1" applyAlignment="1">
      <alignment horizontal="right" vertical="center" indent="1" readingOrder="2"/>
    </xf>
    <xf numFmtId="169" fontId="37" fillId="0" borderId="0" xfId="70" applyNumberFormat="1" applyFont="1" applyAlignment="1">
      <alignment horizontal="right" indent="1" readingOrder="2"/>
    </xf>
    <xf numFmtId="169" fontId="35" fillId="0" borderId="0" xfId="70" applyNumberFormat="1" applyFont="1" applyAlignment="1">
      <alignment horizontal="center" vertical="top" wrapText="1" readingOrder="2"/>
    </xf>
    <xf numFmtId="169" fontId="35" fillId="0" borderId="1" xfId="70" applyNumberFormat="1" applyFont="1" applyBorder="1" applyAlignment="1">
      <alignment horizontal="center" vertical="top" wrapText="1" readingOrder="2"/>
    </xf>
    <xf numFmtId="169" fontId="38" fillId="0" borderId="0" xfId="70" applyNumberFormat="1" applyFont="1" applyAlignment="1">
      <alignment horizontal="left" vertical="center"/>
    </xf>
    <xf numFmtId="169" fontId="38" fillId="0" borderId="0" xfId="70" applyNumberFormat="1" applyFont="1" applyAlignment="1">
      <alignment horizontal="center" vertical="center" wrapText="1" readingOrder="2"/>
    </xf>
    <xf numFmtId="169" fontId="38" fillId="0" borderId="0" xfId="70" applyNumberFormat="1" applyFont="1" applyAlignment="1">
      <alignment horizontal="right" vertical="center"/>
    </xf>
    <xf numFmtId="49" fontId="38" fillId="0" borderId="0" xfId="70" applyNumberFormat="1" applyFont="1" applyAlignment="1">
      <alignment horizontal="center" vertical="center" wrapText="1" readingOrder="2"/>
    </xf>
    <xf numFmtId="169" fontId="38" fillId="0" borderId="0" xfId="70" applyNumberFormat="1" applyFont="1"/>
    <xf numFmtId="169" fontId="38" fillId="0" borderId="0" xfId="70" applyNumberFormat="1" applyFont="1" applyAlignment="1">
      <alignment horizontal="right"/>
    </xf>
    <xf numFmtId="169" fontId="37" fillId="0" borderId="0" xfId="70" applyNumberFormat="1" applyFont="1"/>
    <xf numFmtId="169" fontId="37" fillId="0" borderId="0" xfId="70" applyNumberFormat="1" applyFont="1" applyAlignment="1">
      <alignment horizontal="right"/>
    </xf>
    <xf numFmtId="169" fontId="37" fillId="0" borderId="0" xfId="70" applyNumberFormat="1" applyFont="1" applyAlignment="1">
      <alignment horizontal="justify" readingOrder="2"/>
    </xf>
    <xf numFmtId="169" fontId="36" fillId="0" borderId="0" xfId="70" applyNumberFormat="1" applyFont="1"/>
    <xf numFmtId="169" fontId="39" fillId="0" borderId="0" xfId="0" applyNumberFormat="1" applyFont="1" applyAlignment="1">
      <alignment vertical="center" shrinkToFit="1"/>
    </xf>
    <xf numFmtId="169" fontId="34" fillId="0" borderId="1" xfId="0" applyNumberFormat="1" applyFont="1" applyBorder="1" applyAlignment="1">
      <alignment horizontal="center" vertical="center" shrinkToFit="1"/>
    </xf>
    <xf numFmtId="169" fontId="40" fillId="0" borderId="1" xfId="0" applyNumberFormat="1" applyFont="1" applyBorder="1" applyAlignment="1">
      <alignment horizontal="center" shrinkToFit="1"/>
    </xf>
    <xf numFmtId="169" fontId="34" fillId="0" borderId="1" xfId="0" applyNumberFormat="1" applyFont="1" applyBorder="1" applyAlignment="1">
      <alignment vertical="center" shrinkToFit="1"/>
    </xf>
    <xf numFmtId="169" fontId="40" fillId="0" borderId="1" xfId="0" applyNumberFormat="1" applyFont="1" applyBorder="1" applyAlignment="1">
      <alignment horizontal="center" vertical="center" shrinkToFit="1"/>
    </xf>
    <xf numFmtId="169" fontId="40" fillId="0" borderId="0" xfId="0" applyNumberFormat="1" applyFont="1" applyAlignment="1">
      <alignment horizontal="center" shrinkToFit="1"/>
    </xf>
    <xf numFmtId="169" fontId="38" fillId="0" borderId="0" xfId="0" applyNumberFormat="1" applyFont="1" applyAlignment="1">
      <alignment vertical="center" shrinkToFit="1"/>
    </xf>
    <xf numFmtId="169" fontId="38" fillId="0" borderId="0" xfId="1" applyNumberFormat="1" applyFont="1" applyAlignment="1">
      <alignment horizontal="center" vertical="center" shrinkToFit="1"/>
    </xf>
    <xf numFmtId="169" fontId="36" fillId="0" borderId="0" xfId="0" applyNumberFormat="1" applyFont="1" applyAlignment="1">
      <alignment vertical="center" shrinkToFit="1"/>
    </xf>
    <xf numFmtId="169" fontId="38" fillId="0" borderId="0" xfId="2" applyNumberFormat="1" applyFont="1" applyAlignment="1">
      <alignment horizontal="center" vertical="center" shrinkToFit="1"/>
    </xf>
    <xf numFmtId="169" fontId="38" fillId="0" borderId="2" xfId="0" applyNumberFormat="1" applyFont="1" applyBorder="1" applyAlignment="1">
      <alignment horizontal="center" vertical="center" shrinkToFit="1"/>
    </xf>
    <xf numFmtId="169" fontId="41" fillId="0" borderId="0" xfId="0" applyNumberFormat="1" applyFont="1" applyAlignment="1">
      <alignment vertical="center" shrinkToFit="1"/>
    </xf>
    <xf numFmtId="169" fontId="38" fillId="0" borderId="3" xfId="34" applyNumberFormat="1" applyFont="1" applyBorder="1" applyAlignment="1">
      <alignment horizontal="center" vertical="center" shrinkToFit="1"/>
    </xf>
    <xf numFmtId="169" fontId="38" fillId="0" borderId="3" xfId="0" applyNumberFormat="1" applyFont="1" applyBorder="1" applyAlignment="1">
      <alignment horizontal="center" vertical="center" shrinkToFit="1"/>
    </xf>
    <xf numFmtId="169" fontId="39" fillId="0" borderId="0" xfId="0" applyNumberFormat="1" applyFont="1" applyAlignment="1">
      <alignment horizontal="left" vertical="center" shrinkToFit="1"/>
    </xf>
    <xf numFmtId="3" fontId="39" fillId="0" borderId="0" xfId="0" applyNumberFormat="1" applyFont="1" applyAlignment="1">
      <alignment horizontal="center" vertical="center" shrinkToFit="1"/>
    </xf>
    <xf numFmtId="169" fontId="33" fillId="0" borderId="0" xfId="0" applyNumberFormat="1" applyFont="1" applyAlignment="1">
      <alignment horizontal="center" vertical="center" shrinkToFit="1"/>
    </xf>
    <xf numFmtId="169" fontId="33" fillId="0" borderId="0" xfId="0" applyNumberFormat="1" applyFont="1" applyAlignment="1">
      <alignment horizontal="right" vertical="center" shrinkToFit="1"/>
    </xf>
    <xf numFmtId="169" fontId="35" fillId="0" borderId="0" xfId="0" applyNumberFormat="1" applyFont="1"/>
    <xf numFmtId="169" fontId="41" fillId="0" borderId="0" xfId="0" applyNumberFormat="1" applyFont="1" applyAlignment="1">
      <alignment horizontal="right" vertical="center" shrinkToFit="1"/>
    </xf>
    <xf numFmtId="169" fontId="37" fillId="0" borderId="0" xfId="0" applyNumberFormat="1" applyFont="1" applyAlignment="1">
      <alignment vertical="center" shrinkToFit="1"/>
    </xf>
    <xf numFmtId="169" fontId="37" fillId="0" borderId="0" xfId="0" applyNumberFormat="1" applyFont="1" applyAlignment="1">
      <alignment horizontal="right" vertical="center" indent="1" shrinkToFit="1"/>
    </xf>
    <xf numFmtId="169" fontId="33" fillId="0" borderId="0" xfId="0" applyNumberFormat="1" applyFont="1"/>
    <xf numFmtId="169" fontId="42" fillId="0" borderId="0" xfId="0" applyNumberFormat="1" applyFont="1"/>
    <xf numFmtId="169" fontId="33" fillId="0" borderId="0" xfId="0" applyNumberFormat="1" applyFont="1" applyAlignment="1">
      <alignment horizontal="center"/>
    </xf>
    <xf numFmtId="169" fontId="33" fillId="0" borderId="0" xfId="0" applyNumberFormat="1" applyFont="1" applyAlignment="1">
      <alignment horizontal="center" vertical="center"/>
    </xf>
    <xf numFmtId="169" fontId="33" fillId="0" borderId="0" xfId="0" applyNumberFormat="1" applyFont="1" applyAlignment="1">
      <alignment shrinkToFit="1"/>
    </xf>
    <xf numFmtId="169" fontId="43" fillId="0" borderId="0" xfId="0" applyNumberFormat="1" applyFont="1" applyAlignment="1">
      <alignment vertical="center" shrinkToFit="1"/>
    </xf>
    <xf numFmtId="169" fontId="34" fillId="0" borderId="0" xfId="0" applyNumberFormat="1" applyFont="1"/>
    <xf numFmtId="169" fontId="41" fillId="0" borderId="0" xfId="70" applyNumberFormat="1" applyFont="1"/>
    <xf numFmtId="169" fontId="42" fillId="0" borderId="0" xfId="70" applyNumberFormat="1" applyFont="1"/>
    <xf numFmtId="169" fontId="37" fillId="0" borderId="0" xfId="70" applyNumberFormat="1" applyFont="1" applyAlignment="1">
      <alignment vertical="center"/>
    </xf>
    <xf numFmtId="169" fontId="33" fillId="0" borderId="0" xfId="70" applyNumberFormat="1" applyFont="1" applyAlignment="1">
      <alignment vertical="center"/>
    </xf>
    <xf numFmtId="169" fontId="37" fillId="0" borderId="0" xfId="70" applyNumberFormat="1" applyFont="1" applyAlignment="1">
      <alignment horizontal="center" vertical="center"/>
    </xf>
    <xf numFmtId="49" fontId="33" fillId="0" borderId="0" xfId="70" applyNumberFormat="1" applyFont="1" applyAlignment="1">
      <alignment horizontal="center" vertical="center"/>
    </xf>
    <xf numFmtId="49" fontId="33" fillId="0" borderId="0" xfId="70" applyNumberFormat="1" applyFont="1" applyAlignment="1">
      <alignment horizontal="center"/>
    </xf>
    <xf numFmtId="169" fontId="42" fillId="0" borderId="0" xfId="70" applyNumberFormat="1" applyFont="1" applyAlignment="1">
      <alignment vertical="center" readingOrder="2"/>
    </xf>
    <xf numFmtId="169" fontId="33" fillId="0" borderId="0" xfId="70" applyNumberFormat="1" applyFont="1" applyAlignment="1">
      <alignment horizontal="center" vertical="center"/>
    </xf>
    <xf numFmtId="49" fontId="45" fillId="2" borderId="4" xfId="0" applyNumberFormat="1" applyFont="1" applyFill="1" applyBorder="1" applyAlignment="1">
      <alignment horizontal="center" shrinkToFit="1"/>
    </xf>
    <xf numFmtId="49" fontId="45" fillId="2" borderId="4" xfId="0" applyNumberFormat="1" applyFont="1" applyFill="1" applyBorder="1" applyAlignment="1">
      <alignment horizontal="center" vertical="center" shrinkToFit="1"/>
    </xf>
    <xf numFmtId="169" fontId="34" fillId="0" borderId="0" xfId="0" applyNumberFormat="1" applyFont="1" applyAlignment="1">
      <alignment horizontal="center" shrinkToFit="1" readingOrder="2"/>
    </xf>
    <xf numFmtId="169" fontId="33" fillId="0" borderId="4" xfId="0" applyNumberFormat="1" applyFont="1" applyBorder="1" applyAlignment="1">
      <alignment horizontal="center"/>
    </xf>
    <xf numFmtId="169" fontId="42" fillId="0" borderId="0" xfId="0" applyNumberFormat="1" applyFont="1" applyAlignment="1">
      <alignment vertical="center" shrinkToFit="1" readingOrder="2"/>
    </xf>
    <xf numFmtId="169" fontId="34" fillId="0" borderId="0" xfId="0" applyNumberFormat="1" applyFont="1" applyAlignment="1">
      <alignment horizontal="right" vertical="center" readingOrder="2"/>
    </xf>
    <xf numFmtId="169" fontId="34" fillId="0" borderId="0" xfId="0" applyNumberFormat="1" applyFont="1" applyAlignment="1">
      <alignment horizontal="center" vertical="center" shrinkToFit="1" readingOrder="2"/>
    </xf>
    <xf numFmtId="169" fontId="39" fillId="0" borderId="0" xfId="0" applyNumberFormat="1" applyFont="1" applyAlignment="1">
      <alignment horizontal="center" vertical="center" shrinkToFit="1" readingOrder="2"/>
    </xf>
    <xf numFmtId="169" fontId="39" fillId="0" borderId="0" xfId="70" applyNumberFormat="1" applyFont="1" applyAlignment="1">
      <alignment vertical="center" shrinkToFit="1" readingOrder="2"/>
    </xf>
    <xf numFmtId="169" fontId="34" fillId="0" borderId="0" xfId="34" applyNumberFormat="1" applyFont="1" applyFill="1" applyAlignment="1">
      <alignment horizontal="center" vertical="center" shrinkToFit="1" readingOrder="2"/>
    </xf>
    <xf numFmtId="169" fontId="39" fillId="0" borderId="0" xfId="70" applyNumberFormat="1" applyFont="1" applyAlignment="1">
      <alignment horizontal="center" vertical="center" shrinkToFit="1" readingOrder="2"/>
    </xf>
    <xf numFmtId="169" fontId="39" fillId="0" borderId="0" xfId="34" applyNumberFormat="1" applyFont="1" applyFill="1" applyAlignment="1">
      <alignment horizontal="center" vertical="center" shrinkToFit="1" readingOrder="2"/>
    </xf>
    <xf numFmtId="49" fontId="34" fillId="0" borderId="0" xfId="0" applyNumberFormat="1" applyFont="1" applyAlignment="1">
      <alignment horizontal="center" shrinkToFit="1" readingOrder="2"/>
    </xf>
    <xf numFmtId="169" fontId="37" fillId="0" borderId="5" xfId="34" applyNumberFormat="1" applyFont="1" applyFill="1" applyBorder="1" applyAlignment="1">
      <alignment horizontal="center" vertical="center" shrinkToFit="1"/>
    </xf>
    <xf numFmtId="169" fontId="37" fillId="0" borderId="6" xfId="34" applyNumberFormat="1" applyFont="1" applyFill="1" applyBorder="1" applyAlignment="1">
      <alignment horizontal="center" vertical="center" shrinkToFit="1"/>
    </xf>
    <xf numFmtId="169" fontId="39" fillId="0" borderId="1" xfId="34" applyNumberFormat="1" applyFont="1" applyFill="1" applyBorder="1" applyAlignment="1">
      <alignment horizontal="center" vertical="center" shrinkToFit="1" readingOrder="2"/>
    </xf>
    <xf numFmtId="169" fontId="37" fillId="0" borderId="0" xfId="70" applyNumberFormat="1" applyFont="1" applyAlignment="1">
      <alignment horizontal="center" vertical="center" shrinkToFit="1" readingOrder="2"/>
    </xf>
    <xf numFmtId="169" fontId="37" fillId="0" borderId="0" xfId="34" applyNumberFormat="1" applyFont="1" applyFill="1" applyAlignment="1">
      <alignment horizontal="center" vertical="center" shrinkToFit="1" readingOrder="2"/>
    </xf>
    <xf numFmtId="49" fontId="39" fillId="0" borderId="0" xfId="70" applyNumberFormat="1" applyFont="1" applyAlignment="1">
      <alignment vertical="center" shrinkToFit="1" readingOrder="2"/>
    </xf>
    <xf numFmtId="169" fontId="37" fillId="0" borderId="7" xfId="34" applyNumberFormat="1" applyFont="1" applyFill="1" applyBorder="1" applyAlignment="1">
      <alignment horizontal="center" vertical="center" shrinkToFit="1"/>
    </xf>
    <xf numFmtId="169" fontId="37" fillId="0" borderId="8" xfId="34" applyNumberFormat="1" applyFont="1" applyFill="1" applyBorder="1" applyAlignment="1">
      <alignment horizontal="center" vertical="center" shrinkToFit="1"/>
    </xf>
    <xf numFmtId="169" fontId="41" fillId="0" borderId="0" xfId="34" applyNumberFormat="1" applyFont="1" applyAlignment="1">
      <alignment horizontal="center" readingOrder="2"/>
    </xf>
    <xf numFmtId="169" fontId="37" fillId="0" borderId="4" xfId="70" applyNumberFormat="1" applyFont="1" applyBorder="1" applyAlignment="1">
      <alignment horizontal="right" vertical="center" shrinkToFit="1"/>
    </xf>
    <xf numFmtId="169" fontId="37" fillId="0" borderId="0" xfId="70" applyNumberFormat="1" applyFont="1" applyAlignment="1">
      <alignment vertical="center" shrinkToFit="1" readingOrder="2"/>
    </xf>
    <xf numFmtId="49" fontId="45" fillId="0" borderId="4" xfId="70" applyNumberFormat="1" applyFont="1" applyBorder="1" applyAlignment="1">
      <alignment horizontal="center" vertical="center" shrinkToFit="1"/>
    </xf>
    <xf numFmtId="169" fontId="42" fillId="0" borderId="4" xfId="37" applyNumberFormat="1" applyFont="1" applyFill="1" applyBorder="1" applyAlignment="1">
      <alignment horizontal="center" vertical="center" shrinkToFit="1"/>
    </xf>
    <xf numFmtId="169" fontId="44" fillId="0" borderId="7" xfId="37" applyNumberFormat="1" applyFont="1" applyFill="1" applyBorder="1" applyAlignment="1">
      <alignment horizontal="center" vertical="center" shrinkToFit="1"/>
    </xf>
    <xf numFmtId="169" fontId="42" fillId="0" borderId="8" xfId="37" applyNumberFormat="1" applyFont="1" applyFill="1" applyBorder="1" applyAlignment="1">
      <alignment horizontal="center" vertical="center" shrinkToFit="1"/>
    </xf>
    <xf numFmtId="169" fontId="42" fillId="0" borderId="0" xfId="37" applyNumberFormat="1" applyFont="1" applyFill="1" applyAlignment="1">
      <alignment horizontal="center" vertical="center" shrinkToFit="1"/>
    </xf>
    <xf numFmtId="169" fontId="42" fillId="0" borderId="7" xfId="37" applyNumberFormat="1" applyFont="1" applyFill="1" applyBorder="1" applyAlignment="1">
      <alignment horizontal="center" vertical="center" shrinkToFit="1"/>
    </xf>
    <xf numFmtId="169" fontId="42" fillId="0" borderId="0" xfId="34" applyNumberFormat="1" applyFont="1" applyFill="1" applyAlignment="1">
      <alignment horizontal="center" vertical="center" shrinkToFit="1"/>
    </xf>
    <xf numFmtId="169" fontId="42" fillId="0" borderId="4" xfId="34" applyNumberFormat="1" applyFont="1" applyFill="1" applyBorder="1" applyAlignment="1">
      <alignment horizontal="center" vertical="center" shrinkToFit="1"/>
    </xf>
    <xf numFmtId="169" fontId="46" fillId="0" borderId="7" xfId="34" applyNumberFormat="1" applyFont="1" applyFill="1" applyBorder="1" applyAlignment="1">
      <alignment horizontal="center" vertical="center" wrapText="1" shrinkToFit="1"/>
    </xf>
    <xf numFmtId="169" fontId="42" fillId="0" borderId="6" xfId="37" applyNumberFormat="1" applyFont="1" applyFill="1" applyBorder="1" applyAlignment="1">
      <alignment horizontal="center" vertical="center" shrinkToFit="1"/>
    </xf>
    <xf numFmtId="0" fontId="37" fillId="0" borderId="0" xfId="0" applyFont="1"/>
    <xf numFmtId="49" fontId="37" fillId="2" borderId="4" xfId="70" applyNumberFormat="1" applyFont="1" applyFill="1" applyBorder="1" applyAlignment="1">
      <alignment horizontal="center" vertical="center"/>
    </xf>
    <xf numFmtId="49" fontId="37" fillId="2" borderId="4" xfId="0" applyNumberFormat="1" applyFont="1" applyFill="1" applyBorder="1" applyAlignment="1">
      <alignment horizontal="center" vertical="center" shrinkToFit="1"/>
    </xf>
    <xf numFmtId="49" fontId="37" fillId="0" borderId="4" xfId="70" applyNumberFormat="1" applyFont="1" applyBorder="1" applyAlignment="1">
      <alignment horizontal="center" vertical="center"/>
    </xf>
    <xf numFmtId="49" fontId="37" fillId="0" borderId="4" xfId="0" applyNumberFormat="1" applyFont="1" applyBorder="1" applyAlignment="1">
      <alignment horizontal="center" vertical="center" shrinkToFit="1"/>
    </xf>
    <xf numFmtId="169" fontId="41" fillId="0" borderId="0" xfId="0" applyNumberFormat="1" applyFont="1" applyAlignment="1">
      <alignment vertical="center" readingOrder="2"/>
    </xf>
    <xf numFmtId="169" fontId="33" fillId="0" borderId="0" xfId="0" applyNumberFormat="1" applyFont="1" applyAlignment="1">
      <alignment vertical="center"/>
    </xf>
    <xf numFmtId="169" fontId="46" fillId="0" borderId="0" xfId="1" applyNumberFormat="1" applyFont="1" applyFill="1" applyAlignment="1">
      <alignment horizontal="center" vertical="center" wrapText="1"/>
    </xf>
    <xf numFmtId="49" fontId="34" fillId="0" borderId="0" xfId="0" applyNumberFormat="1" applyFont="1" applyAlignment="1">
      <alignment horizontal="right" vertical="center" readingOrder="2"/>
    </xf>
    <xf numFmtId="49" fontId="37" fillId="2" borderId="4" xfId="70" applyNumberFormat="1" applyFont="1" applyFill="1" applyBorder="1" applyAlignment="1">
      <alignment horizontal="center" vertical="center" shrinkToFit="1"/>
    </xf>
    <xf numFmtId="49" fontId="33" fillId="0" borderId="0" xfId="70" applyNumberFormat="1" applyFont="1"/>
    <xf numFmtId="49" fontId="41" fillId="0" borderId="0" xfId="70" applyNumberFormat="1" applyFont="1"/>
    <xf numFmtId="169" fontId="39" fillId="0" borderId="0" xfId="62" applyNumberFormat="1" applyFont="1"/>
    <xf numFmtId="49" fontId="37" fillId="0" borderId="0" xfId="70" applyNumberFormat="1" applyFont="1"/>
    <xf numFmtId="169" fontId="34" fillId="0" borderId="0" xfId="0" applyNumberFormat="1" applyFont="1" applyAlignment="1">
      <alignment shrinkToFit="1" readingOrder="2"/>
    </xf>
    <xf numFmtId="169" fontId="33" fillId="0" borderId="0" xfId="36" applyNumberFormat="1" applyFont="1"/>
    <xf numFmtId="169" fontId="43" fillId="0" borderId="0" xfId="0" applyNumberFormat="1" applyFont="1" applyAlignment="1">
      <alignment vertical="center" readingOrder="2"/>
    </xf>
    <xf numFmtId="169" fontId="43" fillId="0" borderId="0" xfId="0" applyNumberFormat="1" applyFont="1" applyAlignment="1">
      <alignment horizontal="right" vertical="center" readingOrder="2"/>
    </xf>
    <xf numFmtId="169" fontId="42" fillId="0" borderId="4" xfId="0" applyNumberFormat="1" applyFont="1" applyBorder="1" applyAlignment="1">
      <alignment horizontal="center" vertical="center" wrapText="1"/>
    </xf>
    <xf numFmtId="169" fontId="42" fillId="0" borderId="8" xfId="0" applyNumberFormat="1" applyFont="1" applyBorder="1" applyAlignment="1">
      <alignment horizontal="center" vertical="center" wrapText="1"/>
    </xf>
    <xf numFmtId="169" fontId="42" fillId="0" borderId="4" xfId="1" applyNumberFormat="1" applyFont="1" applyBorder="1" applyAlignment="1">
      <alignment horizontal="center"/>
    </xf>
    <xf numFmtId="169" fontId="42" fillId="0" borderId="0" xfId="0" applyNumberFormat="1" applyFont="1" applyAlignment="1">
      <alignment horizontal="center" vertical="center" wrapText="1"/>
    </xf>
    <xf numFmtId="169" fontId="44" fillId="0" borderId="4" xfId="1" applyNumberFormat="1" applyFont="1" applyBorder="1" applyAlignment="1">
      <alignment horizontal="center" vertical="center"/>
    </xf>
    <xf numFmtId="169" fontId="44" fillId="0" borderId="6" xfId="1" applyNumberFormat="1" applyFont="1" applyBorder="1" applyAlignment="1">
      <alignment horizontal="center" vertical="center"/>
    </xf>
    <xf numFmtId="169" fontId="44" fillId="0" borderId="0" xfId="1" applyNumberFormat="1" applyFont="1" applyAlignment="1">
      <alignment vertical="center"/>
    </xf>
    <xf numFmtId="169" fontId="41" fillId="2" borderId="9" xfId="0" applyNumberFormat="1" applyFont="1" applyFill="1" applyBorder="1" applyAlignment="1">
      <alignment horizontal="center" shrinkToFit="1"/>
    </xf>
    <xf numFmtId="169" fontId="41" fillId="2" borderId="0" xfId="0" applyNumberFormat="1" applyFont="1" applyFill="1" applyAlignment="1">
      <alignment shrinkToFit="1"/>
    </xf>
    <xf numFmtId="49" fontId="33" fillId="0" borderId="0" xfId="0" applyNumberFormat="1" applyFont="1"/>
    <xf numFmtId="169" fontId="42" fillId="0" borderId="4" xfId="0" applyNumberFormat="1" applyFont="1" applyBorder="1" applyAlignment="1">
      <alignment horizontal="center" vertical="center" textRotation="90" wrapText="1"/>
    </xf>
    <xf numFmtId="169" fontId="45" fillId="0" borderId="4" xfId="0" applyNumberFormat="1" applyFont="1" applyBorder="1" applyAlignment="1">
      <alignment shrinkToFit="1"/>
    </xf>
    <xf numFmtId="169" fontId="33" fillId="0" borderId="4" xfId="0" applyNumberFormat="1" applyFont="1" applyBorder="1" applyAlignment="1">
      <alignment horizontal="center" vertical="center" wrapText="1"/>
    </xf>
    <xf numFmtId="169" fontId="45" fillId="0" borderId="4" xfId="62" applyNumberFormat="1" applyFont="1" applyBorder="1" applyAlignment="1">
      <alignment shrinkToFit="1"/>
    </xf>
    <xf numFmtId="169" fontId="33" fillId="0" borderId="9" xfId="0" applyNumberFormat="1" applyFont="1" applyBorder="1" applyAlignment="1">
      <alignment horizontal="center"/>
    </xf>
    <xf numFmtId="169" fontId="33" fillId="0" borderId="9" xfId="0" applyNumberFormat="1" applyFont="1" applyBorder="1" applyAlignment="1">
      <alignment horizontal="center" vertical="center" wrapText="1"/>
    </xf>
    <xf numFmtId="169" fontId="42" fillId="0" borderId="10" xfId="0" applyNumberFormat="1" applyFont="1" applyBorder="1" applyAlignment="1">
      <alignment horizontal="center" vertical="center" textRotation="90" wrapText="1"/>
    </xf>
    <xf numFmtId="169" fontId="42" fillId="0" borderId="11" xfId="0" applyNumberFormat="1" applyFont="1" applyBorder="1" applyAlignment="1">
      <alignment horizontal="center" vertical="center" textRotation="90" wrapText="1"/>
    </xf>
    <xf numFmtId="169" fontId="44" fillId="0" borderId="12" xfId="0" applyNumberFormat="1" applyFont="1" applyBorder="1" applyAlignment="1">
      <alignment horizontal="center" vertical="center" wrapText="1"/>
    </xf>
    <xf numFmtId="169" fontId="44" fillId="0" borderId="9" xfId="0" applyNumberFormat="1" applyFont="1" applyBorder="1" applyAlignment="1">
      <alignment horizontal="center"/>
    </xf>
    <xf numFmtId="169" fontId="44" fillId="0" borderId="0" xfId="0" applyNumberFormat="1" applyFont="1"/>
    <xf numFmtId="49" fontId="41" fillId="0" borderId="0" xfId="70" applyNumberFormat="1" applyFont="1" applyAlignment="1">
      <alignment horizontal="right" vertical="center" readingOrder="2"/>
    </xf>
    <xf numFmtId="169" fontId="41" fillId="0" borderId="1" xfId="70" applyNumberFormat="1" applyFont="1" applyBorder="1" applyAlignment="1">
      <alignment horizontal="center" vertical="center" readingOrder="2"/>
    </xf>
    <xf numFmtId="169" fontId="41" fillId="0" borderId="13" xfId="70" applyNumberFormat="1" applyFont="1" applyBorder="1" applyAlignment="1">
      <alignment horizontal="center" vertical="center" readingOrder="2"/>
    </xf>
    <xf numFmtId="169" fontId="38" fillId="0" borderId="0" xfId="70" applyNumberFormat="1" applyFont="1" applyAlignment="1">
      <alignment vertical="center"/>
    </xf>
    <xf numFmtId="49" fontId="37" fillId="0" borderId="0" xfId="70" applyNumberFormat="1" applyFont="1" applyAlignment="1">
      <alignment vertical="center"/>
    </xf>
    <xf numFmtId="169" fontId="41" fillId="2" borderId="7" xfId="70" applyNumberFormat="1" applyFont="1" applyFill="1" applyBorder="1" applyAlignment="1">
      <alignment horizontal="center" vertical="center" wrapText="1" readingOrder="2"/>
    </xf>
    <xf numFmtId="49" fontId="37" fillId="0" borderId="4" xfId="128" applyNumberFormat="1" applyFont="1" applyBorder="1" applyAlignment="1">
      <alignment shrinkToFit="1"/>
    </xf>
    <xf numFmtId="169" fontId="37" fillId="0" borderId="4" xfId="39" applyNumberFormat="1" applyFont="1" applyBorder="1"/>
    <xf numFmtId="169" fontId="47" fillId="0" borderId="0" xfId="70" applyNumberFormat="1" applyFont="1" applyAlignment="1">
      <alignment vertical="center"/>
    </xf>
    <xf numFmtId="169" fontId="37" fillId="2" borderId="5" xfId="105" applyNumberFormat="1" applyFont="1" applyFill="1" applyBorder="1" applyAlignment="1">
      <alignment horizontal="center" vertical="center" shrinkToFit="1"/>
    </xf>
    <xf numFmtId="169" fontId="37" fillId="2" borderId="2" xfId="105" applyNumberFormat="1" applyFont="1" applyFill="1" applyBorder="1" applyAlignment="1">
      <alignment horizontal="center" vertical="center" shrinkToFit="1"/>
    </xf>
    <xf numFmtId="169" fontId="37" fillId="2" borderId="6" xfId="105" applyNumberFormat="1" applyFont="1" applyFill="1" applyBorder="1" applyAlignment="1">
      <alignment horizontal="center" vertical="center" shrinkToFit="1"/>
    </xf>
    <xf numFmtId="169" fontId="37" fillId="2" borderId="4" xfId="70" applyNumberFormat="1" applyFont="1" applyFill="1" applyBorder="1" applyAlignment="1">
      <alignment vertical="center" shrinkToFit="1"/>
    </xf>
    <xf numFmtId="49" fontId="37" fillId="2" borderId="4" xfId="109" applyNumberFormat="1" applyFont="1" applyFill="1" applyBorder="1" applyAlignment="1">
      <alignment vertical="center" shrinkToFit="1"/>
    </xf>
    <xf numFmtId="169" fontId="37" fillId="0" borderId="4" xfId="1" applyNumberFormat="1" applyFont="1" applyBorder="1"/>
    <xf numFmtId="49" fontId="41" fillId="2" borderId="9" xfId="109" applyNumberFormat="1" applyFont="1" applyFill="1" applyBorder="1" applyAlignment="1">
      <alignment vertical="center" shrinkToFit="1"/>
    </xf>
    <xf numFmtId="169" fontId="41" fillId="0" borderId="9" xfId="107" applyNumberFormat="1" applyFont="1" applyBorder="1" applyAlignment="1">
      <alignment horizontal="center" vertical="center" shrinkToFit="1"/>
    </xf>
    <xf numFmtId="49" fontId="41" fillId="0" borderId="0" xfId="109" applyNumberFormat="1" applyFont="1" applyAlignment="1">
      <alignment vertical="center" shrinkToFit="1"/>
    </xf>
    <xf numFmtId="169" fontId="41" fillId="0" borderId="0" xfId="70" applyNumberFormat="1" applyFont="1" applyAlignment="1">
      <alignment horizontal="center" vertical="center" shrinkToFit="1"/>
    </xf>
    <xf numFmtId="169" fontId="41" fillId="0" borderId="0" xfId="107" applyNumberFormat="1" applyFont="1" applyAlignment="1">
      <alignment horizontal="center" vertical="center" shrinkToFit="1"/>
    </xf>
    <xf numFmtId="49" fontId="41" fillId="0" borderId="0" xfId="109" applyNumberFormat="1" applyFont="1" applyAlignment="1">
      <alignment horizontal="center" vertical="center" shrinkToFit="1"/>
    </xf>
    <xf numFmtId="169" fontId="41" fillId="0" borderId="1" xfId="70" applyNumberFormat="1" applyFont="1" applyBorder="1" applyAlignment="1">
      <alignment horizontal="center" vertical="center" shrinkToFit="1"/>
    </xf>
    <xf numFmtId="49" fontId="37" fillId="2" borderId="4" xfId="38" applyNumberFormat="1" applyFont="1" applyFill="1" applyBorder="1" applyAlignment="1">
      <alignment horizontal="center" vertical="center" shrinkToFit="1"/>
    </xf>
    <xf numFmtId="49" fontId="37" fillId="0" borderId="4" xfId="38" applyNumberFormat="1" applyFont="1" applyFill="1" applyBorder="1" applyAlignment="1">
      <alignment horizontal="center" vertical="center" shrinkToFit="1"/>
    </xf>
    <xf numFmtId="169" fontId="41" fillId="0" borderId="8" xfId="0" applyNumberFormat="1" applyFont="1" applyBorder="1" applyAlignment="1">
      <alignment horizontal="center" vertical="center" shrinkToFit="1"/>
    </xf>
    <xf numFmtId="49" fontId="37" fillId="2" borderId="4" xfId="1" applyNumberFormat="1" applyFont="1" applyFill="1" applyBorder="1" applyAlignment="1">
      <alignment horizontal="center" shrinkToFit="1"/>
    </xf>
    <xf numFmtId="49" fontId="37" fillId="2" borderId="4" xfId="1" applyNumberFormat="1" applyFont="1" applyFill="1" applyBorder="1" applyAlignment="1">
      <alignment horizontal="center" vertical="center" shrinkToFit="1"/>
    </xf>
    <xf numFmtId="169" fontId="41" fillId="0" borderId="9" xfId="116" applyNumberFormat="1" applyFont="1" applyBorder="1" applyAlignment="1">
      <alignment horizontal="center" vertical="center"/>
    </xf>
    <xf numFmtId="49" fontId="41" fillId="0" borderId="0" xfId="111" applyNumberFormat="1" applyFont="1" applyAlignment="1">
      <alignment horizontal="center" vertical="center"/>
    </xf>
    <xf numFmtId="169" fontId="37" fillId="0" borderId="0" xfId="111" applyNumberFormat="1" applyFont="1" applyAlignment="1">
      <alignment horizontal="center" vertical="center"/>
    </xf>
    <xf numFmtId="169" fontId="41" fillId="0" borderId="0" xfId="116" applyNumberFormat="1" applyFont="1" applyAlignment="1">
      <alignment horizontal="center" vertical="center"/>
    </xf>
    <xf numFmtId="49" fontId="41" fillId="0" borderId="1" xfId="70" applyNumberFormat="1" applyFont="1" applyBorder="1" applyAlignment="1">
      <alignment vertical="center" shrinkToFit="1"/>
    </xf>
    <xf numFmtId="169" fontId="41" fillId="0" borderId="1" xfId="70" applyNumberFormat="1" applyFont="1" applyBorder="1" applyAlignment="1">
      <alignment vertical="center" shrinkToFit="1"/>
    </xf>
    <xf numFmtId="169" fontId="37" fillId="0" borderId="4" xfId="118" applyNumberFormat="1" applyFont="1" applyBorder="1" applyAlignment="1">
      <alignment horizontal="center" vertical="center"/>
    </xf>
    <xf numFmtId="49" fontId="37" fillId="2" borderId="4" xfId="111" applyNumberFormat="1" applyFont="1" applyFill="1" applyBorder="1" applyAlignment="1">
      <alignment horizontal="center" vertical="center"/>
    </xf>
    <xf numFmtId="169" fontId="37" fillId="0" borderId="4" xfId="116" applyNumberFormat="1" applyFont="1" applyBorder="1" applyAlignment="1">
      <alignment horizontal="center" vertical="center"/>
    </xf>
    <xf numFmtId="169" fontId="37" fillId="0" borderId="8" xfId="118" applyNumberFormat="1" applyFont="1" applyBorder="1" applyAlignment="1">
      <alignment horizontal="center" vertical="center"/>
    </xf>
    <xf numFmtId="49" fontId="37" fillId="2" borderId="4" xfId="38" applyNumberFormat="1" applyFont="1" applyFill="1" applyBorder="1" applyAlignment="1">
      <alignment horizontal="center" vertical="center"/>
    </xf>
    <xf numFmtId="49" fontId="37" fillId="0" borderId="4" xfId="1" applyNumberFormat="1" applyFont="1" applyBorder="1" applyAlignment="1">
      <alignment horizontal="center" vertical="center" shrinkToFit="1"/>
    </xf>
    <xf numFmtId="169" fontId="41" fillId="0" borderId="9" xfId="107" applyNumberFormat="1" applyFont="1" applyBorder="1" applyAlignment="1">
      <alignment horizontal="center" vertical="center"/>
    </xf>
    <xf numFmtId="169" fontId="41" fillId="0" borderId="0" xfId="70" applyNumberFormat="1" applyFont="1" applyAlignment="1">
      <alignment vertical="center" shrinkToFit="1"/>
    </xf>
    <xf numFmtId="49" fontId="37" fillId="0" borderId="4" xfId="111" applyNumberFormat="1" applyFont="1" applyBorder="1" applyAlignment="1">
      <alignment horizontal="center" vertical="center"/>
    </xf>
    <xf numFmtId="49" fontId="33" fillId="0" borderId="0" xfId="70" applyNumberFormat="1" applyFont="1" applyAlignment="1">
      <alignment vertical="center"/>
    </xf>
    <xf numFmtId="0" fontId="33" fillId="0" borderId="0" xfId="0" applyFont="1" applyAlignment="1">
      <alignment vertical="center"/>
    </xf>
    <xf numFmtId="0" fontId="37" fillId="0" borderId="0" xfId="0" applyFont="1" applyAlignment="1">
      <alignment vertical="center"/>
    </xf>
    <xf numFmtId="0" fontId="37" fillId="0" borderId="0" xfId="0" applyFont="1" applyAlignment="1">
      <alignment horizontal="center" vertical="center"/>
    </xf>
    <xf numFmtId="0" fontId="41" fillId="0" borderId="0" xfId="0" applyFont="1"/>
    <xf numFmtId="0" fontId="38" fillId="0" borderId="0" xfId="0" applyFont="1" applyAlignment="1">
      <alignment horizontal="center" vertical="center"/>
    </xf>
    <xf numFmtId="169" fontId="38" fillId="0" borderId="0" xfId="70" applyNumberFormat="1" applyFont="1" applyAlignment="1">
      <alignment horizontal="center" vertical="center"/>
    </xf>
    <xf numFmtId="0" fontId="38" fillId="0" borderId="0" xfId="0" applyFont="1"/>
    <xf numFmtId="169" fontId="38" fillId="0" borderId="0" xfId="0" applyNumberFormat="1" applyFont="1" applyAlignment="1">
      <alignment horizontal="center" vertical="center" wrapText="1"/>
    </xf>
    <xf numFmtId="169" fontId="38" fillId="0" borderId="0" xfId="0" applyNumberFormat="1" applyFont="1"/>
    <xf numFmtId="0" fontId="38" fillId="0" borderId="0" xfId="0" applyFont="1" applyAlignment="1">
      <alignment vertical="center"/>
    </xf>
    <xf numFmtId="49" fontId="48" fillId="0" borderId="0" xfId="70" applyNumberFormat="1" applyFont="1" applyAlignment="1">
      <alignment vertical="center" readingOrder="2"/>
    </xf>
    <xf numFmtId="169" fontId="48" fillId="0" borderId="0" xfId="70" applyNumberFormat="1" applyFont="1" applyAlignment="1">
      <alignment horizontal="center" vertical="center"/>
    </xf>
    <xf numFmtId="49" fontId="39" fillId="0" borderId="0" xfId="109" applyNumberFormat="1" applyFont="1" applyAlignment="1">
      <alignment vertical="center"/>
    </xf>
    <xf numFmtId="169" fontId="34" fillId="0" borderId="0" xfId="105" applyNumberFormat="1" applyFont="1" applyAlignment="1">
      <alignment horizontal="center" vertical="center"/>
    </xf>
    <xf numFmtId="49" fontId="34" fillId="0" borderId="0" xfId="0" applyNumberFormat="1" applyFont="1" applyAlignment="1">
      <alignment horizontal="center" vertical="center" shrinkToFit="1"/>
    </xf>
    <xf numFmtId="169" fontId="33" fillId="0" borderId="0" xfId="70" applyNumberFormat="1" applyFont="1" applyBorder="1"/>
    <xf numFmtId="169" fontId="37" fillId="0" borderId="0" xfId="70" applyNumberFormat="1" applyFont="1" applyBorder="1"/>
    <xf numFmtId="169" fontId="38" fillId="0" borderId="0" xfId="0" applyNumberFormat="1" applyFont="1" applyAlignment="1">
      <alignment horizontal="center" vertical="center" shrinkToFit="1" readingOrder="2"/>
    </xf>
    <xf numFmtId="169" fontId="39" fillId="0" borderId="0" xfId="70" applyNumberFormat="1" applyFont="1" applyAlignment="1">
      <alignment horizontal="right" vertical="center" shrinkToFit="1" readingOrder="2"/>
    </xf>
    <xf numFmtId="169" fontId="44" fillId="0" borderId="17" xfId="37" applyNumberFormat="1" applyFont="1" applyFill="1" applyBorder="1" applyAlignment="1">
      <alignment horizontal="center" vertical="center" shrinkToFit="1"/>
    </xf>
    <xf numFmtId="0" fontId="35" fillId="0" borderId="0" xfId="95" applyFont="1" applyAlignment="1">
      <alignment horizontal="left" vertical="center"/>
    </xf>
    <xf numFmtId="49" fontId="35" fillId="0" borderId="0" xfId="95" applyNumberFormat="1" applyFont="1" applyAlignment="1">
      <alignment horizontal="right" vertical="center"/>
    </xf>
    <xf numFmtId="171" fontId="38" fillId="0" borderId="0" xfId="1" applyNumberFormat="1" applyFont="1" applyAlignment="1">
      <alignment vertical="center"/>
    </xf>
    <xf numFmtId="0" fontId="33" fillId="0" borderId="0" xfId="95" applyFont="1" applyAlignment="1">
      <alignment vertical="center"/>
    </xf>
    <xf numFmtId="49" fontId="33" fillId="0" borderId="0" xfId="95" applyNumberFormat="1" applyFont="1" applyAlignment="1">
      <alignment horizontal="right" vertical="center"/>
    </xf>
    <xf numFmtId="171" fontId="33" fillId="0" borderId="0" xfId="1" applyNumberFormat="1" applyFont="1" applyAlignment="1">
      <alignment vertical="center"/>
    </xf>
    <xf numFmtId="0" fontId="33" fillId="0" borderId="0" xfId="95" applyFont="1" applyAlignment="1">
      <alignment horizontal="center" vertical="center"/>
    </xf>
    <xf numFmtId="169" fontId="42" fillId="0" borderId="4" xfId="1" applyNumberFormat="1" applyFont="1" applyBorder="1" applyAlignment="1">
      <alignment horizontal="center" vertical="center"/>
    </xf>
    <xf numFmtId="0" fontId="33" fillId="0" borderId="4" xfId="128" applyFont="1" applyBorder="1" applyAlignment="1">
      <alignment vertical="center"/>
    </xf>
    <xf numFmtId="49" fontId="39" fillId="0" borderId="4" xfId="0" applyNumberFormat="1" applyFont="1" applyBorder="1" applyAlignment="1">
      <alignment horizontal="center" vertical="center" shrinkToFit="1"/>
    </xf>
    <xf numFmtId="49" fontId="38" fillId="0" borderId="1" xfId="70" applyNumberFormat="1" applyFont="1" applyBorder="1" applyAlignment="1">
      <alignment horizontal="center" vertical="center"/>
    </xf>
    <xf numFmtId="49" fontId="38" fillId="0" borderId="0" xfId="70" applyNumberFormat="1" applyFont="1" applyAlignment="1">
      <alignment horizontal="center" vertical="center"/>
    </xf>
    <xf numFmtId="49" fontId="38" fillId="0" borderId="18" xfId="70" applyNumberFormat="1" applyFont="1" applyBorder="1" applyAlignment="1">
      <alignment horizontal="center" vertical="center"/>
    </xf>
    <xf numFmtId="49" fontId="38" fillId="0" borderId="0" xfId="70" applyNumberFormat="1" applyFont="1" applyAlignment="1">
      <alignment horizontal="center"/>
    </xf>
    <xf numFmtId="169" fontId="37" fillId="0" borderId="4" xfId="0" applyNumberFormat="1" applyFont="1" applyBorder="1" applyAlignment="1">
      <alignment horizontal="right" vertical="center" shrinkToFit="1"/>
    </xf>
    <xf numFmtId="49" fontId="37" fillId="0" borderId="4" xfId="34" applyNumberFormat="1" applyFont="1" applyFill="1" applyBorder="1" applyAlignment="1">
      <alignment horizontal="center" vertical="center" shrinkToFit="1"/>
    </xf>
    <xf numFmtId="169" fontId="41" fillId="0" borderId="4" xfId="37" applyNumberFormat="1" applyFont="1" applyFill="1" applyBorder="1" applyAlignment="1">
      <alignment horizontal="center" vertical="center" shrinkToFit="1"/>
    </xf>
    <xf numFmtId="49" fontId="37" fillId="0" borderId="0" xfId="70" applyNumberFormat="1" applyFont="1" applyAlignment="1">
      <alignment vertical="center" shrinkToFit="1" readingOrder="2"/>
    </xf>
    <xf numFmtId="172" fontId="41" fillId="0" borderId="1" xfId="34" applyNumberFormat="1" applyFont="1" applyFill="1" applyBorder="1" applyAlignment="1">
      <alignment horizontal="center" vertical="center" shrinkToFit="1" readingOrder="2"/>
    </xf>
    <xf numFmtId="169" fontId="37" fillId="0" borderId="3" xfId="34" applyNumberFormat="1" applyFont="1" applyFill="1" applyBorder="1" applyAlignment="1">
      <alignment horizontal="center" vertical="center" shrinkToFit="1" readingOrder="2"/>
    </xf>
    <xf numFmtId="49" fontId="37" fillId="0" borderId="15" xfId="70" applyNumberFormat="1" applyFont="1" applyBorder="1" applyAlignment="1">
      <alignment horizontal="center" vertical="center" shrinkToFit="1" readingOrder="2"/>
    </xf>
    <xf numFmtId="169" fontId="42" fillId="0" borderId="4" xfId="2" applyNumberFormat="1" applyFont="1" applyFill="1" applyBorder="1" applyAlignment="1">
      <alignment horizontal="center" vertical="center" shrinkToFit="1"/>
    </xf>
    <xf numFmtId="169" fontId="42" fillId="0" borderId="8" xfId="2" applyNumberFormat="1" applyFont="1" applyFill="1" applyBorder="1" applyAlignment="1">
      <alignment horizontal="center" vertical="center" shrinkToFit="1"/>
    </xf>
    <xf numFmtId="169" fontId="41" fillId="0" borderId="0" xfId="70" applyNumberFormat="1" applyFont="1" applyAlignment="1">
      <alignment horizontal="center"/>
    </xf>
    <xf numFmtId="49" fontId="41" fillId="0" borderId="0" xfId="70" applyNumberFormat="1" applyFont="1" applyAlignment="1">
      <alignment horizontal="right"/>
    </xf>
    <xf numFmtId="169" fontId="34" fillId="0" borderId="0" xfId="0" applyNumberFormat="1" applyFont="1" applyAlignment="1">
      <alignment horizontal="center" shrinkToFit="1"/>
    </xf>
    <xf numFmtId="169" fontId="41" fillId="0" borderId="4" xfId="0" applyNumberFormat="1" applyFont="1" applyBorder="1" applyAlignment="1">
      <alignment horizontal="center" vertical="center" shrinkToFit="1"/>
    </xf>
    <xf numFmtId="169" fontId="42" fillId="0" borderId="0" xfId="70" applyNumberFormat="1" applyFont="1" applyAlignment="1">
      <alignment horizontal="right" vertical="center" shrinkToFit="1" readingOrder="2"/>
    </xf>
    <xf numFmtId="169" fontId="37" fillId="2" borderId="4" xfId="70" applyNumberFormat="1" applyFont="1" applyFill="1" applyBorder="1" applyAlignment="1">
      <alignment horizontal="right" vertical="center" shrinkToFit="1"/>
    </xf>
    <xf numFmtId="49" fontId="37" fillId="0" borderId="4" xfId="70" applyNumberFormat="1" applyFont="1" applyBorder="1" applyAlignment="1">
      <alignment horizontal="center" vertical="center" shrinkToFit="1"/>
    </xf>
    <xf numFmtId="49" fontId="37" fillId="0" borderId="15" xfId="70" applyNumberFormat="1" applyFont="1" applyBorder="1" applyAlignment="1">
      <alignment horizontal="center" vertical="center" shrinkToFit="1"/>
    </xf>
    <xf numFmtId="169" fontId="44" fillId="0" borderId="19" xfId="37" applyNumberFormat="1" applyFont="1" applyFill="1" applyBorder="1" applyAlignment="1">
      <alignment horizontal="center" vertical="center" shrinkToFit="1"/>
    </xf>
    <xf numFmtId="169" fontId="42" fillId="0" borderId="0" xfId="37" applyNumberFormat="1" applyFont="1" applyFill="1" applyBorder="1" applyAlignment="1">
      <alignment horizontal="center" vertical="center" shrinkToFit="1"/>
    </xf>
    <xf numFmtId="169" fontId="56" fillId="0" borderId="0" xfId="0" applyNumberFormat="1" applyFont="1" applyAlignment="1">
      <alignment vertical="center" shrinkToFit="1"/>
    </xf>
    <xf numFmtId="169" fontId="38" fillId="0" borderId="0" xfId="62" applyNumberFormat="1" applyFont="1" applyAlignment="1">
      <alignment horizontal="center" vertical="center" shrinkToFit="1"/>
    </xf>
    <xf numFmtId="169" fontId="37" fillId="0" borderId="4" xfId="37" applyNumberFormat="1" applyFont="1" applyFill="1" applyBorder="1" applyAlignment="1">
      <alignment horizontal="center" vertical="center" shrinkToFit="1"/>
    </xf>
    <xf numFmtId="169" fontId="37" fillId="0" borderId="15" xfId="37" applyNumberFormat="1" applyFont="1" applyFill="1" applyBorder="1" applyAlignment="1">
      <alignment horizontal="center" vertical="center" shrinkToFit="1"/>
    </xf>
    <xf numFmtId="169" fontId="37" fillId="0" borderId="6" xfId="37" applyNumberFormat="1" applyFont="1" applyFill="1" applyBorder="1" applyAlignment="1">
      <alignment horizontal="center" vertical="center" shrinkToFit="1"/>
    </xf>
    <xf numFmtId="169" fontId="37" fillId="0" borderId="7" xfId="37" applyNumberFormat="1" applyFont="1" applyFill="1" applyBorder="1" applyAlignment="1">
      <alignment horizontal="center" vertical="center" shrinkToFit="1"/>
    </xf>
    <xf numFmtId="169" fontId="37" fillId="0" borderId="8" xfId="37" applyNumberFormat="1" applyFont="1" applyFill="1" applyBorder="1" applyAlignment="1">
      <alignment horizontal="center" vertical="center" shrinkToFit="1"/>
    </xf>
    <xf numFmtId="169" fontId="37" fillId="0" borderId="5" xfId="37" applyNumberFormat="1" applyFont="1" applyFill="1" applyBorder="1" applyAlignment="1">
      <alignment horizontal="center" vertical="center" shrinkToFit="1"/>
    </xf>
    <xf numFmtId="170" fontId="37" fillId="0" borderId="15" xfId="37" applyNumberFormat="1" applyFont="1" applyFill="1" applyBorder="1" applyAlignment="1">
      <alignment horizontal="center" vertical="center" shrinkToFit="1"/>
    </xf>
    <xf numFmtId="169" fontId="38" fillId="0" borderId="4" xfId="37" applyNumberFormat="1" applyFont="1" applyFill="1" applyBorder="1" applyAlignment="1">
      <alignment horizontal="center" vertical="center" shrinkToFit="1"/>
    </xf>
    <xf numFmtId="169" fontId="42" fillId="0" borderId="1" xfId="0" applyNumberFormat="1" applyFont="1" applyBorder="1" applyAlignment="1">
      <alignment vertical="center" shrinkToFit="1" readingOrder="2"/>
    </xf>
    <xf numFmtId="169" fontId="38" fillId="0" borderId="3" xfId="0" applyNumberFormat="1" applyFont="1" applyBorder="1" applyAlignment="1">
      <alignment horizontal="center" vertical="center" wrapText="1" readingOrder="2"/>
    </xf>
    <xf numFmtId="169" fontId="33" fillId="0" borderId="21" xfId="0" applyNumberFormat="1" applyFont="1" applyBorder="1" applyAlignment="1">
      <alignment vertical="center"/>
    </xf>
    <xf numFmtId="169" fontId="38" fillId="0" borderId="0" xfId="80" applyNumberFormat="1" applyFont="1" applyAlignment="1">
      <alignment horizontal="center" vertical="center" shrinkToFit="1"/>
    </xf>
    <xf numFmtId="169" fontId="38" fillId="0" borderId="0" xfId="37" applyNumberFormat="1" applyFont="1" applyFill="1" applyBorder="1" applyAlignment="1">
      <alignment horizontal="center" vertical="center" shrinkToFit="1"/>
    </xf>
    <xf numFmtId="170" fontId="42" fillId="0" borderId="4" xfId="2" applyNumberFormat="1" applyFont="1" applyFill="1" applyBorder="1" applyAlignment="1">
      <alignment horizontal="center" vertical="center" shrinkToFit="1"/>
    </xf>
    <xf numFmtId="170" fontId="42" fillId="0" borderId="8" xfId="2" applyNumberFormat="1" applyFont="1" applyFill="1" applyBorder="1" applyAlignment="1">
      <alignment horizontal="center" vertical="center" shrinkToFit="1"/>
    </xf>
    <xf numFmtId="169" fontId="37" fillId="0" borderId="24" xfId="34" applyNumberFormat="1" applyFont="1" applyFill="1" applyBorder="1" applyAlignment="1">
      <alignment horizontal="center" vertical="center" shrinkToFit="1"/>
    </xf>
    <xf numFmtId="169" fontId="37" fillId="0" borderId="19" xfId="34" applyNumberFormat="1" applyFont="1" applyFill="1" applyBorder="1" applyAlignment="1">
      <alignment horizontal="center" vertical="center" shrinkToFit="1"/>
    </xf>
    <xf numFmtId="169" fontId="37" fillId="0" borderId="14" xfId="34" applyNumberFormat="1" applyFont="1" applyFill="1" applyBorder="1" applyAlignment="1">
      <alignment horizontal="center" vertical="center" shrinkToFit="1"/>
    </xf>
    <xf numFmtId="169" fontId="44" fillId="0" borderId="6" xfId="37" applyNumberFormat="1" applyFont="1" applyFill="1" applyBorder="1" applyAlignment="1">
      <alignment horizontal="center" vertical="center" shrinkToFit="1"/>
    </xf>
    <xf numFmtId="174" fontId="37" fillId="0" borderId="4" xfId="37" applyNumberFormat="1" applyFont="1" applyFill="1" applyBorder="1" applyAlignment="1">
      <alignment horizontal="center" vertical="center" shrinkToFit="1"/>
    </xf>
    <xf numFmtId="174" fontId="37" fillId="0" borderId="20" xfId="37" applyNumberFormat="1" applyFont="1" applyFill="1" applyBorder="1" applyAlignment="1">
      <alignment horizontal="center" vertical="center" shrinkToFit="1"/>
    </xf>
    <xf numFmtId="174" fontId="37" fillId="0" borderId="6" xfId="37" applyNumberFormat="1" applyFont="1" applyFill="1" applyBorder="1" applyAlignment="1">
      <alignment horizontal="center" vertical="center" shrinkToFit="1"/>
    </xf>
    <xf numFmtId="174" fontId="38" fillId="0" borderId="4" xfId="37" applyNumberFormat="1" applyFont="1" applyFill="1" applyBorder="1" applyAlignment="1">
      <alignment horizontal="center" vertical="center" shrinkToFit="1"/>
    </xf>
    <xf numFmtId="170" fontId="42" fillId="0" borderId="15" xfId="2" applyNumberFormat="1" applyFont="1" applyFill="1" applyBorder="1" applyAlignment="1">
      <alignment horizontal="center" vertical="center" shrinkToFit="1"/>
    </xf>
    <xf numFmtId="170" fontId="38" fillId="0" borderId="0" xfId="1" applyNumberFormat="1" applyFont="1" applyAlignment="1">
      <alignment horizontal="center" vertical="center" shrinkToFit="1"/>
    </xf>
    <xf numFmtId="169" fontId="38" fillId="0" borderId="15" xfId="37" applyNumberFormat="1" applyFont="1" applyFill="1" applyBorder="1" applyAlignment="1">
      <alignment horizontal="center" vertical="center" shrinkToFit="1"/>
    </xf>
    <xf numFmtId="169" fontId="38" fillId="0" borderId="16" xfId="37" applyNumberFormat="1" applyFont="1" applyFill="1" applyBorder="1" applyAlignment="1">
      <alignment horizontal="center" vertical="center" shrinkToFit="1"/>
    </xf>
    <xf numFmtId="169" fontId="41" fillId="0" borderId="0" xfId="37" applyNumberFormat="1" applyFont="1" applyFill="1" applyBorder="1" applyAlignment="1">
      <alignment horizontal="center" vertical="center" shrinkToFit="1"/>
    </xf>
    <xf numFmtId="169" fontId="41" fillId="0" borderId="0" xfId="34" applyNumberFormat="1" applyFont="1" applyFill="1" applyAlignment="1">
      <alignment vertical="center"/>
    </xf>
    <xf numFmtId="170" fontId="38" fillId="0" borderId="15" xfId="34" applyNumberFormat="1" applyFont="1" applyFill="1" applyBorder="1" applyAlignment="1">
      <alignment horizontal="center" vertical="center"/>
    </xf>
    <xf numFmtId="174" fontId="39" fillId="0" borderId="0" xfId="0" applyNumberFormat="1" applyFont="1" applyAlignment="1">
      <alignment horizontal="left" vertical="center" shrinkToFit="1"/>
    </xf>
    <xf numFmtId="169" fontId="37" fillId="0" borderId="20" xfId="34" applyNumberFormat="1" applyFont="1" applyFill="1" applyBorder="1" applyAlignment="1">
      <alignment horizontal="center" vertical="center" shrinkToFit="1"/>
    </xf>
    <xf numFmtId="169" fontId="42" fillId="0" borderId="15" xfId="2" applyNumberFormat="1" applyFont="1" applyFill="1" applyBorder="1" applyAlignment="1">
      <alignment horizontal="center" vertical="center" shrinkToFit="1"/>
    </xf>
    <xf numFmtId="169" fontId="37" fillId="0" borderId="4" xfId="34" applyNumberFormat="1" applyFont="1" applyFill="1" applyBorder="1" applyAlignment="1">
      <alignment horizontal="center" vertical="center" shrinkToFit="1"/>
    </xf>
    <xf numFmtId="49" fontId="39" fillId="0" borderId="16" xfId="0" applyNumberFormat="1" applyFont="1" applyBorder="1" applyAlignment="1">
      <alignment horizontal="center" vertical="center" shrinkToFit="1"/>
    </xf>
    <xf numFmtId="169" fontId="39" fillId="0" borderId="5" xfId="1" applyNumberFormat="1" applyFont="1" applyBorder="1" applyAlignment="1">
      <alignment horizontal="center" vertical="center" shrinkToFit="1"/>
    </xf>
    <xf numFmtId="169" fontId="39" fillId="0" borderId="4" xfId="1" applyNumberFormat="1" applyFont="1" applyBorder="1" applyAlignment="1">
      <alignment horizontal="center" vertical="center" shrinkToFit="1"/>
    </xf>
    <xf numFmtId="169" fontId="25" fillId="0" borderId="5" xfId="37" applyNumberFormat="1" applyFont="1" applyFill="1" applyBorder="1" applyAlignment="1">
      <alignment horizontal="center" vertical="center" shrinkToFit="1"/>
    </xf>
    <xf numFmtId="49" fontId="37" fillId="0" borderId="15" xfId="37" applyNumberFormat="1" applyFont="1" applyFill="1" applyBorder="1" applyAlignment="1">
      <alignment horizontal="center" vertical="center" shrinkToFit="1"/>
    </xf>
    <xf numFmtId="49" fontId="39" fillId="0" borderId="20" xfId="0" applyNumberFormat="1" applyFont="1" applyBorder="1" applyAlignment="1">
      <alignment horizontal="center" vertical="center" shrinkToFit="1"/>
    </xf>
    <xf numFmtId="0" fontId="37" fillId="0" borderId="15" xfId="0" applyFont="1" applyBorder="1" applyAlignment="1">
      <alignment horizontal="center" shrinkToFit="1"/>
    </xf>
    <xf numFmtId="174" fontId="42" fillId="0" borderId="8" xfId="2" applyNumberFormat="1" applyFont="1" applyFill="1" applyBorder="1" applyAlignment="1">
      <alignment horizontal="center" vertical="center" shrinkToFit="1"/>
    </xf>
    <xf numFmtId="174" fontId="42" fillId="0" borderId="15" xfId="1" applyNumberFormat="1" applyFont="1" applyFill="1" applyBorder="1" applyAlignment="1">
      <alignment horizontal="center" vertical="center" shrinkToFit="1"/>
    </xf>
    <xf numFmtId="174" fontId="42" fillId="0" borderId="15" xfId="2" applyNumberFormat="1" applyFont="1" applyFill="1" applyBorder="1" applyAlignment="1">
      <alignment horizontal="center" vertical="center" shrinkToFit="1"/>
    </xf>
    <xf numFmtId="174" fontId="42" fillId="0" borderId="27" xfId="2" applyNumberFormat="1" applyFont="1" applyFill="1" applyBorder="1" applyAlignment="1">
      <alignment horizontal="center" vertical="center" shrinkToFit="1"/>
    </xf>
    <xf numFmtId="174" fontId="42" fillId="0" borderId="4" xfId="2" applyNumberFormat="1" applyFont="1" applyFill="1" applyBorder="1" applyAlignment="1">
      <alignment horizontal="center" vertical="center" shrinkToFit="1"/>
    </xf>
    <xf numFmtId="174" fontId="42" fillId="0" borderId="4" xfId="1" applyNumberFormat="1" applyFont="1" applyFill="1" applyBorder="1" applyAlignment="1">
      <alignment horizontal="center" vertical="center" shrinkToFit="1"/>
    </xf>
    <xf numFmtId="174" fontId="42" fillId="0" borderId="4" xfId="50" applyNumberFormat="1" applyFont="1" applyFill="1" applyBorder="1" applyAlignment="1">
      <alignment horizontal="center" vertical="center" shrinkToFit="1"/>
    </xf>
    <xf numFmtId="174" fontId="42" fillId="0" borderId="5" xfId="2" applyNumberFormat="1" applyFont="1" applyFill="1" applyBorder="1" applyAlignment="1">
      <alignment horizontal="center" vertical="center" shrinkToFit="1"/>
    </xf>
    <xf numFmtId="174" fontId="42" fillId="0" borderId="5" xfId="50" applyNumberFormat="1" applyFont="1" applyFill="1" applyBorder="1" applyAlignment="1">
      <alignment horizontal="center" vertical="center" shrinkToFit="1"/>
    </xf>
    <xf numFmtId="174" fontId="42" fillId="0" borderId="8" xfId="1" applyNumberFormat="1" applyFont="1" applyFill="1" applyBorder="1" applyAlignment="1">
      <alignment horizontal="center" vertical="center" shrinkToFit="1"/>
    </xf>
    <xf numFmtId="174" fontId="42" fillId="0" borderId="17" xfId="1" applyNumberFormat="1" applyFont="1" applyFill="1" applyBorder="1" applyAlignment="1">
      <alignment horizontal="center" vertical="center" shrinkToFit="1"/>
    </xf>
    <xf numFmtId="174" fontId="42" fillId="0" borderId="7" xfId="1" applyNumberFormat="1" applyFont="1" applyFill="1" applyBorder="1" applyAlignment="1">
      <alignment horizontal="center" vertical="center" shrinkToFit="1"/>
    </xf>
    <xf numFmtId="174" fontId="42" fillId="0" borderId="15" xfId="37" applyNumberFormat="1" applyFont="1" applyFill="1" applyBorder="1" applyAlignment="1">
      <alignment horizontal="center" vertical="center" shrinkToFit="1"/>
    </xf>
    <xf numFmtId="174" fontId="37" fillId="0" borderId="1" xfId="37" applyNumberFormat="1" applyFont="1" applyFill="1" applyBorder="1" applyAlignment="1">
      <alignment horizontal="center" vertical="center" shrinkToFit="1"/>
    </xf>
    <xf numFmtId="174" fontId="37" fillId="0" borderId="2" xfId="37" applyNumberFormat="1" applyFont="1" applyFill="1" applyBorder="1" applyAlignment="1">
      <alignment horizontal="center" vertical="center" shrinkToFit="1"/>
    </xf>
    <xf numFmtId="174" fontId="37" fillId="0" borderId="15" xfId="1" applyNumberFormat="1" applyFont="1" applyFill="1" applyBorder="1" applyAlignment="1">
      <alignment horizontal="center" vertical="center" shrinkToFit="1"/>
    </xf>
    <xf numFmtId="169" fontId="42" fillId="0" borderId="28" xfId="0" applyNumberFormat="1" applyFont="1" applyBorder="1" applyAlignment="1">
      <alignment vertical="center" shrinkToFit="1" readingOrder="2"/>
    </xf>
    <xf numFmtId="49" fontId="38" fillId="0" borderId="0" xfId="70" applyNumberFormat="1" applyFont="1" applyAlignment="1">
      <alignment horizontal="center" vertical="center" shrinkToFit="1" readingOrder="2"/>
    </xf>
    <xf numFmtId="170" fontId="38" fillId="0" borderId="0" xfId="2" applyNumberFormat="1" applyFont="1" applyAlignment="1">
      <alignment horizontal="center" vertical="center" shrinkToFit="1"/>
    </xf>
    <xf numFmtId="170" fontId="38" fillId="0" borderId="15" xfId="37" applyNumberFormat="1" applyFont="1" applyFill="1" applyBorder="1" applyAlignment="1">
      <alignment horizontal="center" vertical="center" shrinkToFit="1"/>
    </xf>
    <xf numFmtId="169" fontId="37" fillId="0" borderId="15" xfId="0" applyNumberFormat="1" applyFont="1" applyBorder="1" applyAlignment="1">
      <alignment horizontal="right" vertical="center" wrapText="1" shrinkToFit="1"/>
    </xf>
    <xf numFmtId="169" fontId="37" fillId="0" borderId="4" xfId="0" applyNumberFormat="1" applyFont="1" applyBorder="1" applyAlignment="1">
      <alignment horizontal="right" vertical="center" wrapText="1" shrinkToFit="1"/>
    </xf>
    <xf numFmtId="169" fontId="37" fillId="0" borderId="16" xfId="37" applyNumberFormat="1" applyFont="1" applyFill="1" applyBorder="1" applyAlignment="1">
      <alignment horizontal="center" vertical="center" shrinkToFit="1"/>
    </xf>
    <xf numFmtId="174" fontId="37" fillId="0" borderId="13" xfId="37" applyNumberFormat="1" applyFont="1" applyFill="1" applyBorder="1" applyAlignment="1">
      <alignment horizontal="center" vertical="center" shrinkToFit="1"/>
    </xf>
    <xf numFmtId="170" fontId="42" fillId="0" borderId="5" xfId="2" applyNumberFormat="1" applyFont="1" applyFill="1" applyBorder="1" applyAlignment="1">
      <alignment horizontal="center" vertical="center" shrinkToFit="1"/>
    </xf>
    <xf numFmtId="169" fontId="46" fillId="0" borderId="0" xfId="1" applyNumberFormat="1" applyFont="1" applyFill="1" applyAlignment="1">
      <alignment horizontal="center" vertical="center"/>
    </xf>
    <xf numFmtId="174" fontId="41" fillId="0" borderId="15" xfId="1" applyNumberFormat="1" applyFont="1" applyFill="1" applyBorder="1" applyAlignment="1">
      <alignment horizontal="center" vertical="center" shrinkToFit="1"/>
    </xf>
    <xf numFmtId="169" fontId="42" fillId="0" borderId="15" xfId="16" applyNumberFormat="1" applyFont="1" applyFill="1" applyBorder="1" applyAlignment="1">
      <alignment horizontal="center" vertical="center" shrinkToFit="1"/>
    </xf>
    <xf numFmtId="170" fontId="42" fillId="0" borderId="26" xfId="2" applyNumberFormat="1" applyFont="1" applyFill="1" applyBorder="1" applyAlignment="1">
      <alignment horizontal="center" vertical="center" shrinkToFit="1"/>
    </xf>
    <xf numFmtId="169" fontId="42" fillId="0" borderId="26" xfId="16" applyNumberFormat="1" applyFont="1" applyFill="1" applyBorder="1" applyAlignment="1">
      <alignment horizontal="center" vertical="center" shrinkToFit="1"/>
    </xf>
    <xf numFmtId="169" fontId="42" fillId="0" borderId="26" xfId="2" applyNumberFormat="1" applyFont="1" applyFill="1" applyBorder="1" applyAlignment="1">
      <alignment horizontal="center" vertical="center" shrinkToFit="1"/>
    </xf>
    <xf numFmtId="170" fontId="42" fillId="0" borderId="16" xfId="2" applyNumberFormat="1" applyFont="1" applyFill="1" applyBorder="1" applyAlignment="1">
      <alignment horizontal="center" vertical="center" shrinkToFit="1"/>
    </xf>
    <xf numFmtId="174" fontId="42" fillId="0" borderId="26" xfId="2" applyNumberFormat="1" applyFont="1" applyFill="1" applyBorder="1" applyAlignment="1">
      <alignment horizontal="center" vertical="center" shrinkToFit="1"/>
    </xf>
    <xf numFmtId="169" fontId="42" fillId="0" borderId="0" xfId="1" applyNumberFormat="1" applyFont="1" applyFill="1" applyAlignment="1">
      <alignment horizontal="center" vertical="center" shrinkToFit="1"/>
    </xf>
    <xf numFmtId="169" fontId="42" fillId="0" borderId="0" xfId="1" applyNumberFormat="1" applyFont="1" applyFill="1" applyAlignment="1">
      <alignment horizontal="center" vertical="center"/>
    </xf>
    <xf numFmtId="176" fontId="63" fillId="0" borderId="0" xfId="59" applyNumberFormat="1" applyFont="1" applyFill="1" applyBorder="1" applyAlignment="1">
      <alignment horizontal="center" vertical="center" readingOrder="2"/>
    </xf>
    <xf numFmtId="49" fontId="42" fillId="0" borderId="0" xfId="1" applyNumberFormat="1" applyFont="1" applyFill="1" applyAlignment="1">
      <alignment vertical="center" shrinkToFit="1"/>
    </xf>
    <xf numFmtId="0" fontId="33" fillId="0" borderId="15" xfId="128" applyFont="1" applyBorder="1" applyAlignment="1">
      <alignment vertical="center"/>
    </xf>
    <xf numFmtId="169" fontId="33" fillId="0" borderId="27" xfId="70" applyNumberFormat="1" applyFont="1" applyBorder="1"/>
    <xf numFmtId="169" fontId="37" fillId="0" borderId="15" xfId="0" applyNumberFormat="1" applyFont="1" applyBorder="1" applyAlignment="1">
      <alignment vertical="center" shrinkToFit="1"/>
    </xf>
    <xf numFmtId="169" fontId="37" fillId="0" borderId="15" xfId="70" applyNumberFormat="1" applyFont="1" applyBorder="1" applyAlignment="1">
      <alignment horizontal="right" vertical="center" shrinkToFit="1"/>
    </xf>
    <xf numFmtId="174" fontId="38" fillId="0" borderId="0" xfId="37" applyNumberFormat="1" applyFont="1" applyFill="1" applyBorder="1" applyAlignment="1">
      <alignment horizontal="center" vertical="center" shrinkToFit="1"/>
    </xf>
    <xf numFmtId="169" fontId="37" fillId="0" borderId="26" xfId="37" applyNumberFormat="1" applyFont="1" applyFill="1" applyBorder="1" applyAlignment="1">
      <alignment horizontal="center" vertical="center" shrinkToFit="1"/>
    </xf>
    <xf numFmtId="49" fontId="37" fillId="0" borderId="0" xfId="0" applyNumberFormat="1" applyFont="1" applyAlignment="1">
      <alignment horizontal="center" vertical="center" shrinkToFit="1"/>
    </xf>
    <xf numFmtId="169" fontId="38" fillId="0" borderId="27" xfId="70" applyNumberFormat="1" applyFont="1" applyBorder="1" applyAlignment="1">
      <alignment vertical="center" shrinkToFit="1"/>
    </xf>
    <xf numFmtId="0" fontId="37" fillId="0" borderId="15" xfId="0" applyFont="1" applyBorder="1" applyAlignment="1">
      <alignment horizontal="right" vertical="center" shrinkToFit="1"/>
    </xf>
    <xf numFmtId="170" fontId="37" fillId="0" borderId="0" xfId="70" applyNumberFormat="1" applyFont="1" applyBorder="1" applyAlignment="1">
      <alignment horizontal="center" vertical="center" shrinkToFit="1"/>
    </xf>
    <xf numFmtId="169" fontId="42" fillId="0" borderId="15" xfId="16" applyNumberFormat="1" applyFont="1" applyFill="1" applyBorder="1" applyAlignment="1">
      <alignment horizontal="right" vertical="center" shrinkToFit="1"/>
    </xf>
    <xf numFmtId="169" fontId="42" fillId="0" borderId="15" xfId="2" applyNumberFormat="1" applyFont="1" applyFill="1" applyBorder="1" applyAlignment="1">
      <alignment horizontal="right" vertical="center" shrinkToFit="1"/>
    </xf>
    <xf numFmtId="170" fontId="37" fillId="0" borderId="29" xfId="37" applyNumberFormat="1" applyFont="1" applyFill="1" applyBorder="1" applyAlignment="1">
      <alignment horizontal="center" vertical="center" shrinkToFit="1"/>
    </xf>
    <xf numFmtId="169" fontId="37" fillId="0" borderId="0" xfId="3" applyNumberFormat="1" applyFont="1" applyFill="1" applyAlignment="1">
      <alignment horizontal="center" vertical="center" shrinkToFit="1"/>
    </xf>
    <xf numFmtId="49" fontId="34" fillId="0" borderId="29" xfId="1" applyNumberFormat="1" applyFont="1" applyFill="1" applyBorder="1" applyAlignment="1">
      <alignment horizontal="center" vertical="center" shrinkToFit="1"/>
    </xf>
    <xf numFmtId="174" fontId="42" fillId="0" borderId="29" xfId="1" applyNumberFormat="1" applyFont="1" applyFill="1" applyBorder="1" applyAlignment="1">
      <alignment horizontal="center" vertical="center" shrinkToFit="1"/>
    </xf>
    <xf numFmtId="49" fontId="34" fillId="0" borderId="15" xfId="2" applyNumberFormat="1" applyFont="1" applyFill="1" applyBorder="1" applyAlignment="1">
      <alignment horizontal="center" vertical="center" shrinkToFit="1"/>
    </xf>
    <xf numFmtId="169" fontId="33" fillId="0" borderId="0" xfId="70" applyNumberFormat="1" applyFont="1" applyBorder="1" applyAlignment="1">
      <alignment horizontal="center"/>
    </xf>
    <xf numFmtId="0" fontId="70" fillId="0" borderId="0" xfId="0" applyFont="1" applyAlignment="1">
      <alignment horizontal="right" vertical="center" readingOrder="2"/>
    </xf>
    <xf numFmtId="0" fontId="70" fillId="0" borderId="0" xfId="0" applyFont="1" applyAlignment="1">
      <alignment horizontal="center" vertical="center" readingOrder="2"/>
    </xf>
    <xf numFmtId="171" fontId="38" fillId="0" borderId="0" xfId="1" applyNumberFormat="1" applyFont="1" applyFill="1" applyAlignment="1">
      <alignment vertical="center"/>
    </xf>
    <xf numFmtId="171" fontId="33" fillId="0" borderId="0" xfId="1" applyNumberFormat="1" applyFont="1" applyFill="1" applyAlignment="1">
      <alignment vertical="center"/>
    </xf>
    <xf numFmtId="169" fontId="42" fillId="0" borderId="8" xfId="1" applyNumberFormat="1" applyFont="1" applyFill="1" applyBorder="1" applyAlignment="1">
      <alignment horizontal="center" vertical="center"/>
    </xf>
    <xf numFmtId="169" fontId="42" fillId="0" borderId="20" xfId="1" applyNumberFormat="1" applyFont="1" applyFill="1" applyBorder="1" applyAlignment="1">
      <alignment horizontal="center" vertical="center"/>
    </xf>
    <xf numFmtId="169" fontId="46" fillId="0" borderId="15" xfId="1" applyNumberFormat="1" applyFont="1" applyFill="1" applyBorder="1" applyAlignment="1">
      <alignment horizontal="center" vertical="center"/>
    </xf>
    <xf numFmtId="169" fontId="39" fillId="0" borderId="15" xfId="1" applyNumberFormat="1" applyFont="1" applyFill="1" applyBorder="1" applyAlignment="1">
      <alignment horizontal="center" vertical="center" shrinkToFit="1"/>
    </xf>
    <xf numFmtId="169" fontId="39" fillId="0" borderId="15" xfId="1" applyNumberFormat="1" applyFont="1" applyFill="1" applyBorder="1" applyAlignment="1">
      <alignment horizontal="center" vertical="center"/>
    </xf>
    <xf numFmtId="169" fontId="39" fillId="0" borderId="26" xfId="1" applyNumberFormat="1" applyFont="1" applyFill="1" applyBorder="1" applyAlignment="1">
      <alignment horizontal="center" vertical="center" shrinkToFit="1"/>
    </xf>
    <xf numFmtId="169" fontId="39" fillId="0" borderId="35" xfId="1" applyNumberFormat="1" applyFont="1" applyFill="1" applyBorder="1" applyAlignment="1">
      <alignment horizontal="center" vertical="center" shrinkToFit="1"/>
    </xf>
    <xf numFmtId="169" fontId="39" fillId="0" borderId="36" xfId="1" applyNumberFormat="1" applyFont="1" applyFill="1" applyBorder="1" applyAlignment="1">
      <alignment horizontal="center" vertical="center" shrinkToFit="1"/>
    </xf>
    <xf numFmtId="169" fontId="39" fillId="0" borderId="37" xfId="1" applyNumberFormat="1" applyFont="1" applyFill="1" applyBorder="1" applyAlignment="1">
      <alignment horizontal="center" vertical="center" shrinkToFit="1"/>
    </xf>
    <xf numFmtId="169" fontId="39" fillId="0" borderId="4" xfId="1" applyNumberFormat="1" applyFont="1" applyFill="1" applyBorder="1" applyAlignment="1">
      <alignment horizontal="center" vertical="center" shrinkToFit="1"/>
    </xf>
    <xf numFmtId="169" fontId="39" fillId="0" borderId="5" xfId="1" applyNumberFormat="1" applyFont="1" applyFill="1" applyBorder="1" applyAlignment="1">
      <alignment horizontal="center" vertical="center" shrinkToFit="1"/>
    </xf>
    <xf numFmtId="169" fontId="38" fillId="0" borderId="0" xfId="34" applyNumberFormat="1" applyFont="1" applyFill="1" applyBorder="1" applyAlignment="1">
      <alignment horizontal="center" vertical="center" shrinkToFit="1" readingOrder="1"/>
    </xf>
    <xf numFmtId="0" fontId="69" fillId="0" borderId="0" xfId="0" applyFont="1" applyAlignment="1">
      <alignment horizontal="right" vertical="center" readingOrder="2"/>
    </xf>
    <xf numFmtId="174" fontId="42" fillId="0" borderId="15" xfId="16" applyNumberFormat="1" applyFont="1" applyFill="1" applyBorder="1" applyAlignment="1">
      <alignment horizontal="center" vertical="center" shrinkToFit="1"/>
    </xf>
    <xf numFmtId="174" fontId="42" fillId="0" borderId="27" xfId="16" applyNumberFormat="1" applyFont="1" applyFill="1" applyBorder="1" applyAlignment="1">
      <alignment horizontal="center" vertical="center" shrinkToFit="1"/>
    </xf>
    <xf numFmtId="174" fontId="42" fillId="0" borderId="26" xfId="16" applyNumberFormat="1" applyFont="1" applyFill="1" applyBorder="1" applyAlignment="1">
      <alignment horizontal="center" vertical="center" shrinkToFit="1"/>
    </xf>
    <xf numFmtId="174" fontId="42" fillId="0" borderId="31" xfId="16" applyNumberFormat="1" applyFont="1" applyFill="1" applyBorder="1" applyAlignment="1">
      <alignment horizontal="center" vertical="center" shrinkToFit="1"/>
    </xf>
    <xf numFmtId="169" fontId="41" fillId="0" borderId="15" xfId="1" applyNumberFormat="1" applyFont="1" applyFill="1" applyBorder="1" applyAlignment="1">
      <alignment horizontal="center" vertical="center" shrinkToFit="1"/>
    </xf>
    <xf numFmtId="169" fontId="37" fillId="0" borderId="2" xfId="0" applyNumberFormat="1" applyFont="1" applyBorder="1" applyAlignment="1">
      <alignment horizontal="right" vertical="center" shrinkToFit="1"/>
    </xf>
    <xf numFmtId="169" fontId="41" fillId="0" borderId="0" xfId="0" applyNumberFormat="1" applyFont="1" applyAlignment="1">
      <alignment horizontal="right" vertical="center" indent="3" shrinkToFit="1"/>
    </xf>
    <xf numFmtId="0" fontId="37" fillId="0" borderId="15" xfId="98" applyFont="1" applyBorder="1" applyAlignment="1">
      <alignment vertical="center" shrinkToFit="1"/>
    </xf>
    <xf numFmtId="169" fontId="38" fillId="0" borderId="24" xfId="37" applyNumberFormat="1" applyFont="1" applyFill="1" applyBorder="1" applyAlignment="1">
      <alignment horizontal="center" vertical="center" shrinkToFit="1"/>
    </xf>
    <xf numFmtId="49" fontId="38" fillId="0" borderId="27" xfId="0" applyNumberFormat="1" applyFont="1" applyBorder="1" applyAlignment="1">
      <alignment horizontal="center" shrinkToFit="1"/>
    </xf>
    <xf numFmtId="49" fontId="39" fillId="2" borderId="15" xfId="34" applyNumberFormat="1" applyFont="1" applyFill="1" applyBorder="1" applyAlignment="1">
      <alignment horizontal="center" vertical="center" shrinkToFit="1"/>
    </xf>
    <xf numFmtId="170" fontId="44" fillId="0" borderId="0" xfId="0" applyNumberFormat="1" applyFont="1" applyAlignment="1">
      <alignment horizontal="center" vertical="center" readingOrder="2"/>
    </xf>
    <xf numFmtId="170" fontId="34" fillId="0" borderId="15" xfId="0" applyNumberFormat="1" applyFont="1" applyBorder="1" applyAlignment="1">
      <alignment horizontal="center" vertical="center" shrinkToFit="1" readingOrder="2"/>
    </xf>
    <xf numFmtId="170" fontId="34" fillId="0" borderId="0" xfId="0" applyNumberFormat="1" applyFont="1" applyAlignment="1">
      <alignment horizontal="center" vertical="center" shrinkToFit="1" readingOrder="2"/>
    </xf>
    <xf numFmtId="170" fontId="33" fillId="0" borderId="0" xfId="0" applyNumberFormat="1" applyFont="1"/>
    <xf numFmtId="170" fontId="33" fillId="0" borderId="0" xfId="0" applyNumberFormat="1" applyFont="1" applyAlignment="1">
      <alignment horizontal="center" vertical="center" shrinkToFit="1" readingOrder="2"/>
    </xf>
    <xf numFmtId="170" fontId="44" fillId="0" borderId="15" xfId="0" applyNumberFormat="1" applyFont="1" applyBorder="1" applyAlignment="1">
      <alignment horizontal="center" vertical="center" shrinkToFit="1" readingOrder="2"/>
    </xf>
    <xf numFmtId="169" fontId="37" fillId="0" borderId="0" xfId="0" applyNumberFormat="1" applyFont="1"/>
    <xf numFmtId="169" fontId="35" fillId="0" borderId="0" xfId="135" applyNumberFormat="1" applyFont="1" applyAlignment="1">
      <alignment horizontal="right" readingOrder="2"/>
    </xf>
    <xf numFmtId="169" fontId="37" fillId="0" borderId="0" xfId="135" applyNumberFormat="1" applyFont="1" applyAlignment="1">
      <alignment vertical="center" wrapText="1" readingOrder="2"/>
    </xf>
    <xf numFmtId="169" fontId="38" fillId="0" borderId="0" xfId="135" applyNumberFormat="1" applyFont="1" applyAlignment="1">
      <alignment readingOrder="2"/>
    </xf>
    <xf numFmtId="169" fontId="38" fillId="0" borderId="0" xfId="135" applyNumberFormat="1" applyFont="1" applyAlignment="1">
      <alignment horizontal="right" vertical="center" readingOrder="2"/>
    </xf>
    <xf numFmtId="49" fontId="35" fillId="0" borderId="0" xfId="135" applyNumberFormat="1" applyFont="1" applyAlignment="1">
      <alignment horizontal="left" vertical="top" readingOrder="2"/>
    </xf>
    <xf numFmtId="49" fontId="37" fillId="0" borderId="0" xfId="0" applyNumberFormat="1" applyFont="1"/>
    <xf numFmtId="171" fontId="33" fillId="0" borderId="15" xfId="1" applyNumberFormat="1" applyFont="1" applyFill="1" applyBorder="1" applyAlignment="1">
      <alignment horizontal="center" vertical="center" shrinkToFit="1"/>
    </xf>
    <xf numFmtId="169" fontId="39" fillId="0" borderId="21" xfId="1" applyNumberFormat="1" applyFont="1" applyBorder="1" applyAlignment="1">
      <alignment horizontal="center" vertical="center" shrinkToFit="1"/>
    </xf>
    <xf numFmtId="169" fontId="46" fillId="0" borderId="27" xfId="1" applyNumberFormat="1" applyFont="1" applyFill="1" applyBorder="1" applyAlignment="1">
      <alignment horizontal="center" vertical="center" wrapText="1"/>
    </xf>
    <xf numFmtId="174" fontId="42" fillId="0" borderId="16" xfId="2" applyNumberFormat="1" applyFont="1" applyFill="1" applyBorder="1" applyAlignment="1">
      <alignment horizontal="center" vertical="center" shrinkToFit="1"/>
    </xf>
    <xf numFmtId="174" fontId="42" fillId="0" borderId="23" xfId="2" applyNumberFormat="1" applyFont="1" applyFill="1" applyBorder="1" applyAlignment="1">
      <alignment horizontal="center" vertical="center" shrinkToFit="1"/>
    </xf>
    <xf numFmtId="170" fontId="46" fillId="0" borderId="28" xfId="0" applyNumberFormat="1" applyFont="1" applyBorder="1" applyAlignment="1">
      <alignment vertical="center" readingOrder="2"/>
    </xf>
    <xf numFmtId="0" fontId="39" fillId="0" borderId="15" xfId="98" applyFont="1" applyBorder="1" applyAlignment="1">
      <alignment horizontal="right" vertical="center" wrapText="1" shrinkToFit="1"/>
    </xf>
    <xf numFmtId="169" fontId="41" fillId="0" borderId="6" xfId="37" applyNumberFormat="1" applyFont="1" applyFill="1" applyBorder="1" applyAlignment="1">
      <alignment horizontal="center" vertical="center" shrinkToFit="1"/>
    </xf>
    <xf numFmtId="169" fontId="37" fillId="0" borderId="29" xfId="34" applyNumberFormat="1" applyFont="1" applyFill="1" applyBorder="1" applyAlignment="1">
      <alignment horizontal="center" vertical="center" shrinkToFit="1"/>
    </xf>
    <xf numFmtId="169" fontId="37" fillId="0" borderId="21" xfId="34" applyNumberFormat="1" applyFont="1" applyFill="1" applyBorder="1" applyAlignment="1">
      <alignment horizontal="center" vertical="center" shrinkToFit="1"/>
    </xf>
    <xf numFmtId="169" fontId="37" fillId="0" borderId="15" xfId="34" applyNumberFormat="1" applyFont="1" applyFill="1" applyBorder="1" applyAlignment="1">
      <alignment vertical="center" shrinkToFit="1"/>
    </xf>
    <xf numFmtId="169" fontId="39" fillId="0" borderId="15" xfId="37" applyNumberFormat="1" applyFont="1" applyFill="1" applyBorder="1" applyAlignment="1">
      <alignment horizontal="center" vertical="center" shrinkToFit="1"/>
    </xf>
    <xf numFmtId="2" fontId="37" fillId="0" borderId="15" xfId="3" applyNumberFormat="1" applyFont="1" applyBorder="1" applyAlignment="1">
      <alignment horizontal="center" vertical="center" shrinkToFit="1"/>
    </xf>
    <xf numFmtId="49" fontId="38" fillId="0" borderId="15" xfId="0" applyNumberFormat="1" applyFont="1" applyBorder="1" applyAlignment="1">
      <alignment horizontal="center" vertical="center" shrinkToFit="1"/>
    </xf>
    <xf numFmtId="49" fontId="39" fillId="0" borderId="0" xfId="0" applyNumberFormat="1" applyFont="1" applyAlignment="1">
      <alignment vertical="center" shrinkToFit="1" readingOrder="2"/>
    </xf>
    <xf numFmtId="169" fontId="33" fillId="0" borderId="27" xfId="70" applyNumberFormat="1" applyFont="1" applyBorder="1" applyAlignment="1">
      <alignment vertical="center"/>
    </xf>
    <xf numFmtId="169" fontId="41" fillId="0" borderId="0" xfId="70" applyNumberFormat="1" applyFont="1" applyAlignment="1">
      <alignment horizontal="center" wrapText="1"/>
    </xf>
    <xf numFmtId="3" fontId="39" fillId="0" borderId="0" xfId="0" applyNumberFormat="1" applyFont="1" applyAlignment="1">
      <alignment vertical="center" shrinkToFit="1"/>
    </xf>
    <xf numFmtId="169" fontId="25" fillId="0" borderId="7" xfId="37" applyNumberFormat="1" applyFont="1" applyFill="1" applyBorder="1" applyAlignment="1">
      <alignment horizontal="center" vertical="center" shrinkToFit="1"/>
    </xf>
    <xf numFmtId="170" fontId="37" fillId="0" borderId="0" xfId="37" applyNumberFormat="1" applyFont="1" applyFill="1" applyBorder="1" applyAlignment="1">
      <alignment horizontal="center" vertical="center" shrinkToFit="1"/>
    </xf>
    <xf numFmtId="0" fontId="33" fillId="0" borderId="0" xfId="74" applyFont="1"/>
    <xf numFmtId="0" fontId="33" fillId="0" borderId="0" xfId="74" applyFont="1" applyAlignment="1">
      <alignment shrinkToFit="1"/>
    </xf>
    <xf numFmtId="170" fontId="33" fillId="0" borderId="0" xfId="74" applyNumberFormat="1" applyFont="1" applyAlignment="1">
      <alignment wrapText="1" shrinkToFit="1"/>
    </xf>
    <xf numFmtId="0" fontId="33" fillId="0" borderId="0" xfId="74" applyFont="1" applyAlignment="1">
      <alignment horizontal="center" shrinkToFit="1"/>
    </xf>
    <xf numFmtId="170" fontId="33" fillId="0" borderId="15" xfId="74" applyNumberFormat="1" applyFont="1" applyBorder="1" applyAlignment="1">
      <alignment horizontal="center" vertical="center" wrapText="1" shrinkToFit="1"/>
    </xf>
    <xf numFmtId="170" fontId="33" fillId="0" borderId="0" xfId="74" applyNumberFormat="1" applyFont="1" applyBorder="1" applyAlignment="1">
      <alignment horizontal="center" vertical="center" wrapText="1" shrinkToFit="1"/>
    </xf>
    <xf numFmtId="170" fontId="33" fillId="0" borderId="15" xfId="74" applyNumberFormat="1" applyFont="1" applyBorder="1" applyAlignment="1">
      <alignment horizontal="center" vertical="center" shrinkToFit="1"/>
    </xf>
    <xf numFmtId="170" fontId="33" fillId="0" borderId="7" xfId="74" applyNumberFormat="1" applyFont="1" applyBorder="1" applyAlignment="1">
      <alignment horizontal="center" vertical="center" shrinkToFit="1"/>
    </xf>
    <xf numFmtId="170" fontId="33" fillId="0" borderId="4" xfId="74" applyNumberFormat="1" applyFont="1" applyBorder="1" applyAlignment="1">
      <alignment horizontal="center" vertical="center" shrinkToFit="1"/>
    </xf>
    <xf numFmtId="170" fontId="33" fillId="0" borderId="6" xfId="74" applyNumberFormat="1" applyFont="1" applyBorder="1" applyAlignment="1">
      <alignment horizontal="center" vertical="center" shrinkToFit="1"/>
    </xf>
    <xf numFmtId="170" fontId="33" fillId="0" borderId="0" xfId="74" applyNumberFormat="1" applyFont="1" applyAlignment="1">
      <alignment vertical="center"/>
    </xf>
    <xf numFmtId="0" fontId="42" fillId="0" borderId="0" xfId="74" applyFont="1" applyBorder="1" applyAlignment="1">
      <alignment shrinkToFit="1"/>
    </xf>
    <xf numFmtId="171" fontId="37" fillId="0" borderId="21" xfId="1" applyNumberFormat="1" applyFont="1" applyFill="1" applyBorder="1" applyAlignment="1">
      <alignment horizontal="center" vertical="center" shrinkToFit="1" readingOrder="2"/>
    </xf>
    <xf numFmtId="172" fontId="41" fillId="0" borderId="0" xfId="34" applyNumberFormat="1" applyFont="1" applyFill="1" applyBorder="1" applyAlignment="1">
      <alignment horizontal="center" vertical="center" shrinkToFit="1" readingOrder="2"/>
    </xf>
    <xf numFmtId="169" fontId="37" fillId="0" borderId="0" xfId="34" applyNumberFormat="1" applyFont="1" applyFill="1" applyBorder="1" applyAlignment="1">
      <alignment horizontal="center" vertical="center" shrinkToFit="1" readingOrder="2"/>
    </xf>
    <xf numFmtId="169" fontId="38" fillId="0" borderId="34" xfId="34" applyNumberFormat="1" applyFont="1" applyFill="1" applyBorder="1" applyAlignment="1">
      <alignment horizontal="center" vertical="center" shrinkToFit="1" readingOrder="1"/>
    </xf>
    <xf numFmtId="169" fontId="37" fillId="0" borderId="2" xfId="34" applyNumberFormat="1" applyFont="1" applyFill="1" applyBorder="1" applyAlignment="1">
      <alignment horizontal="center" vertical="center" shrinkToFit="1"/>
    </xf>
    <xf numFmtId="169" fontId="42" fillId="0" borderId="14" xfId="37" applyNumberFormat="1" applyFont="1" applyFill="1" applyBorder="1" applyAlignment="1">
      <alignment horizontal="center" vertical="center" shrinkToFit="1"/>
    </xf>
    <xf numFmtId="169" fontId="44" fillId="0" borderId="14" xfId="37" applyNumberFormat="1" applyFont="1" applyFill="1" applyBorder="1" applyAlignment="1">
      <alignment horizontal="center" vertical="center" shrinkToFit="1"/>
    </xf>
    <xf numFmtId="169" fontId="37" fillId="0" borderId="17" xfId="34" applyNumberFormat="1" applyFont="1" applyFill="1" applyBorder="1" applyAlignment="1">
      <alignment horizontal="center" vertical="center" shrinkToFit="1"/>
    </xf>
    <xf numFmtId="3" fontId="42" fillId="0" borderId="0" xfId="34" applyNumberFormat="1" applyFont="1" applyFill="1" applyAlignment="1">
      <alignment horizontal="center" vertical="center" shrinkToFit="1"/>
    </xf>
    <xf numFmtId="174" fontId="38" fillId="0" borderId="15" xfId="16" applyNumberFormat="1" applyFont="1" applyFill="1" applyBorder="1" applyAlignment="1">
      <alignment horizontal="center" vertical="center"/>
    </xf>
    <xf numFmtId="169" fontId="37" fillId="0" borderId="33" xfId="34" applyNumberFormat="1" applyFont="1" applyFill="1" applyBorder="1" applyAlignment="1">
      <alignment horizontal="center" vertical="center" shrinkToFit="1"/>
    </xf>
    <xf numFmtId="169" fontId="41" fillId="0" borderId="26" xfId="1" applyNumberFormat="1" applyFont="1" applyFill="1" applyBorder="1" applyAlignment="1">
      <alignment horizontal="center" vertical="center" shrinkToFit="1"/>
    </xf>
    <xf numFmtId="170" fontId="39" fillId="0" borderId="15" xfId="17" applyNumberFormat="1" applyFont="1" applyFill="1" applyBorder="1" applyAlignment="1">
      <alignment horizontal="center" vertical="center"/>
    </xf>
    <xf numFmtId="170" fontId="37" fillId="0" borderId="15" xfId="10" applyNumberFormat="1" applyFont="1" applyFill="1" applyBorder="1" applyAlignment="1">
      <alignment horizontal="center" vertical="center" shrinkToFit="1"/>
    </xf>
    <xf numFmtId="170" fontId="37" fillId="0" borderId="15" xfId="10" applyNumberFormat="1" applyFont="1" applyFill="1" applyBorder="1" applyAlignment="1">
      <alignment horizontal="center" vertical="center" shrinkToFit="1" readingOrder="2"/>
    </xf>
    <xf numFmtId="169" fontId="37" fillId="0" borderId="4" xfId="10" applyNumberFormat="1" applyFont="1" applyFill="1" applyBorder="1" applyAlignment="1">
      <alignment horizontal="center" vertical="center" shrinkToFit="1" readingOrder="2"/>
    </xf>
    <xf numFmtId="169" fontId="37" fillId="0" borderId="13" xfId="34" applyNumberFormat="1" applyFont="1" applyFill="1" applyBorder="1" applyAlignment="1">
      <alignment horizontal="center" vertical="center" shrinkToFit="1"/>
    </xf>
    <xf numFmtId="169" fontId="85" fillId="0" borderId="4" xfId="37" applyNumberFormat="1" applyFont="1" applyFill="1" applyBorder="1" applyAlignment="1">
      <alignment horizontal="center" vertical="center" shrinkToFit="1"/>
    </xf>
    <xf numFmtId="49" fontId="39" fillId="0" borderId="15" xfId="0" applyNumberFormat="1" applyFont="1" applyBorder="1" applyAlignment="1">
      <alignment horizontal="center" vertical="center" shrinkToFit="1"/>
    </xf>
    <xf numFmtId="49" fontId="39" fillId="0" borderId="15" xfId="75" applyNumberFormat="1" applyFont="1" applyBorder="1" applyAlignment="1">
      <alignment horizontal="center" vertical="center" shrinkToFit="1"/>
    </xf>
    <xf numFmtId="174" fontId="37" fillId="0" borderId="15" xfId="1" applyNumberFormat="1" applyFont="1" applyFill="1" applyBorder="1" applyAlignment="1">
      <alignment horizontal="center" shrinkToFit="1"/>
    </xf>
    <xf numFmtId="170" fontId="38" fillId="0" borderId="4" xfId="34" applyNumberFormat="1" applyFont="1" applyFill="1" applyBorder="1" applyAlignment="1">
      <alignment horizontal="center" vertical="center"/>
    </xf>
    <xf numFmtId="49" fontId="37" fillId="0" borderId="15" xfId="75" applyNumberFormat="1" applyFont="1" applyBorder="1" applyAlignment="1">
      <alignment horizontal="center" vertical="center" shrinkToFit="1"/>
    </xf>
    <xf numFmtId="169" fontId="39" fillId="0" borderId="15" xfId="16" applyNumberFormat="1" applyFont="1" applyFill="1" applyBorder="1" applyAlignment="1">
      <alignment horizontal="center" vertical="center"/>
    </xf>
    <xf numFmtId="169" fontId="39" fillId="0" borderId="26" xfId="16" applyNumberFormat="1" applyFont="1" applyFill="1" applyBorder="1" applyAlignment="1">
      <alignment horizontal="center" vertical="center" shrinkToFit="1"/>
    </xf>
    <xf numFmtId="169" fontId="39" fillId="0" borderId="15" xfId="16" applyNumberFormat="1" applyFont="1" applyFill="1" applyBorder="1" applyAlignment="1">
      <alignment horizontal="center" vertical="center" shrinkToFit="1"/>
    </xf>
    <xf numFmtId="174" fontId="39" fillId="0" borderId="26" xfId="16" applyNumberFormat="1" applyFont="1" applyFill="1" applyBorder="1" applyAlignment="1">
      <alignment horizontal="center" vertical="center" shrinkToFit="1"/>
    </xf>
    <xf numFmtId="170" fontId="39" fillId="0" borderId="26" xfId="16" applyNumberFormat="1" applyFont="1" applyFill="1" applyBorder="1" applyAlignment="1">
      <alignment horizontal="center" vertical="center" shrinkToFit="1"/>
    </xf>
    <xf numFmtId="169" fontId="88" fillId="0" borderId="0" xfId="70" applyNumberFormat="1" applyFont="1" applyAlignment="1">
      <alignment horizontal="center" vertical="center" readingOrder="2"/>
    </xf>
    <xf numFmtId="169" fontId="88" fillId="0" borderId="0" xfId="70" applyNumberFormat="1" applyFont="1" applyAlignment="1">
      <alignment horizontal="center" vertical="center" shrinkToFit="1" readingOrder="2"/>
    </xf>
    <xf numFmtId="169" fontId="88" fillId="0" borderId="0" xfId="70" applyNumberFormat="1" applyFont="1" applyAlignment="1">
      <alignment vertical="center"/>
    </xf>
    <xf numFmtId="169" fontId="88" fillId="0" borderId="0" xfId="70" applyNumberFormat="1" applyFont="1" applyAlignment="1">
      <alignment horizontal="center" vertical="center" shrinkToFit="1"/>
    </xf>
    <xf numFmtId="169" fontId="88" fillId="0" borderId="3" xfId="70" applyNumberFormat="1" applyFont="1" applyBorder="1" applyAlignment="1">
      <alignment horizontal="center" vertical="center" shrinkToFit="1" readingOrder="2"/>
    </xf>
    <xf numFmtId="174" fontId="38" fillId="0" borderId="0" xfId="98" applyNumberFormat="1" applyFont="1" applyAlignment="1">
      <alignment horizontal="center"/>
    </xf>
    <xf numFmtId="0" fontId="29" fillId="0" borderId="0" xfId="0" applyFont="1" applyAlignment="1">
      <alignment vertical="center" shrinkToFit="1" readingOrder="2"/>
    </xf>
    <xf numFmtId="49" fontId="29" fillId="0" borderId="0" xfId="0" applyNumberFormat="1" applyFont="1" applyAlignment="1">
      <alignment horizontal="left" vertical="center" readingOrder="2"/>
    </xf>
    <xf numFmtId="0" fontId="29" fillId="0" borderId="0" xfId="0" applyFont="1" applyAlignment="1">
      <alignment horizontal="center" vertical="center" shrinkToFit="1" readingOrder="2"/>
    </xf>
    <xf numFmtId="170" fontId="29" fillId="0" borderId="51" xfId="0" applyNumberFormat="1" applyFont="1" applyBorder="1" applyAlignment="1">
      <alignment horizontal="center" vertical="center" shrinkToFit="1" readingOrder="2"/>
    </xf>
    <xf numFmtId="0" fontId="95" fillId="0" borderId="0" xfId="0" applyFont="1" applyAlignment="1">
      <alignment horizontal="center" vertical="center" shrinkToFit="1" readingOrder="2"/>
    </xf>
    <xf numFmtId="0" fontId="70" fillId="0" borderId="0" xfId="0" applyFont="1" applyAlignment="1">
      <alignment vertical="center" readingOrder="2"/>
    </xf>
    <xf numFmtId="0" fontId="37" fillId="0" borderId="15" xfId="98" applyFont="1" applyBorder="1" applyAlignment="1">
      <alignment horizontal="right" shrinkToFit="1"/>
    </xf>
    <xf numFmtId="0" fontId="39" fillId="0" borderId="15" xfId="77" applyFont="1" applyBorder="1" applyAlignment="1">
      <alignment vertical="center"/>
    </xf>
    <xf numFmtId="0" fontId="37" fillId="0" borderId="15" xfId="98" applyFont="1" applyBorder="1" applyAlignment="1">
      <alignment shrinkToFit="1"/>
    </xf>
    <xf numFmtId="171" fontId="33" fillId="0" borderId="0" xfId="1" applyNumberFormat="1" applyFont="1" applyFill="1"/>
    <xf numFmtId="171" fontId="33" fillId="0" borderId="0" xfId="1" applyNumberFormat="1" applyFont="1" applyFill="1" applyAlignment="1">
      <alignment shrinkToFit="1"/>
    </xf>
    <xf numFmtId="174" fontId="38" fillId="0" borderId="15" xfId="16" applyNumberFormat="1" applyFont="1" applyFill="1" applyBorder="1" applyAlignment="1">
      <alignment horizontal="center" vertical="center" shrinkToFit="1"/>
    </xf>
    <xf numFmtId="169" fontId="37" fillId="0" borderId="15" xfId="10" applyNumberFormat="1" applyFont="1" applyFill="1" applyBorder="1" applyAlignment="1">
      <alignment horizontal="center" vertical="center" shrinkToFit="1"/>
    </xf>
    <xf numFmtId="169" fontId="37" fillId="0" borderId="4" xfId="10" applyNumberFormat="1" applyFont="1" applyFill="1" applyBorder="1" applyAlignment="1">
      <alignment horizontal="center" vertical="center"/>
    </xf>
    <xf numFmtId="169" fontId="37" fillId="0" borderId="8" xfId="10" applyNumberFormat="1" applyFont="1" applyFill="1" applyBorder="1" applyAlignment="1">
      <alignment horizontal="center" vertical="center" shrinkToFit="1" readingOrder="2"/>
    </xf>
    <xf numFmtId="169" fontId="37" fillId="0" borderId="15" xfId="10" applyNumberFormat="1" applyFont="1" applyFill="1" applyBorder="1" applyAlignment="1">
      <alignment horizontal="center" vertical="center" shrinkToFit="1" readingOrder="2"/>
    </xf>
    <xf numFmtId="169" fontId="34" fillId="0" borderId="15" xfId="10" applyNumberFormat="1" applyFont="1" applyFill="1" applyBorder="1" applyAlignment="1">
      <alignment horizontal="center" vertical="center" shrinkToFit="1" readingOrder="2"/>
    </xf>
    <xf numFmtId="169" fontId="34" fillId="0" borderId="0" xfId="10" applyNumberFormat="1" applyFont="1" applyFill="1" applyBorder="1" applyAlignment="1">
      <alignment horizontal="center" vertical="center" shrinkToFit="1" readingOrder="2"/>
    </xf>
    <xf numFmtId="169" fontId="37" fillId="0" borderId="15" xfId="10" applyNumberFormat="1" applyFont="1" applyFill="1" applyBorder="1" applyAlignment="1">
      <alignment horizontal="center" vertical="center"/>
    </xf>
    <xf numFmtId="169" fontId="38" fillId="0" borderId="15" xfId="10" applyNumberFormat="1" applyFont="1" applyFill="1" applyBorder="1" applyAlignment="1">
      <alignment horizontal="center" vertical="center" shrinkToFit="1"/>
    </xf>
    <xf numFmtId="169" fontId="38" fillId="0" borderId="0" xfId="10" applyNumberFormat="1" applyFont="1" applyFill="1" applyBorder="1" applyAlignment="1">
      <alignment horizontal="center" vertical="center" shrinkToFit="1"/>
    </xf>
    <xf numFmtId="169" fontId="39" fillId="0" borderId="0" xfId="10" applyNumberFormat="1" applyFont="1" applyFill="1" applyAlignment="1">
      <alignment horizontal="center" vertical="center"/>
    </xf>
    <xf numFmtId="169" fontId="34" fillId="0" borderId="0" xfId="10" applyNumberFormat="1" applyFont="1" applyFill="1" applyAlignment="1">
      <alignment horizontal="center" vertical="center" shrinkToFit="1" readingOrder="2"/>
    </xf>
    <xf numFmtId="169" fontId="37" fillId="0" borderId="0" xfId="10" applyNumberFormat="1" applyFont="1" applyFill="1" applyBorder="1" applyAlignment="1">
      <alignment horizontal="center" vertical="center" shrinkToFit="1"/>
    </xf>
    <xf numFmtId="169" fontId="38" fillId="0" borderId="33" xfId="10" applyNumberFormat="1" applyFont="1" applyFill="1" applyBorder="1" applyAlignment="1">
      <alignment horizontal="center" vertical="center" shrinkToFit="1"/>
    </xf>
    <xf numFmtId="169" fontId="33" fillId="0" borderId="4" xfId="10" applyNumberFormat="1" applyFont="1" applyFill="1" applyBorder="1" applyAlignment="1">
      <alignment horizontal="center" vertical="center" shrinkToFit="1"/>
    </xf>
    <xf numFmtId="169" fontId="45" fillId="0" borderId="4" xfId="10" applyNumberFormat="1" applyFont="1" applyFill="1" applyBorder="1" applyAlignment="1">
      <alignment horizontal="center" vertical="center" shrinkToFit="1"/>
    </xf>
    <xf numFmtId="169" fontId="45" fillId="0" borderId="6" xfId="10" applyNumberFormat="1" applyFont="1" applyFill="1" applyBorder="1" applyAlignment="1">
      <alignment horizontal="center" vertical="center" shrinkToFit="1"/>
    </xf>
    <xf numFmtId="169" fontId="33" fillId="0" borderId="6" xfId="10" applyNumberFormat="1" applyFont="1" applyFill="1" applyBorder="1" applyAlignment="1">
      <alignment horizontal="center" vertical="center" shrinkToFit="1"/>
    </xf>
    <xf numFmtId="169" fontId="33" fillId="0" borderId="52" xfId="10" applyNumberFormat="1" applyFont="1" applyFill="1" applyBorder="1" applyAlignment="1">
      <alignment horizontal="center" vertical="center" shrinkToFit="1"/>
    </xf>
    <xf numFmtId="169" fontId="33" fillId="0" borderId="53" xfId="10" applyNumberFormat="1" applyFont="1" applyFill="1" applyBorder="1" applyAlignment="1">
      <alignment horizontal="center" vertical="center" shrinkToFit="1"/>
    </xf>
    <xf numFmtId="169" fontId="33" fillId="0" borderId="12" xfId="10" applyNumberFormat="1" applyFont="1" applyFill="1" applyBorder="1" applyAlignment="1">
      <alignment horizontal="center" vertical="center" shrinkToFit="1"/>
    </xf>
    <xf numFmtId="169" fontId="33" fillId="0" borderId="54" xfId="10" applyNumberFormat="1" applyFont="1" applyFill="1" applyBorder="1" applyAlignment="1">
      <alignment horizontal="center" vertical="center" shrinkToFit="1"/>
    </xf>
    <xf numFmtId="169" fontId="33" fillId="0" borderId="0" xfId="10" applyNumberFormat="1" applyFont="1" applyFill="1" applyAlignment="1">
      <alignment horizontal="center" vertical="center" shrinkToFit="1"/>
    </xf>
    <xf numFmtId="169" fontId="39" fillId="0" borderId="0" xfId="10" applyNumberFormat="1" applyFont="1" applyFill="1" applyAlignment="1">
      <alignment horizontal="center" vertical="center" shrinkToFit="1" readingOrder="2"/>
    </xf>
    <xf numFmtId="169" fontId="33" fillId="0" borderId="4" xfId="32" applyNumberFormat="1" applyFont="1" applyFill="1" applyBorder="1" applyAlignment="1">
      <alignment horizontal="center" vertical="center"/>
    </xf>
    <xf numFmtId="169" fontId="33" fillId="0" borderId="52" xfId="32" applyNumberFormat="1" applyFont="1" applyFill="1" applyBorder="1" applyAlignment="1">
      <alignment horizontal="center" vertical="center"/>
    </xf>
    <xf numFmtId="169" fontId="33" fillId="0" borderId="52" xfId="10" applyNumberFormat="1" applyFont="1" applyFill="1" applyBorder="1" applyAlignment="1">
      <alignment horizontal="center" vertical="center" shrinkToFit="1" readingOrder="2"/>
    </xf>
    <xf numFmtId="169" fontId="42" fillId="0" borderId="54" xfId="10" applyNumberFormat="1" applyFont="1" applyFill="1" applyBorder="1" applyAlignment="1">
      <alignment horizontal="center" vertical="center" shrinkToFit="1" readingOrder="2"/>
    </xf>
    <xf numFmtId="169" fontId="33" fillId="0" borderId="4" xfId="10" applyNumberFormat="1" applyFont="1" applyFill="1" applyBorder="1" applyAlignment="1">
      <alignment horizontal="center" vertical="center" shrinkToFit="1" readingOrder="2"/>
    </xf>
    <xf numFmtId="49" fontId="37" fillId="0" borderId="15" xfId="10" applyNumberFormat="1" applyFont="1" applyFill="1" applyBorder="1" applyAlignment="1">
      <alignment horizontal="center" vertical="center" shrinkToFit="1"/>
    </xf>
    <xf numFmtId="170" fontId="37" fillId="0" borderId="15" xfId="10" applyNumberFormat="1" applyFont="1" applyFill="1" applyBorder="1" applyAlignment="1">
      <alignment horizontal="center" vertical="center" wrapText="1" shrinkToFit="1" readingOrder="2"/>
    </xf>
    <xf numFmtId="169" fontId="37" fillId="0" borderId="0" xfId="17" applyNumberFormat="1" applyFont="1" applyFill="1" applyBorder="1" applyAlignment="1">
      <alignment horizontal="center" vertical="center" shrinkToFit="1"/>
    </xf>
    <xf numFmtId="170" fontId="37" fillId="0" borderId="0" xfId="10" applyNumberFormat="1" applyFont="1" applyFill="1" applyBorder="1" applyAlignment="1">
      <alignment horizontal="center" vertical="center" shrinkToFit="1" readingOrder="2"/>
    </xf>
    <xf numFmtId="49" fontId="41" fillId="0" borderId="0" xfId="10" applyNumberFormat="1" applyFont="1" applyFill="1" applyBorder="1" applyAlignment="1">
      <alignment horizontal="center" vertical="center" shrinkToFit="1" readingOrder="2"/>
    </xf>
    <xf numFmtId="169" fontId="41" fillId="0" borderId="0" xfId="10" applyNumberFormat="1" applyFont="1" applyFill="1" applyBorder="1" applyAlignment="1">
      <alignment horizontal="center" vertical="center" shrinkToFit="1" readingOrder="2"/>
    </xf>
    <xf numFmtId="174" fontId="38" fillId="2" borderId="0" xfId="70" applyNumberFormat="1" applyFont="1" applyFill="1" applyBorder="1" applyAlignment="1">
      <alignment horizontal="center" vertical="center" readingOrder="2"/>
    </xf>
    <xf numFmtId="174" fontId="38" fillId="0" borderId="0" xfId="16" applyNumberFormat="1" applyFont="1" applyBorder="1" applyAlignment="1">
      <alignment horizontal="center" vertical="center"/>
    </xf>
    <xf numFmtId="0" fontId="95" fillId="0" borderId="0" xfId="0" applyFont="1" applyAlignment="1">
      <alignment vertical="center" readingOrder="2"/>
    </xf>
    <xf numFmtId="0" fontId="29" fillId="0" borderId="28" xfId="0" applyFont="1" applyBorder="1" applyAlignment="1">
      <alignment horizontal="center" vertical="center" wrapText="1" shrinkToFit="1" readingOrder="2"/>
    </xf>
    <xf numFmtId="0" fontId="33" fillId="0" borderId="8" xfId="128" applyFont="1" applyBorder="1" applyAlignment="1">
      <alignment horizontal="right" vertical="center" shrinkToFit="1"/>
    </xf>
    <xf numFmtId="169" fontId="39" fillId="0" borderId="6" xfId="1" applyNumberFormat="1" applyFont="1" applyBorder="1" applyAlignment="1">
      <alignment horizontal="center" vertical="center" shrinkToFit="1"/>
    </xf>
    <xf numFmtId="169" fontId="39" fillId="0" borderId="43" xfId="1" applyNumberFormat="1" applyFont="1" applyBorder="1" applyAlignment="1">
      <alignment horizontal="center" vertical="center" shrinkToFit="1"/>
    </xf>
    <xf numFmtId="169" fontId="39" fillId="0" borderId="43" xfId="1" applyNumberFormat="1" applyFont="1" applyFill="1" applyBorder="1" applyAlignment="1">
      <alignment horizontal="center" vertical="center" shrinkToFit="1"/>
    </xf>
    <xf numFmtId="174" fontId="33" fillId="0" borderId="10" xfId="128" applyNumberFormat="1" applyFont="1" applyBorder="1" applyAlignment="1">
      <alignment vertical="center"/>
    </xf>
    <xf numFmtId="174" fontId="33" fillId="0" borderId="15" xfId="128" applyNumberFormat="1" applyFont="1" applyBorder="1" applyAlignment="1">
      <alignment vertical="center"/>
    </xf>
    <xf numFmtId="169" fontId="39" fillId="0" borderId="55" xfId="1" applyNumberFormat="1" applyFont="1" applyFill="1" applyBorder="1" applyAlignment="1">
      <alignment horizontal="center" vertical="center" shrinkToFit="1"/>
    </xf>
    <xf numFmtId="174" fontId="33" fillId="0" borderId="15" xfId="1" applyNumberFormat="1" applyFont="1" applyFill="1" applyBorder="1" applyAlignment="1">
      <alignment horizontal="center" vertical="center" shrinkToFit="1"/>
    </xf>
    <xf numFmtId="169" fontId="42" fillId="0" borderId="16" xfId="2" applyNumberFormat="1" applyFont="1" applyFill="1" applyBorder="1" applyAlignment="1">
      <alignment horizontal="center" vertical="center" shrinkToFit="1"/>
    </xf>
    <xf numFmtId="169" fontId="38" fillId="0" borderId="13" xfId="37" applyNumberFormat="1" applyFont="1" applyFill="1" applyBorder="1" applyAlignment="1">
      <alignment horizontal="center" vertical="center" shrinkToFit="1"/>
    </xf>
    <xf numFmtId="169" fontId="37" fillId="0" borderId="26" xfId="34" applyNumberFormat="1" applyFont="1" applyFill="1" applyBorder="1" applyAlignment="1">
      <alignment horizontal="center" vertical="center" shrinkToFit="1"/>
    </xf>
    <xf numFmtId="170" fontId="95" fillId="0" borderId="0" xfId="0" applyNumberFormat="1" applyFont="1" applyAlignment="1">
      <alignment horizontal="center" vertical="center" readingOrder="2"/>
    </xf>
    <xf numFmtId="169" fontId="42" fillId="0" borderId="0" xfId="70" applyNumberFormat="1" applyFont="1" applyBorder="1" applyAlignment="1">
      <alignment horizontal="center" vertical="center" wrapText="1" shrinkToFit="1" readingOrder="2"/>
    </xf>
    <xf numFmtId="174" fontId="37" fillId="0" borderId="0" xfId="70" applyNumberFormat="1" applyFont="1" applyAlignment="1">
      <alignment horizontal="center" vertical="center" shrinkToFit="1" readingOrder="2"/>
    </xf>
    <xf numFmtId="174" fontId="39" fillId="0" borderId="0" xfId="70" applyNumberFormat="1" applyFont="1" applyAlignment="1">
      <alignment horizontal="center" vertical="center" shrinkToFit="1" readingOrder="2"/>
    </xf>
    <xf numFmtId="169" fontId="42" fillId="0" borderId="0" xfId="2" applyNumberFormat="1" applyFont="1" applyFill="1" applyBorder="1" applyAlignment="1">
      <alignment horizontal="center" vertical="center" shrinkToFit="1"/>
    </xf>
    <xf numFmtId="169" fontId="37" fillId="0" borderId="41" xfId="37" applyNumberFormat="1" applyFont="1" applyFill="1" applyBorder="1" applyAlignment="1">
      <alignment horizontal="center" vertical="center" shrinkToFit="1"/>
    </xf>
    <xf numFmtId="0" fontId="42" fillId="4" borderId="15" xfId="74" applyFont="1" applyFill="1" applyBorder="1" applyAlignment="1">
      <alignment horizontal="center" vertical="center" shrinkToFit="1"/>
    </xf>
    <xf numFmtId="170" fontId="42" fillId="4" borderId="15" xfId="74" applyNumberFormat="1" applyFont="1" applyFill="1" applyBorder="1" applyAlignment="1">
      <alignment horizontal="center" vertical="center" shrinkToFit="1"/>
    </xf>
    <xf numFmtId="170" fontId="44" fillId="4" borderId="4" xfId="74" applyNumberFormat="1" applyFont="1" applyFill="1" applyBorder="1" applyAlignment="1">
      <alignment horizontal="center" vertical="center" shrinkToFit="1"/>
    </xf>
    <xf numFmtId="170" fontId="44" fillId="4" borderId="15" xfId="74" applyNumberFormat="1" applyFont="1" applyFill="1" applyBorder="1" applyAlignment="1">
      <alignment horizontal="center" vertical="center" shrinkToFit="1"/>
    </xf>
    <xf numFmtId="170" fontId="44" fillId="4" borderId="8" xfId="74" applyNumberFormat="1" applyFont="1" applyFill="1" applyBorder="1" applyAlignment="1">
      <alignment horizontal="center" vertical="center" shrinkToFit="1"/>
    </xf>
    <xf numFmtId="0" fontId="33" fillId="0" borderId="0" xfId="74" applyFont="1" applyBorder="1" applyAlignment="1">
      <alignment horizontal="center" shrinkToFit="1"/>
    </xf>
    <xf numFmtId="170" fontId="37" fillId="0" borderId="4" xfId="37" applyNumberFormat="1" applyFont="1" applyFill="1" applyBorder="1" applyAlignment="1">
      <alignment horizontal="center" vertical="center" shrinkToFit="1"/>
    </xf>
    <xf numFmtId="174" fontId="37" fillId="0" borderId="0" xfId="0" applyNumberFormat="1" applyFont="1" applyAlignment="1">
      <alignment shrinkToFit="1"/>
    </xf>
    <xf numFmtId="174" fontId="37" fillId="0" borderId="0" xfId="1" applyNumberFormat="1" applyFont="1" applyFill="1" applyBorder="1" applyAlignment="1">
      <alignment horizontal="center" vertical="center" shrinkToFit="1"/>
    </xf>
    <xf numFmtId="170" fontId="39" fillId="0" borderId="15" xfId="77" applyNumberFormat="1" applyFont="1" applyBorder="1" applyAlignment="1">
      <alignment horizontal="center" vertical="center"/>
    </xf>
    <xf numFmtId="170" fontId="39" fillId="0" borderId="0" xfId="77" applyNumberFormat="1" applyFont="1" applyAlignment="1">
      <alignment horizontal="center" vertical="center"/>
    </xf>
    <xf numFmtId="0" fontId="37" fillId="0" borderId="0" xfId="0" applyFont="1" applyAlignment="1">
      <alignment shrinkToFit="1"/>
    </xf>
    <xf numFmtId="170" fontId="37" fillId="0" borderId="0" xfId="0" applyNumberFormat="1" applyFont="1" applyAlignment="1">
      <alignment shrinkToFit="1"/>
    </xf>
    <xf numFmtId="169" fontId="37" fillId="0" borderId="0" xfId="0" applyNumberFormat="1" applyFont="1" applyAlignment="1">
      <alignment horizontal="center"/>
    </xf>
    <xf numFmtId="174" fontId="37" fillId="0" borderId="0" xfId="0" applyNumberFormat="1" applyFont="1"/>
    <xf numFmtId="170" fontId="38" fillId="0" borderId="8" xfId="34" applyNumberFormat="1" applyFont="1" applyFill="1" applyBorder="1" applyAlignment="1">
      <alignment horizontal="center" vertical="center"/>
    </xf>
    <xf numFmtId="169" fontId="111" fillId="0" borderId="0" xfId="0" applyNumberFormat="1" applyFont="1"/>
    <xf numFmtId="169" fontId="48" fillId="0" borderId="0" xfId="90" applyNumberFormat="1" applyFont="1" applyAlignment="1">
      <alignment horizontal="right" vertical="center"/>
    </xf>
    <xf numFmtId="169" fontId="52" fillId="0" borderId="4" xfId="90" applyNumberFormat="1" applyFont="1" applyBorder="1" applyAlignment="1">
      <alignment horizontal="right" vertical="center" wrapText="1"/>
    </xf>
    <xf numFmtId="169" fontId="52" fillId="0" borderId="24" xfId="1" applyNumberFormat="1" applyFont="1" applyFill="1" applyBorder="1" applyAlignment="1">
      <alignment horizontal="center" vertical="center" wrapText="1" shrinkToFit="1"/>
    </xf>
    <xf numFmtId="169" fontId="52" fillId="0" borderId="2" xfId="1" applyNumberFormat="1" applyFont="1" applyFill="1" applyBorder="1" applyAlignment="1">
      <alignment horizontal="center" vertical="center" wrapText="1" shrinkToFit="1"/>
    </xf>
    <xf numFmtId="169" fontId="52" fillId="0" borderId="15" xfId="1" applyNumberFormat="1" applyFont="1" applyFill="1" applyBorder="1" applyAlignment="1">
      <alignment horizontal="center" vertical="center" readingOrder="2"/>
    </xf>
    <xf numFmtId="169" fontId="52" fillId="0" borderId="6" xfId="1" applyNumberFormat="1" applyFont="1" applyFill="1" applyBorder="1" applyAlignment="1">
      <alignment horizontal="center" vertical="center" readingOrder="2"/>
    </xf>
    <xf numFmtId="169" fontId="112" fillId="0" borderId="0" xfId="0" applyNumberFormat="1" applyFont="1"/>
    <xf numFmtId="169" fontId="52" fillId="0" borderId="8" xfId="90" applyNumberFormat="1" applyFont="1" applyBorder="1" applyAlignment="1">
      <alignment horizontal="right" vertical="center" wrapText="1"/>
    </xf>
    <xf numFmtId="170" fontId="111" fillId="0" borderId="0" xfId="0" applyNumberFormat="1" applyFont="1"/>
    <xf numFmtId="169" fontId="113" fillId="0" borderId="0" xfId="0" applyNumberFormat="1" applyFont="1"/>
    <xf numFmtId="169" fontId="52" fillId="0" borderId="7" xfId="90" applyNumberFormat="1" applyFont="1" applyBorder="1" applyAlignment="1">
      <alignment horizontal="right" vertical="center" wrapText="1"/>
    </xf>
    <xf numFmtId="169" fontId="52" fillId="0" borderId="24" xfId="1" applyNumberFormat="1" applyFont="1" applyFill="1" applyBorder="1" applyAlignment="1">
      <alignment horizontal="center" vertical="center" readingOrder="2"/>
    </xf>
    <xf numFmtId="169" fontId="52" fillId="0" borderId="2" xfId="1" applyNumberFormat="1" applyFont="1" applyFill="1" applyBorder="1" applyAlignment="1">
      <alignment horizontal="center" vertical="center" readingOrder="2"/>
    </xf>
    <xf numFmtId="169" fontId="49" fillId="0" borderId="0" xfId="90" applyNumberFormat="1" applyFont="1" applyAlignment="1">
      <alignment vertical="center" wrapText="1"/>
    </xf>
    <xf numFmtId="169" fontId="111" fillId="0" borderId="0" xfId="0" applyNumberFormat="1" applyFont="1" applyAlignment="1">
      <alignment vertical="center"/>
    </xf>
    <xf numFmtId="3" fontId="111" fillId="0" borderId="0" xfId="0" applyNumberFormat="1" applyFont="1"/>
    <xf numFmtId="169" fontId="115" fillId="0" borderId="0" xfId="0" applyNumberFormat="1" applyFont="1"/>
    <xf numFmtId="169" fontId="45" fillId="0" borderId="4" xfId="10" applyNumberFormat="1" applyFont="1" applyFill="1" applyBorder="1" applyAlignment="1">
      <alignment horizontal="center" vertical="center"/>
    </xf>
    <xf numFmtId="169" fontId="39" fillId="0" borderId="0" xfId="10" applyNumberFormat="1" applyFont="1" applyFill="1" applyAlignment="1">
      <alignment horizontal="center" vertical="center" shrinkToFit="1"/>
    </xf>
    <xf numFmtId="169" fontId="37" fillId="0" borderId="7" xfId="10" applyNumberFormat="1" applyFont="1" applyFill="1" applyBorder="1" applyAlignment="1">
      <alignment horizontal="center" vertical="center" shrinkToFit="1" readingOrder="2"/>
    </xf>
    <xf numFmtId="169" fontId="37" fillId="0" borderId="5" xfId="10" applyNumberFormat="1" applyFont="1" applyFill="1" applyBorder="1" applyAlignment="1">
      <alignment horizontal="center" vertical="center" shrinkToFit="1" readingOrder="2"/>
    </xf>
    <xf numFmtId="169" fontId="39" fillId="0" borderId="15" xfId="10" applyNumberFormat="1" applyFont="1" applyFill="1" applyBorder="1" applyAlignment="1">
      <alignment horizontal="center" vertical="center"/>
    </xf>
    <xf numFmtId="169" fontId="37" fillId="0" borderId="20" xfId="10" applyNumberFormat="1" applyFont="1" applyFill="1" applyBorder="1" applyAlignment="1">
      <alignment horizontal="center" vertical="center" shrinkToFit="1" readingOrder="2"/>
    </xf>
    <xf numFmtId="170" fontId="41" fillId="0" borderId="15" xfId="1" applyNumberFormat="1" applyFont="1" applyFill="1" applyBorder="1" applyAlignment="1">
      <alignment horizontal="center" vertical="center" shrinkToFit="1" readingOrder="2"/>
    </xf>
    <xf numFmtId="49" fontId="37" fillId="0" borderId="27" xfId="1" applyNumberFormat="1" applyFont="1" applyFill="1" applyBorder="1" applyAlignment="1">
      <alignment horizontal="center" vertical="center" shrinkToFit="1"/>
    </xf>
    <xf numFmtId="49" fontId="37" fillId="0" borderId="6" xfId="34" applyNumberFormat="1" applyFont="1" applyFill="1" applyBorder="1" applyAlignment="1">
      <alignment horizontal="center" vertical="center" shrinkToFit="1"/>
    </xf>
    <xf numFmtId="49" fontId="37" fillId="0" borderId="27" xfId="37" applyNumberFormat="1" applyFont="1" applyFill="1" applyBorder="1" applyAlignment="1">
      <alignment horizontal="center" vertical="center" shrinkToFit="1"/>
    </xf>
    <xf numFmtId="170" fontId="42" fillId="0" borderId="17" xfId="2" applyNumberFormat="1" applyFont="1" applyFill="1" applyBorder="1" applyAlignment="1">
      <alignment horizontal="center" vertical="center" shrinkToFit="1"/>
    </xf>
    <xf numFmtId="170" fontId="42" fillId="0" borderId="27" xfId="2" applyNumberFormat="1" applyFont="1" applyFill="1" applyBorder="1" applyAlignment="1">
      <alignment horizontal="center" vertical="center" shrinkToFit="1"/>
    </xf>
    <xf numFmtId="170" fontId="25" fillId="0" borderId="15" xfId="37" applyNumberFormat="1" applyFont="1" applyFill="1" applyBorder="1" applyAlignment="1">
      <alignment horizontal="center" vertical="center" shrinkToFit="1"/>
    </xf>
    <xf numFmtId="170" fontId="25" fillId="0" borderId="4" xfId="37" applyNumberFormat="1" applyFont="1" applyFill="1" applyBorder="1" applyAlignment="1">
      <alignment horizontal="center" vertical="center" shrinkToFit="1"/>
    </xf>
    <xf numFmtId="170" fontId="25" fillId="0" borderId="29" xfId="37" applyNumberFormat="1" applyFont="1" applyFill="1" applyBorder="1" applyAlignment="1">
      <alignment horizontal="center" vertical="center" shrinkToFit="1"/>
    </xf>
    <xf numFmtId="170" fontId="70" fillId="0" borderId="15" xfId="37" applyNumberFormat="1" applyFont="1" applyFill="1" applyBorder="1" applyAlignment="1">
      <alignment horizontal="center" vertical="center" shrinkToFit="1"/>
    </xf>
    <xf numFmtId="170" fontId="37" fillId="0" borderId="16" xfId="10" applyNumberFormat="1" applyFont="1" applyFill="1" applyBorder="1" applyAlignment="1">
      <alignment horizontal="center" vertical="center" shrinkToFit="1" readingOrder="2"/>
    </xf>
    <xf numFmtId="170" fontId="37" fillId="0" borderId="30" xfId="10" applyNumberFormat="1" applyFont="1" applyFill="1" applyBorder="1" applyAlignment="1">
      <alignment horizontal="center" vertical="center" shrinkToFit="1" readingOrder="2"/>
    </xf>
    <xf numFmtId="169" fontId="37" fillId="0" borderId="6" xfId="10" applyNumberFormat="1" applyFont="1" applyFill="1" applyBorder="1" applyAlignment="1">
      <alignment horizontal="center" vertical="center" shrinkToFit="1" readingOrder="2"/>
    </xf>
    <xf numFmtId="169" fontId="37" fillId="0" borderId="5" xfId="10" applyNumberFormat="1" applyFont="1" applyFill="1" applyBorder="1" applyAlignment="1">
      <alignment horizontal="center" vertical="center"/>
    </xf>
    <xf numFmtId="169" fontId="37" fillId="0" borderId="6" xfId="10" applyNumberFormat="1" applyFont="1" applyFill="1" applyBorder="1" applyAlignment="1">
      <alignment horizontal="center" vertical="center"/>
    </xf>
    <xf numFmtId="169" fontId="23" fillId="0" borderId="0" xfId="1" applyNumberFormat="1" applyFont="1" applyFill="1" applyAlignment="1">
      <alignment vertical="center" shrinkToFit="1" readingOrder="2"/>
    </xf>
    <xf numFmtId="49" fontId="23" fillId="0" borderId="0" xfId="1" applyNumberFormat="1" applyFont="1" applyFill="1" applyAlignment="1">
      <alignment horizontal="center" vertical="center" shrinkToFit="1" readingOrder="2"/>
    </xf>
    <xf numFmtId="49" fontId="25" fillId="0" borderId="4" xfId="1" applyNumberFormat="1" applyFont="1" applyFill="1" applyBorder="1" applyAlignment="1">
      <alignment horizontal="center" vertical="center" shrinkToFit="1"/>
    </xf>
    <xf numFmtId="169" fontId="25" fillId="0" borderId="4" xfId="1" applyNumberFormat="1" applyFont="1" applyFill="1" applyBorder="1" applyAlignment="1">
      <alignment horizontal="center" vertical="center" shrinkToFit="1" readingOrder="2"/>
    </xf>
    <xf numFmtId="169" fontId="25" fillId="0" borderId="5" xfId="1" applyNumberFormat="1" applyFont="1" applyFill="1" applyBorder="1" applyAlignment="1">
      <alignment horizontal="center" vertical="center" shrinkToFit="1" readingOrder="2"/>
    </xf>
    <xf numFmtId="169" fontId="25" fillId="0" borderId="5" xfId="1" applyNumberFormat="1" applyFont="1" applyFill="1" applyBorder="1" applyAlignment="1">
      <alignment horizontal="center" vertical="center" shrinkToFit="1"/>
    </xf>
    <xf numFmtId="169" fontId="25" fillId="0" borderId="4" xfId="1" applyNumberFormat="1" applyFont="1" applyFill="1" applyBorder="1" applyAlignment="1">
      <alignment horizontal="center" vertical="center" shrinkToFit="1"/>
    </xf>
    <xf numFmtId="169" fontId="25" fillId="0" borderId="0" xfId="1" applyNumberFormat="1" applyFont="1" applyFill="1" applyBorder="1" applyAlignment="1">
      <alignment horizontal="center" vertical="center" shrinkToFit="1"/>
    </xf>
    <xf numFmtId="49" fontId="25" fillId="0" borderId="4" xfId="34" applyNumberFormat="1" applyFont="1" applyFill="1" applyBorder="1" applyAlignment="1">
      <alignment horizontal="center" vertical="center" shrinkToFit="1"/>
    </xf>
    <xf numFmtId="49" fontId="25" fillId="0" borderId="15" xfId="0" applyNumberFormat="1" applyFont="1" applyBorder="1" applyAlignment="1">
      <alignment horizontal="center" vertical="center" shrinkToFit="1"/>
    </xf>
    <xf numFmtId="169" fontId="25" fillId="0" borderId="8" xfId="1" applyNumberFormat="1" applyFont="1" applyFill="1" applyBorder="1" applyAlignment="1">
      <alignment horizontal="center" vertical="center" shrinkToFit="1"/>
    </xf>
    <xf numFmtId="169" fontId="25" fillId="0" borderId="8" xfId="1" applyNumberFormat="1" applyFont="1" applyFill="1" applyBorder="1" applyAlignment="1">
      <alignment horizontal="center" vertical="center" shrinkToFit="1" readingOrder="2"/>
    </xf>
    <xf numFmtId="169" fontId="25" fillId="0" borderId="15" xfId="1" applyNumberFormat="1" applyFont="1" applyFill="1" applyBorder="1" applyAlignment="1">
      <alignment horizontal="center" vertical="center" shrinkToFit="1"/>
    </xf>
    <xf numFmtId="169" fontId="25" fillId="0" borderId="15" xfId="1" applyNumberFormat="1" applyFont="1" applyFill="1" applyBorder="1" applyAlignment="1">
      <alignment horizontal="center" vertical="center" shrinkToFit="1" readingOrder="2"/>
    </xf>
    <xf numFmtId="169" fontId="25" fillId="0" borderId="26" xfId="1" applyNumberFormat="1" applyFont="1" applyFill="1" applyBorder="1" applyAlignment="1">
      <alignment horizontal="center" vertical="center" shrinkToFit="1"/>
    </xf>
    <xf numFmtId="169" fontId="25" fillId="0" borderId="26" xfId="1" applyNumberFormat="1" applyFont="1" applyFill="1" applyBorder="1" applyAlignment="1">
      <alignment horizontal="center" vertical="center" shrinkToFit="1" readingOrder="2"/>
    </xf>
    <xf numFmtId="169" fontId="70" fillId="0" borderId="7" xfId="1" applyNumberFormat="1" applyFont="1" applyFill="1" applyBorder="1" applyAlignment="1">
      <alignment horizontal="center" vertical="center" shrinkToFit="1" readingOrder="2"/>
    </xf>
    <xf numFmtId="169" fontId="70" fillId="0" borderId="0" xfId="1" applyNumberFormat="1" applyFont="1" applyFill="1" applyBorder="1" applyAlignment="1">
      <alignment horizontal="center" vertical="center" shrinkToFit="1" readingOrder="2"/>
    </xf>
    <xf numFmtId="49" fontId="24" fillId="0" borderId="0" xfId="1" applyNumberFormat="1" applyFont="1" applyFill="1" applyAlignment="1">
      <alignment horizontal="center" vertical="center" shrinkToFit="1" readingOrder="2"/>
    </xf>
    <xf numFmtId="169" fontId="24" fillId="0" borderId="0" xfId="1" applyNumberFormat="1" applyFont="1" applyFill="1" applyAlignment="1">
      <alignment vertical="center" shrinkToFit="1" readingOrder="2"/>
    </xf>
    <xf numFmtId="171" fontId="37" fillId="0" borderId="0" xfId="1" applyNumberFormat="1" applyFont="1" applyFill="1"/>
    <xf numFmtId="171" fontId="33" fillId="0" borderId="0" xfId="1" applyNumberFormat="1" applyFont="1"/>
    <xf numFmtId="169" fontId="37" fillId="0" borderId="28" xfId="34" applyNumberFormat="1" applyFont="1" applyFill="1" applyBorder="1" applyAlignment="1">
      <alignment horizontal="center" vertical="center" shrinkToFit="1" readingOrder="2"/>
    </xf>
    <xf numFmtId="171" fontId="44" fillId="0" borderId="0" xfId="1" applyNumberFormat="1" applyFont="1" applyFill="1" applyBorder="1" applyAlignment="1">
      <alignment horizontal="center" vertical="center" wrapText="1"/>
    </xf>
    <xf numFmtId="170" fontId="44" fillId="0" borderId="15" xfId="1" applyNumberFormat="1" applyFont="1" applyFill="1" applyBorder="1" applyAlignment="1">
      <alignment horizontal="center" vertical="center" wrapText="1"/>
    </xf>
    <xf numFmtId="170" fontId="42" fillId="0" borderId="15" xfId="1" applyNumberFormat="1" applyFont="1" applyFill="1" applyBorder="1" applyAlignment="1">
      <alignment horizontal="center" vertical="center" shrinkToFit="1"/>
    </xf>
    <xf numFmtId="170" fontId="44" fillId="0" borderId="0" xfId="1" applyNumberFormat="1" applyFont="1" applyFill="1" applyBorder="1" applyAlignment="1">
      <alignment horizontal="center" vertical="center" wrapText="1"/>
    </xf>
    <xf numFmtId="49" fontId="33" fillId="0" borderId="0" xfId="74" applyNumberFormat="1" applyFont="1" applyAlignment="1">
      <alignment horizontal="right" vertical="top" wrapText="1"/>
    </xf>
    <xf numFmtId="49" fontId="33" fillId="0" borderId="0" xfId="74" applyNumberFormat="1" applyFont="1" applyAlignment="1">
      <alignment horizontal="center" vertical="top"/>
    </xf>
    <xf numFmtId="170" fontId="44" fillId="0" borderId="0" xfId="1" applyNumberFormat="1" applyFont="1" applyFill="1" applyAlignment="1">
      <alignment horizontal="center" vertical="center" readingOrder="2"/>
    </xf>
    <xf numFmtId="170" fontId="47" fillId="0" borderId="0" xfId="1" applyNumberFormat="1" applyFont="1" applyFill="1" applyAlignment="1">
      <alignment horizontal="center" vertical="center" wrapText="1" readingOrder="2"/>
    </xf>
    <xf numFmtId="170" fontId="47" fillId="0" borderId="0" xfId="1" applyNumberFormat="1" applyFont="1" applyFill="1" applyAlignment="1">
      <alignment horizontal="center" vertical="center"/>
    </xf>
    <xf numFmtId="170" fontId="33" fillId="0" borderId="15" xfId="1" applyNumberFormat="1" applyFont="1" applyFill="1" applyBorder="1" applyAlignment="1">
      <alignment shrinkToFit="1"/>
    </xf>
    <xf numFmtId="170" fontId="33" fillId="0" borderId="15" xfId="1" applyNumberFormat="1" applyFont="1" applyFill="1" applyBorder="1" applyAlignment="1">
      <alignment horizontal="center" vertical="center" shrinkToFit="1"/>
    </xf>
    <xf numFmtId="0" fontId="39" fillId="0" borderId="15" xfId="69" applyFont="1" applyBorder="1" applyAlignment="1">
      <alignment shrinkToFit="1"/>
    </xf>
    <xf numFmtId="1" fontId="44" fillId="0" borderId="15" xfId="1" applyNumberFormat="1" applyFont="1" applyFill="1" applyBorder="1" applyAlignment="1">
      <alignment horizontal="center" vertical="center" shrinkToFit="1"/>
    </xf>
    <xf numFmtId="174" fontId="42" fillId="0" borderId="20" xfId="1" applyNumberFormat="1" applyFont="1" applyFill="1" applyBorder="1" applyAlignment="1">
      <alignment horizontal="center" vertical="center" shrinkToFit="1"/>
    </xf>
    <xf numFmtId="174" fontId="42" fillId="0" borderId="16" xfId="1" applyNumberFormat="1" applyFont="1" applyFill="1" applyBorder="1" applyAlignment="1">
      <alignment horizontal="center" vertical="center" shrinkToFit="1"/>
    </xf>
    <xf numFmtId="174" fontId="41" fillId="0" borderId="16" xfId="1" applyNumberFormat="1" applyFont="1" applyFill="1" applyBorder="1" applyAlignment="1">
      <alignment horizontal="center" vertical="center" shrinkToFit="1"/>
    </xf>
    <xf numFmtId="174" fontId="41" fillId="0" borderId="27" xfId="1" applyNumberFormat="1" applyFont="1" applyFill="1" applyBorder="1" applyAlignment="1">
      <alignment horizontal="center" vertical="center" shrinkToFit="1"/>
    </xf>
    <xf numFmtId="174" fontId="42" fillId="0" borderId="11" xfId="1" applyNumberFormat="1" applyFont="1" applyFill="1" applyBorder="1" applyAlignment="1">
      <alignment horizontal="center" vertical="center" shrinkToFit="1"/>
    </xf>
    <xf numFmtId="174" fontId="41" fillId="0" borderId="29" xfId="1" applyNumberFormat="1" applyFont="1" applyFill="1" applyBorder="1" applyAlignment="1">
      <alignment horizontal="center" vertical="center" shrinkToFit="1"/>
    </xf>
    <xf numFmtId="169" fontId="42" fillId="0" borderId="30" xfId="2" applyNumberFormat="1" applyFont="1" applyFill="1" applyBorder="1" applyAlignment="1">
      <alignment horizontal="center" vertical="center" shrinkToFit="1"/>
    </xf>
    <xf numFmtId="170" fontId="38" fillId="0" borderId="19" xfId="34" applyNumberFormat="1" applyFont="1" applyFill="1" applyBorder="1" applyAlignment="1">
      <alignment horizontal="center" vertical="center" shrinkToFit="1"/>
    </xf>
    <xf numFmtId="49" fontId="39" fillId="0" borderId="15" xfId="3" applyNumberFormat="1" applyFont="1" applyFill="1" applyBorder="1" applyAlignment="1">
      <alignment horizontal="center" vertical="center" shrinkToFit="1"/>
    </xf>
    <xf numFmtId="170" fontId="33" fillId="0" borderId="26" xfId="1" applyNumberFormat="1" applyFont="1" applyFill="1" applyBorder="1" applyAlignment="1">
      <alignment horizontal="center" vertical="center" shrinkToFit="1"/>
    </xf>
    <xf numFmtId="170" fontId="42" fillId="0" borderId="48" xfId="1" applyNumberFormat="1" applyFont="1" applyFill="1" applyBorder="1" applyAlignment="1">
      <alignment horizontal="center" vertical="center" shrinkToFit="1"/>
    </xf>
    <xf numFmtId="170" fontId="42" fillId="0" borderId="37" xfId="1" applyNumberFormat="1" applyFont="1" applyFill="1" applyBorder="1" applyAlignment="1">
      <alignment horizontal="center" vertical="center" shrinkToFit="1"/>
    </xf>
    <xf numFmtId="170" fontId="33" fillId="0" borderId="15" xfId="1" applyNumberFormat="1" applyFont="1" applyFill="1" applyBorder="1" applyAlignment="1">
      <alignment horizontal="center" shrinkToFit="1"/>
    </xf>
    <xf numFmtId="170" fontId="33" fillId="0" borderId="29" xfId="1" applyNumberFormat="1" applyFont="1" applyFill="1" applyBorder="1" applyAlignment="1">
      <alignment horizontal="center" vertical="center" shrinkToFit="1"/>
    </xf>
    <xf numFmtId="0" fontId="44" fillId="4" borderId="15" xfId="74" applyFont="1" applyFill="1" applyBorder="1" applyAlignment="1">
      <alignment horizontal="center" vertical="center" shrinkToFit="1"/>
    </xf>
    <xf numFmtId="170" fontId="47" fillId="4" borderId="15" xfId="74" applyNumberFormat="1" applyFont="1" applyFill="1" applyBorder="1" applyAlignment="1">
      <alignment horizontal="center" vertical="center" shrinkToFit="1"/>
    </xf>
    <xf numFmtId="49" fontId="44" fillId="4" borderId="15" xfId="0" applyNumberFormat="1" applyFont="1" applyFill="1" applyBorder="1" applyAlignment="1">
      <alignment horizontal="center" vertical="center" shrinkToFit="1"/>
    </xf>
    <xf numFmtId="170" fontId="44" fillId="4" borderId="29" xfId="74" applyNumberFormat="1" applyFont="1" applyFill="1" applyBorder="1" applyAlignment="1">
      <alignment horizontal="center" vertical="center" shrinkToFit="1"/>
    </xf>
    <xf numFmtId="170" fontId="44" fillId="4" borderId="15" xfId="74" applyNumberFormat="1" applyFont="1" applyFill="1" applyBorder="1" applyAlignment="1">
      <alignment horizontal="center" vertical="center" shrinkToFit="1" readingOrder="2"/>
    </xf>
    <xf numFmtId="169" fontId="37" fillId="0" borderId="16" xfId="34" applyNumberFormat="1" applyFont="1" applyFill="1" applyBorder="1" applyAlignment="1">
      <alignment horizontal="center" vertical="center" shrinkToFit="1"/>
    </xf>
    <xf numFmtId="169" fontId="37" fillId="0" borderId="1" xfId="34" applyNumberFormat="1" applyFont="1" applyFill="1" applyBorder="1" applyAlignment="1">
      <alignment horizontal="center" vertical="center" shrinkToFit="1"/>
    </xf>
    <xf numFmtId="169" fontId="37" fillId="0" borderId="27" xfId="34" applyNumberFormat="1" applyFont="1" applyFill="1" applyBorder="1" applyAlignment="1">
      <alignment horizontal="center" vertical="center" shrinkToFit="1"/>
    </xf>
    <xf numFmtId="169" fontId="37" fillId="0" borderId="23" xfId="34" applyNumberFormat="1" applyFont="1" applyFill="1" applyBorder="1" applyAlignment="1">
      <alignment horizontal="center" vertical="center" shrinkToFit="1"/>
    </xf>
    <xf numFmtId="169" fontId="37" fillId="0" borderId="0" xfId="34" applyNumberFormat="1" applyFont="1" applyFill="1" applyBorder="1" applyAlignment="1">
      <alignment vertical="center" shrinkToFit="1"/>
    </xf>
    <xf numFmtId="0" fontId="120" fillId="0" borderId="0" xfId="0" applyFont="1"/>
    <xf numFmtId="169" fontId="37" fillId="0" borderId="24" xfId="0" applyNumberFormat="1" applyFont="1" applyBorder="1" applyAlignment="1">
      <alignment vertical="center" shrinkToFit="1"/>
    </xf>
    <xf numFmtId="169" fontId="37" fillId="0" borderId="27" xfId="0" applyNumberFormat="1" applyFont="1" applyBorder="1" applyAlignment="1">
      <alignment vertical="center" shrinkToFit="1"/>
    </xf>
    <xf numFmtId="49" fontId="33" fillId="0" borderId="15" xfId="70" applyNumberFormat="1" applyFont="1" applyBorder="1" applyAlignment="1">
      <alignment horizontal="center" vertical="center" shrinkToFit="1"/>
    </xf>
    <xf numFmtId="0" fontId="33" fillId="0" borderId="15" xfId="0" applyFont="1" applyBorder="1" applyAlignment="1">
      <alignment horizontal="right" vertical="center" shrinkToFit="1"/>
    </xf>
    <xf numFmtId="0" fontId="33" fillId="0" borderId="15" xfId="0" applyFont="1" applyBorder="1" applyAlignment="1">
      <alignment vertical="center" shrinkToFit="1"/>
    </xf>
    <xf numFmtId="49" fontId="33" fillId="0" borderId="15" xfId="1" applyNumberFormat="1" applyFont="1" applyFill="1" applyBorder="1" applyAlignment="1">
      <alignment horizontal="center" vertical="center" shrinkToFit="1"/>
    </xf>
    <xf numFmtId="170" fontId="44" fillId="0" borderId="23" xfId="0" applyNumberFormat="1" applyFont="1" applyBorder="1" applyAlignment="1">
      <alignment horizontal="center" vertical="center" readingOrder="2"/>
    </xf>
    <xf numFmtId="170" fontId="33" fillId="0" borderId="26" xfId="74" applyNumberFormat="1" applyFont="1" applyBorder="1" applyAlignment="1">
      <alignment horizontal="center" vertical="center" wrapText="1" shrinkToFit="1"/>
    </xf>
    <xf numFmtId="0" fontId="33" fillId="0" borderId="0" xfId="0" applyFont="1" applyAlignment="1">
      <alignment horizontal="center" vertical="center"/>
    </xf>
    <xf numFmtId="170" fontId="42" fillId="0" borderId="0" xfId="0" applyNumberFormat="1" applyFont="1" applyAlignment="1">
      <alignment vertical="center" textRotation="180" readingOrder="2"/>
    </xf>
    <xf numFmtId="170" fontId="46" fillId="0" borderId="15" xfId="0" applyNumberFormat="1" applyFont="1" applyBorder="1" applyAlignment="1">
      <alignment horizontal="center" vertical="center" shrinkToFit="1" readingOrder="2"/>
    </xf>
    <xf numFmtId="170" fontId="44" fillId="0" borderId="26" xfId="0" applyNumberFormat="1" applyFont="1" applyBorder="1" applyAlignment="1">
      <alignment horizontal="center" vertical="center" shrinkToFit="1" readingOrder="2"/>
    </xf>
    <xf numFmtId="169" fontId="25" fillId="0" borderId="6" xfId="1" applyNumberFormat="1" applyFont="1" applyFill="1" applyBorder="1" applyAlignment="1">
      <alignment horizontal="center" vertical="center" shrinkToFit="1"/>
    </xf>
    <xf numFmtId="0" fontId="25" fillId="0" borderId="15" xfId="98" applyFont="1" applyBorder="1" applyAlignment="1">
      <alignment horizontal="right" vertical="center" wrapText="1" shrinkToFit="1"/>
    </xf>
    <xf numFmtId="0" fontId="25" fillId="0" borderId="15" xfId="98" applyFont="1" applyBorder="1" applyAlignment="1">
      <alignment horizontal="right" vertical="center" shrinkToFit="1"/>
    </xf>
    <xf numFmtId="170" fontId="42" fillId="0" borderId="0" xfId="0" applyNumberFormat="1" applyFont="1" applyAlignment="1">
      <alignment horizontal="center" readingOrder="2"/>
    </xf>
    <xf numFmtId="170" fontId="33" fillId="0" borderId="0" xfId="0" applyNumberFormat="1" applyFont="1" applyAlignment="1">
      <alignment horizontal="centerContinuous" vertical="center" shrinkToFit="1" readingOrder="2"/>
    </xf>
    <xf numFmtId="0" fontId="33" fillId="0" borderId="0" xfId="0" applyFont="1" applyAlignment="1">
      <alignment horizontal="centerContinuous"/>
    </xf>
    <xf numFmtId="0" fontId="37" fillId="0" borderId="15" xfId="69" applyFont="1" applyBorder="1" applyAlignment="1">
      <alignment vertical="center" shrinkToFit="1"/>
    </xf>
    <xf numFmtId="0" fontId="121" fillId="0" borderId="0" xfId="0" applyFont="1"/>
    <xf numFmtId="169" fontId="33" fillId="0" borderId="15" xfId="9" applyNumberFormat="1" applyFont="1" applyFill="1" applyBorder="1" applyAlignment="1">
      <alignment horizontal="center" vertical="center"/>
    </xf>
    <xf numFmtId="170" fontId="33" fillId="0" borderId="29" xfId="74" applyNumberFormat="1" applyFont="1" applyBorder="1" applyAlignment="1">
      <alignment horizontal="center" vertical="center" wrapText="1" shrinkToFit="1"/>
    </xf>
    <xf numFmtId="0" fontId="33" fillId="0" borderId="15" xfId="74" applyFont="1" applyBorder="1" applyAlignment="1">
      <alignment horizontal="center" vertical="center" shrinkToFit="1"/>
    </xf>
    <xf numFmtId="170" fontId="39" fillId="0" borderId="29" xfId="74" applyNumberFormat="1" applyFont="1" applyBorder="1" applyAlignment="1">
      <alignment horizontal="center" vertical="center" wrapText="1" shrinkToFit="1"/>
    </xf>
    <xf numFmtId="3" fontId="37" fillId="0" borderId="15" xfId="0" applyNumberFormat="1" applyFont="1" applyBorder="1" applyAlignment="1">
      <alignment horizontal="center" vertical="center"/>
    </xf>
    <xf numFmtId="49" fontId="25" fillId="0" borderId="15" xfId="0" applyNumberFormat="1" applyFont="1" applyBorder="1" applyAlignment="1">
      <alignment horizontal="center" vertical="center" wrapText="1" readingOrder="2"/>
    </xf>
    <xf numFmtId="170" fontId="39" fillId="0" borderId="16" xfId="17" applyNumberFormat="1" applyFont="1" applyFill="1" applyBorder="1" applyAlignment="1">
      <alignment horizontal="center" vertical="center"/>
    </xf>
    <xf numFmtId="49" fontId="41" fillId="0" borderId="8" xfId="70" applyNumberFormat="1" applyFont="1" applyBorder="1" applyAlignment="1">
      <alignment horizontal="center" vertical="center" shrinkToFit="1" readingOrder="2"/>
    </xf>
    <xf numFmtId="169" fontId="41" fillId="2" borderId="8" xfId="70" applyNumberFormat="1" applyFont="1" applyFill="1" applyBorder="1" applyAlignment="1">
      <alignment horizontal="center" vertical="center" shrinkToFit="1" readingOrder="2"/>
    </xf>
    <xf numFmtId="169" fontId="41" fillId="2" borderId="20" xfId="70" applyNumberFormat="1" applyFont="1" applyFill="1" applyBorder="1" applyAlignment="1">
      <alignment horizontal="center" vertical="center" shrinkToFit="1" readingOrder="2"/>
    </xf>
    <xf numFmtId="169" fontId="39" fillId="0" borderId="26" xfId="70" applyNumberFormat="1" applyFont="1" applyBorder="1" applyAlignment="1">
      <alignment horizontal="center" vertical="center" shrinkToFit="1" readingOrder="2"/>
    </xf>
    <xf numFmtId="169" fontId="41" fillId="2" borderId="17" xfId="70" applyNumberFormat="1" applyFont="1" applyFill="1" applyBorder="1" applyAlignment="1">
      <alignment horizontal="center" vertical="center" shrinkToFit="1" readingOrder="2"/>
    </xf>
    <xf numFmtId="170" fontId="38" fillId="0" borderId="26" xfId="37" applyNumberFormat="1" applyFont="1" applyFill="1" applyBorder="1" applyAlignment="1">
      <alignment horizontal="center" vertical="center" shrinkToFit="1"/>
    </xf>
    <xf numFmtId="49" fontId="41" fillId="0" borderId="0" xfId="74" applyNumberFormat="1" applyFont="1" applyBorder="1" applyAlignment="1">
      <alignment shrinkToFit="1"/>
    </xf>
    <xf numFmtId="49" fontId="42" fillId="0" borderId="15" xfId="0" applyNumberFormat="1" applyFont="1" applyBorder="1" applyAlignment="1">
      <alignment horizontal="center" vertical="center" shrinkToFit="1"/>
    </xf>
    <xf numFmtId="169" fontId="44" fillId="0" borderId="28" xfId="34" applyNumberFormat="1" applyFont="1" applyFill="1" applyBorder="1" applyAlignment="1">
      <alignment readingOrder="2"/>
    </xf>
    <xf numFmtId="49" fontId="35" fillId="0" borderId="15" xfId="0" applyNumberFormat="1" applyFont="1" applyBorder="1" applyAlignment="1">
      <alignment horizontal="center" vertical="center" shrinkToFit="1"/>
    </xf>
    <xf numFmtId="173" fontId="121" fillId="0" borderId="0" xfId="1" applyFont="1"/>
    <xf numFmtId="173" fontId="120" fillId="0" borderId="0" xfId="1" applyFont="1"/>
    <xf numFmtId="0" fontId="34" fillId="0" borderId="15" xfId="98" applyFont="1" applyBorder="1" applyAlignment="1">
      <alignment horizontal="right" vertical="center" wrapText="1" shrinkToFit="1"/>
    </xf>
    <xf numFmtId="0" fontId="122" fillId="0" borderId="0" xfId="0" applyFont="1"/>
    <xf numFmtId="173" fontId="121" fillId="0" borderId="15" xfId="1" applyFont="1" applyBorder="1"/>
    <xf numFmtId="0" fontId="121" fillId="0" borderId="15" xfId="0" applyFont="1" applyBorder="1"/>
    <xf numFmtId="0" fontId="122" fillId="0" borderId="15" xfId="0" applyFont="1" applyBorder="1"/>
    <xf numFmtId="174" fontId="37" fillId="0" borderId="15" xfId="1" applyNumberFormat="1" applyFont="1" applyBorder="1" applyAlignment="1">
      <alignment horizontal="center" vertical="center" shrinkToFit="1"/>
    </xf>
    <xf numFmtId="170" fontId="38" fillId="0" borderId="0" xfId="34" applyNumberFormat="1" applyFont="1" applyFill="1" applyBorder="1" applyAlignment="1">
      <alignment horizontal="center" vertical="center"/>
    </xf>
    <xf numFmtId="49" fontId="37" fillId="0" borderId="5" xfId="128" applyNumberFormat="1" applyFont="1" applyBorder="1" applyAlignment="1">
      <alignment shrinkToFit="1"/>
    </xf>
    <xf numFmtId="49" fontId="37" fillId="0" borderId="15" xfId="3" applyNumberFormat="1" applyFont="1" applyFill="1" applyBorder="1" applyAlignment="1">
      <alignment horizontal="center" vertical="center" shrinkToFit="1"/>
    </xf>
    <xf numFmtId="169" fontId="38" fillId="0" borderId="0" xfId="3" applyNumberFormat="1" applyFont="1" applyFill="1" applyBorder="1" applyAlignment="1">
      <alignment horizontal="center" vertical="center" shrinkToFit="1"/>
    </xf>
    <xf numFmtId="49" fontId="41" fillId="0" borderId="0" xfId="3" applyNumberFormat="1" applyFont="1" applyFill="1" applyBorder="1" applyAlignment="1">
      <alignment horizontal="left" vertical="center" shrinkToFit="1"/>
    </xf>
    <xf numFmtId="49" fontId="37" fillId="0" borderId="0" xfId="3" applyNumberFormat="1" applyFont="1" applyFill="1" applyBorder="1" applyAlignment="1">
      <alignment horizontal="left" vertical="center" shrinkToFit="1"/>
    </xf>
    <xf numFmtId="171" fontId="39" fillId="0" borderId="0" xfId="3" applyNumberFormat="1" applyFont="1" applyFill="1" applyAlignment="1">
      <alignment horizontal="center" vertical="center" shrinkToFit="1"/>
    </xf>
    <xf numFmtId="0" fontId="33" fillId="0" borderId="15" xfId="74" applyFont="1" applyBorder="1" applyAlignment="1">
      <alignment horizontal="right" vertical="center" shrinkToFit="1"/>
    </xf>
    <xf numFmtId="170" fontId="33" fillId="0" borderId="0" xfId="0" applyNumberFormat="1" applyFont="1" applyAlignment="1">
      <alignment vertical="center" shrinkToFit="1"/>
    </xf>
    <xf numFmtId="170" fontId="33" fillId="0" borderId="0" xfId="1" applyNumberFormat="1" applyFont="1" applyAlignment="1">
      <alignment vertical="center" shrinkToFit="1"/>
    </xf>
    <xf numFmtId="174" fontId="33" fillId="0" borderId="10" xfId="1" applyNumberFormat="1" applyFont="1" applyFill="1" applyBorder="1" applyAlignment="1">
      <alignment horizontal="center" vertical="center" shrinkToFit="1"/>
    </xf>
    <xf numFmtId="169" fontId="39" fillId="0" borderId="7" xfId="1" applyNumberFormat="1" applyFont="1" applyBorder="1" applyAlignment="1">
      <alignment horizontal="center" vertical="center" shrinkToFit="1"/>
    </xf>
    <xf numFmtId="169" fontId="39" fillId="0" borderId="19" xfId="1" applyNumberFormat="1" applyFont="1" applyBorder="1" applyAlignment="1">
      <alignment horizontal="center" vertical="center" shrinkToFit="1"/>
    </xf>
    <xf numFmtId="169" fontId="33" fillId="0" borderId="55" xfId="0" applyNumberFormat="1" applyFont="1" applyBorder="1" applyAlignment="1">
      <alignment vertical="center"/>
    </xf>
    <xf numFmtId="174" fontId="33" fillId="0" borderId="26" xfId="1" applyNumberFormat="1" applyFont="1" applyFill="1" applyBorder="1" applyAlignment="1">
      <alignment horizontal="center" vertical="center" shrinkToFit="1"/>
    </xf>
    <xf numFmtId="169" fontId="39" fillId="0" borderId="17" xfId="1" applyNumberFormat="1" applyFont="1" applyBorder="1" applyAlignment="1">
      <alignment horizontal="center" vertical="center" shrinkToFit="1"/>
    </xf>
    <xf numFmtId="169" fontId="39" fillId="0" borderId="20" xfId="1" applyNumberFormat="1" applyFont="1" applyBorder="1" applyAlignment="1">
      <alignment horizontal="center" vertical="center" shrinkToFit="1"/>
    </xf>
    <xf numFmtId="169" fontId="39" fillId="0" borderId="78" xfId="1" applyNumberFormat="1" applyFont="1" applyFill="1" applyBorder="1" applyAlignment="1">
      <alignment horizontal="center" vertical="center" shrinkToFit="1"/>
    </xf>
    <xf numFmtId="174" fontId="33" fillId="0" borderId="48" xfId="1" applyNumberFormat="1" applyFont="1" applyFill="1" applyBorder="1" applyAlignment="1">
      <alignment horizontal="center" vertical="center" shrinkToFit="1"/>
    </xf>
    <xf numFmtId="174" fontId="33" fillId="0" borderId="37" xfId="1" applyNumberFormat="1" applyFont="1" applyFill="1" applyBorder="1" applyAlignment="1">
      <alignment horizontal="center" vertical="center" shrinkToFit="1"/>
    </xf>
    <xf numFmtId="169" fontId="39" fillId="0" borderId="20" xfId="1" applyNumberFormat="1" applyFont="1" applyFill="1" applyBorder="1" applyAlignment="1">
      <alignment horizontal="center" vertical="center" shrinkToFit="1"/>
    </xf>
    <xf numFmtId="169" fontId="39" fillId="0" borderId="78" xfId="1" applyNumberFormat="1" applyFont="1" applyBorder="1" applyAlignment="1">
      <alignment horizontal="center" vertical="center" shrinkToFit="1"/>
    </xf>
    <xf numFmtId="0" fontId="33" fillId="0" borderId="26" xfId="128" applyFont="1" applyBorder="1" applyAlignment="1">
      <alignment vertical="center"/>
    </xf>
    <xf numFmtId="169" fontId="39" fillId="0" borderId="8" xfId="1" applyNumberFormat="1" applyFont="1" applyFill="1" applyBorder="1" applyAlignment="1">
      <alignment horizontal="center" vertical="center" shrinkToFit="1"/>
    </xf>
    <xf numFmtId="0" fontId="42" fillId="4" borderId="15" xfId="74" applyFont="1" applyFill="1" applyBorder="1" applyAlignment="1">
      <alignment horizontal="right" vertical="center" shrinkToFit="1"/>
    </xf>
    <xf numFmtId="49" fontId="42" fillId="4" borderId="15" xfId="0" applyNumberFormat="1" applyFont="1" applyFill="1" applyBorder="1" applyAlignment="1">
      <alignment horizontal="right" vertical="center" shrinkToFit="1"/>
    </xf>
    <xf numFmtId="169" fontId="52" fillId="0" borderId="26" xfId="1" applyNumberFormat="1" applyFont="1" applyFill="1" applyBorder="1" applyAlignment="1">
      <alignment horizontal="center" vertical="center" readingOrder="2"/>
    </xf>
    <xf numFmtId="169" fontId="52" fillId="0" borderId="17" xfId="1" applyNumberFormat="1" applyFont="1" applyFill="1" applyBorder="1" applyAlignment="1">
      <alignment horizontal="center" vertical="center" readingOrder="2"/>
    </xf>
    <xf numFmtId="169" fontId="55" fillId="0" borderId="91" xfId="90" applyNumberFormat="1" applyFont="1" applyBorder="1" applyAlignment="1">
      <alignment horizontal="right" vertical="center" shrinkToFit="1"/>
    </xf>
    <xf numFmtId="169" fontId="52" fillId="0" borderId="29" xfId="1" applyNumberFormat="1" applyFont="1" applyFill="1" applyBorder="1" applyAlignment="1">
      <alignment horizontal="center" vertical="center" shrinkToFit="1" readingOrder="2"/>
    </xf>
    <xf numFmtId="169" fontId="37" fillId="0" borderId="0" xfId="70" applyNumberFormat="1" applyFont="1" applyAlignment="1">
      <alignment vertical="top" readingOrder="2"/>
    </xf>
    <xf numFmtId="49" fontId="33" fillId="0" borderId="0" xfId="70" applyNumberFormat="1" applyFont="1" applyAlignment="1">
      <alignment vertical="top"/>
    </xf>
    <xf numFmtId="169" fontId="39" fillId="0" borderId="15" xfId="10" applyNumberFormat="1" applyFont="1" applyFill="1" applyBorder="1" applyAlignment="1">
      <alignment horizontal="center" vertical="center" shrinkToFit="1"/>
    </xf>
    <xf numFmtId="169" fontId="37" fillId="0" borderId="30" xfId="10" applyNumberFormat="1" applyFont="1" applyFill="1" applyBorder="1" applyAlignment="1">
      <alignment horizontal="center" vertical="center" shrinkToFit="1" readingOrder="2"/>
    </xf>
    <xf numFmtId="169" fontId="37" fillId="0" borderId="2" xfId="10" applyNumberFormat="1" applyFont="1" applyFill="1" applyBorder="1" applyAlignment="1">
      <alignment horizontal="center" vertical="center" shrinkToFit="1" readingOrder="2"/>
    </xf>
    <xf numFmtId="169" fontId="37" fillId="0" borderId="13" xfId="10" applyNumberFormat="1" applyFont="1" applyFill="1" applyBorder="1" applyAlignment="1">
      <alignment horizontal="center" vertical="center" shrinkToFit="1" readingOrder="2"/>
    </xf>
    <xf numFmtId="174" fontId="37" fillId="0" borderId="15" xfId="10" applyNumberFormat="1" applyFont="1" applyFill="1" applyBorder="1" applyAlignment="1">
      <alignment horizontal="center" vertical="center" shrinkToFit="1" readingOrder="2"/>
    </xf>
    <xf numFmtId="169" fontId="25" fillId="0" borderId="7" xfId="1" applyNumberFormat="1" applyFont="1" applyFill="1" applyBorder="1" applyAlignment="1">
      <alignment horizontal="center" vertical="center" shrinkToFit="1"/>
    </xf>
    <xf numFmtId="169" fontId="34" fillId="0" borderId="0" xfId="70" applyNumberFormat="1" applyFont="1" applyAlignment="1">
      <alignment horizontal="right" vertical="center" shrinkToFit="1" readingOrder="2"/>
    </xf>
    <xf numFmtId="169" fontId="37" fillId="0" borderId="0" xfId="70" applyNumberFormat="1" applyFont="1" applyBorder="1" applyAlignment="1">
      <alignment horizontal="center" vertical="center" shrinkToFit="1" readingOrder="2"/>
    </xf>
    <xf numFmtId="174" fontId="33" fillId="0" borderId="0" xfId="70" applyNumberFormat="1" applyFont="1" applyAlignment="1">
      <alignment vertical="center"/>
    </xf>
    <xf numFmtId="174" fontId="33" fillId="0" borderId="0" xfId="70" applyNumberFormat="1" applyFont="1" applyAlignment="1">
      <alignment vertical="center" shrinkToFit="1"/>
    </xf>
    <xf numFmtId="174" fontId="41" fillId="0" borderId="0" xfId="70" applyNumberFormat="1" applyFont="1" applyAlignment="1">
      <alignment horizontal="right" vertical="center" readingOrder="2"/>
    </xf>
    <xf numFmtId="174" fontId="34" fillId="0" borderId="0" xfId="70" applyNumberFormat="1" applyFont="1" applyBorder="1" applyAlignment="1">
      <alignment horizontal="center" vertical="center" readingOrder="2"/>
    </xf>
    <xf numFmtId="174" fontId="34" fillId="0" borderId="0" xfId="70" applyNumberFormat="1" applyFont="1" applyBorder="1" applyAlignment="1">
      <alignment horizontal="right" vertical="center" readingOrder="2"/>
    </xf>
    <xf numFmtId="174" fontId="39" fillId="0" borderId="0" xfId="70" applyNumberFormat="1" applyFont="1" applyAlignment="1">
      <alignment vertical="center"/>
    </xf>
    <xf numFmtId="174" fontId="39" fillId="0" borderId="0" xfId="70" applyNumberFormat="1" applyFont="1" applyAlignment="1">
      <alignment vertical="center" shrinkToFit="1"/>
    </xf>
    <xf numFmtId="174" fontId="33" fillId="0" borderId="15" xfId="70" applyNumberFormat="1" applyFont="1" applyBorder="1" applyAlignment="1">
      <alignment vertical="center"/>
    </xf>
    <xf numFmtId="174" fontId="39" fillId="0" borderId="15" xfId="70" applyNumberFormat="1" applyFont="1" applyBorder="1" applyAlignment="1">
      <alignment vertical="center" shrinkToFit="1"/>
    </xf>
    <xf numFmtId="174" fontId="33" fillId="0" borderId="0" xfId="70" applyNumberFormat="1" applyFont="1" applyAlignment="1">
      <alignment horizontal="center" vertical="center"/>
    </xf>
    <xf numFmtId="174" fontId="33" fillId="0" borderId="0" xfId="70" applyNumberFormat="1" applyFont="1" applyAlignment="1">
      <alignment horizontal="right" vertical="center"/>
    </xf>
    <xf numFmtId="174" fontId="33" fillId="0" borderId="15" xfId="70" applyNumberFormat="1" applyFont="1" applyBorder="1" applyAlignment="1">
      <alignment vertical="center" shrinkToFit="1"/>
    </xf>
    <xf numFmtId="169" fontId="35" fillId="0" borderId="0" xfId="70" applyNumberFormat="1" applyFont="1" applyAlignment="1">
      <alignment horizontal="center" vertical="center" readingOrder="2"/>
    </xf>
    <xf numFmtId="169" fontId="44" fillId="0" borderId="0" xfId="70" applyNumberFormat="1" applyFont="1" applyAlignment="1">
      <alignment horizontal="center" vertical="center" readingOrder="2"/>
    </xf>
    <xf numFmtId="0" fontId="47" fillId="0" borderId="0" xfId="0" applyFont="1"/>
    <xf numFmtId="169" fontId="38" fillId="0" borderId="0" xfId="70" applyNumberFormat="1" applyFont="1" applyAlignment="1">
      <alignment horizontal="right" vertical="center" readingOrder="2"/>
    </xf>
    <xf numFmtId="0" fontId="33" fillId="0" borderId="0" xfId="0" applyFont="1"/>
    <xf numFmtId="0" fontId="33" fillId="0" borderId="15" xfId="0" applyFont="1" applyBorder="1" applyAlignment="1">
      <alignment horizontal="center" vertical="center" shrinkToFit="1"/>
    </xf>
    <xf numFmtId="0" fontId="36" fillId="0" borderId="15" xfId="0" applyFont="1" applyBorder="1" applyAlignment="1">
      <alignment horizontal="right" vertical="center" shrinkToFit="1"/>
    </xf>
    <xf numFmtId="0" fontId="33" fillId="0" borderId="29" xfId="0" applyFont="1" applyBorder="1" applyAlignment="1">
      <alignment horizontal="center" vertical="center" shrinkToFit="1"/>
    </xf>
    <xf numFmtId="0" fontId="36" fillId="0" borderId="29" xfId="0" applyFont="1" applyBorder="1" applyAlignment="1">
      <alignment horizontal="right" vertical="center" shrinkToFit="1"/>
    </xf>
    <xf numFmtId="49" fontId="33" fillId="0" borderId="4" xfId="70" applyNumberFormat="1" applyFont="1" applyBorder="1" applyAlignment="1">
      <alignment horizontal="center" vertical="center" shrinkToFit="1"/>
    </xf>
    <xf numFmtId="169" fontId="36" fillId="0" borderId="4" xfId="70" applyNumberFormat="1" applyFont="1" applyBorder="1" applyAlignment="1">
      <alignment horizontal="right" vertical="center" shrinkToFit="1"/>
    </xf>
    <xf numFmtId="0" fontId="33" fillId="0" borderId="4" xfId="0" applyFont="1" applyBorder="1" applyAlignment="1">
      <alignment horizontal="center" vertical="center" shrinkToFit="1"/>
    </xf>
    <xf numFmtId="0" fontId="36" fillId="0" borderId="5" xfId="0" applyFont="1" applyBorder="1" applyAlignment="1">
      <alignment horizontal="right" vertical="center" shrinkToFit="1"/>
    </xf>
    <xf numFmtId="49" fontId="33" fillId="0" borderId="4" xfId="70" applyNumberFormat="1" applyFont="1" applyBorder="1" applyAlignment="1">
      <alignment horizontal="center" vertical="center"/>
    </xf>
    <xf numFmtId="49" fontId="33" fillId="0" borderId="16" xfId="0" applyNumberFormat="1" applyFont="1" applyBorder="1" applyAlignment="1">
      <alignment horizontal="center" vertical="center" shrinkToFit="1"/>
    </xf>
    <xf numFmtId="169" fontId="36" fillId="0" borderId="16" xfId="0" applyNumberFormat="1" applyFont="1" applyBorder="1" applyAlignment="1">
      <alignment horizontal="right" vertical="center" shrinkToFit="1"/>
    </xf>
    <xf numFmtId="49" fontId="37" fillId="0" borderId="20" xfId="0" applyNumberFormat="1" applyFont="1" applyBorder="1" applyAlignment="1">
      <alignment horizontal="center" vertical="center" shrinkToFit="1"/>
    </xf>
    <xf numFmtId="49" fontId="37" fillId="0" borderId="15" xfId="0" applyNumberFormat="1" applyFont="1" applyBorder="1" applyAlignment="1">
      <alignment horizontal="center" vertical="center" shrinkToFit="1"/>
    </xf>
    <xf numFmtId="169" fontId="37" fillId="0" borderId="15" xfId="0" applyNumberFormat="1" applyFont="1" applyBorder="1" applyAlignment="1">
      <alignment horizontal="right" vertical="center" shrinkToFit="1"/>
    </xf>
    <xf numFmtId="0" fontId="37" fillId="0" borderId="15" xfId="98" applyFont="1" applyBorder="1" applyAlignment="1">
      <alignment horizontal="right" vertical="center" shrinkToFit="1"/>
    </xf>
    <xf numFmtId="0" fontId="37" fillId="0" borderId="15" xfId="69" applyFont="1" applyBorder="1" applyAlignment="1">
      <alignment horizontal="right" vertical="center"/>
    </xf>
    <xf numFmtId="49" fontId="37" fillId="0" borderId="16" xfId="0" applyNumberFormat="1" applyFont="1" applyBorder="1" applyAlignment="1">
      <alignment horizontal="center" vertical="center" shrinkToFit="1"/>
    </xf>
    <xf numFmtId="0" fontId="33" fillId="0" borderId="0" xfId="0" applyFont="1" applyAlignment="1">
      <alignment horizontal="center"/>
    </xf>
    <xf numFmtId="2" fontId="42" fillId="0" borderId="0" xfId="0" applyNumberFormat="1" applyFont="1" applyAlignment="1">
      <alignment horizontal="center" vertical="center" shrinkToFit="1"/>
    </xf>
    <xf numFmtId="49" fontId="41" fillId="0" borderId="15" xfId="3" applyNumberFormat="1" applyFont="1" applyFill="1" applyBorder="1" applyAlignment="1">
      <alignment horizontal="center" shrinkToFit="1"/>
    </xf>
    <xf numFmtId="49" fontId="33" fillId="0" borderId="15" xfId="3" applyNumberFormat="1" applyFont="1" applyFill="1" applyBorder="1" applyAlignment="1">
      <alignment horizontal="center" vertical="center" shrinkToFit="1"/>
    </xf>
    <xf numFmtId="171" fontId="39" fillId="0" borderId="0" xfId="1" applyNumberFormat="1" applyFont="1" applyAlignment="1">
      <alignment vertical="center" shrinkToFit="1"/>
    </xf>
    <xf numFmtId="174" fontId="33" fillId="0" borderId="0" xfId="0" applyNumberFormat="1" applyFont="1"/>
    <xf numFmtId="169" fontId="33" fillId="0" borderId="0" xfId="70" applyNumberFormat="1" applyFont="1" applyAlignment="1">
      <alignment horizontal="center"/>
    </xf>
    <xf numFmtId="174" fontId="42" fillId="0" borderId="0" xfId="1" applyNumberFormat="1" applyFont="1" applyFill="1" applyBorder="1" applyAlignment="1">
      <alignment horizontal="center" vertical="center" shrinkToFit="1"/>
    </xf>
    <xf numFmtId="3" fontId="42" fillId="0" borderId="0" xfId="70" applyNumberFormat="1" applyFont="1" applyAlignment="1">
      <alignment horizontal="center" vertical="center" shrinkToFit="1"/>
    </xf>
    <xf numFmtId="170" fontId="33" fillId="0" borderId="48" xfId="1" applyNumberFormat="1" applyFont="1" applyFill="1" applyBorder="1" applyAlignment="1">
      <alignment horizontal="center" vertical="center" shrinkToFit="1"/>
    </xf>
    <xf numFmtId="170" fontId="33" fillId="0" borderId="37" xfId="1" applyNumberFormat="1" applyFont="1" applyFill="1" applyBorder="1" applyAlignment="1">
      <alignment horizontal="center" vertical="center" shrinkToFit="1"/>
    </xf>
    <xf numFmtId="170" fontId="42" fillId="0" borderId="26" xfId="1" applyNumberFormat="1" applyFont="1" applyFill="1" applyBorder="1" applyAlignment="1">
      <alignment horizontal="center" vertical="center" shrinkToFit="1"/>
    </xf>
    <xf numFmtId="170" fontId="42" fillId="0" borderId="58" xfId="1" applyNumberFormat="1" applyFont="1" applyFill="1" applyBorder="1" applyAlignment="1">
      <alignment horizontal="center" vertical="center" shrinkToFit="1"/>
    </xf>
    <xf numFmtId="170" fontId="42" fillId="0" borderId="29" xfId="1" applyNumberFormat="1" applyFont="1" applyFill="1" applyBorder="1" applyAlignment="1">
      <alignment horizontal="center" vertical="center" shrinkToFit="1"/>
    </xf>
    <xf numFmtId="170" fontId="37" fillId="0" borderId="15" xfId="0" applyNumberFormat="1" applyFont="1" applyBorder="1" applyAlignment="1">
      <alignment horizontal="center" vertical="center" shrinkToFit="1"/>
    </xf>
    <xf numFmtId="170" fontId="39" fillId="0" borderId="15" xfId="0" applyNumberFormat="1" applyFont="1" applyBorder="1" applyAlignment="1">
      <alignment horizontal="center" vertical="center" shrinkToFit="1"/>
    </xf>
    <xf numFmtId="169" fontId="34" fillId="0" borderId="0" xfId="0" applyNumberFormat="1" applyFont="1" applyAlignment="1">
      <alignment horizontal="center" vertical="center" shrinkToFit="1"/>
    </xf>
    <xf numFmtId="169" fontId="52" fillId="0" borderId="0" xfId="70" applyNumberFormat="1" applyFont="1" applyAlignment="1">
      <alignment horizontal="center" vertical="center" readingOrder="2"/>
    </xf>
    <xf numFmtId="169" fontId="49" fillId="0" borderId="0" xfId="90" applyNumberFormat="1" applyFont="1" applyAlignment="1">
      <alignment horizontal="right" vertical="center"/>
    </xf>
    <xf numFmtId="169" fontId="45" fillId="0" borderId="0" xfId="90" applyNumberFormat="1" applyFont="1" applyAlignment="1">
      <alignment horizontal="right" vertical="center"/>
    </xf>
    <xf numFmtId="169" fontId="51" fillId="0" borderId="10" xfId="90" applyNumberFormat="1" applyFont="1" applyBorder="1" applyAlignment="1">
      <alignment horizontal="center" vertical="center" wrapText="1"/>
    </xf>
    <xf numFmtId="169" fontId="51" fillId="0" borderId="20" xfId="90" applyNumberFormat="1" applyFont="1" applyBorder="1" applyAlignment="1">
      <alignment horizontal="center" vertical="center" wrapText="1"/>
    </xf>
    <xf numFmtId="169" fontId="51" fillId="0" borderId="15" xfId="90" applyNumberFormat="1" applyFont="1" applyBorder="1" applyAlignment="1">
      <alignment horizontal="center" vertical="center" wrapText="1"/>
    </xf>
    <xf numFmtId="169" fontId="52" fillId="0" borderId="10" xfId="90" applyNumberFormat="1" applyFont="1" applyBorder="1" applyAlignment="1">
      <alignment horizontal="center" vertical="center" wrapText="1"/>
    </xf>
    <xf numFmtId="169" fontId="52" fillId="0" borderId="5" xfId="90" applyNumberFormat="1" applyFont="1" applyBorder="1" applyAlignment="1">
      <alignment horizontal="center" vertical="center" wrapText="1"/>
    </xf>
    <xf numFmtId="169" fontId="52" fillId="0" borderId="2" xfId="90" applyNumberFormat="1" applyFont="1" applyBorder="1" applyAlignment="1">
      <alignment horizontal="center" vertical="center" wrapText="1"/>
    </xf>
    <xf numFmtId="169" fontId="52" fillId="0" borderId="2" xfId="90" applyNumberFormat="1" applyFont="1" applyBorder="1" applyAlignment="1">
      <alignment horizontal="center" vertical="center" wrapText="1" shrinkToFit="1"/>
    </xf>
    <xf numFmtId="169" fontId="52" fillId="0" borderId="24" xfId="90" applyNumberFormat="1" applyFont="1" applyBorder="1" applyAlignment="1">
      <alignment horizontal="center" vertical="center" wrapText="1" shrinkToFit="1"/>
    </xf>
    <xf numFmtId="169" fontId="54" fillId="0" borderId="24" xfId="0" applyNumberFormat="1" applyFont="1" applyBorder="1" applyAlignment="1">
      <alignment vertical="center" shrinkToFit="1"/>
    </xf>
    <xf numFmtId="169" fontId="54" fillId="0" borderId="24" xfId="70" applyNumberFormat="1" applyFont="1" applyBorder="1" applyAlignment="1">
      <alignment vertical="center" wrapText="1" shrinkToFit="1"/>
    </xf>
    <xf numFmtId="169" fontId="52" fillId="0" borderId="2" xfId="0" applyNumberFormat="1" applyFont="1" applyBorder="1" applyAlignment="1">
      <alignment horizontal="center" vertical="center" wrapText="1" shrinkToFit="1"/>
    </xf>
    <xf numFmtId="170" fontId="52" fillId="0" borderId="2" xfId="90" applyNumberFormat="1" applyFont="1" applyBorder="1" applyAlignment="1">
      <alignment horizontal="center" vertical="center" wrapText="1" shrinkToFit="1"/>
    </xf>
    <xf numFmtId="170" fontId="52" fillId="0" borderId="6" xfId="90" applyNumberFormat="1" applyFont="1" applyBorder="1" applyAlignment="1">
      <alignment horizontal="center" vertical="center" wrapText="1" shrinkToFit="1"/>
    </xf>
    <xf numFmtId="169" fontId="52" fillId="0" borderId="4" xfId="90" applyNumberFormat="1" applyFont="1" applyBorder="1" applyAlignment="1">
      <alignment horizontal="center" vertical="center" shrinkToFit="1"/>
    </xf>
    <xf numFmtId="169" fontId="52" fillId="0" borderId="4" xfId="0" applyNumberFormat="1" applyFont="1" applyBorder="1" applyAlignment="1">
      <alignment horizontal="center" vertical="center" shrinkToFit="1"/>
    </xf>
    <xf numFmtId="169" fontId="52" fillId="0" borderId="5" xfId="90" applyNumberFormat="1" applyFont="1" applyBorder="1" applyAlignment="1">
      <alignment horizontal="center" vertical="center" shrinkToFit="1"/>
    </xf>
    <xf numFmtId="169" fontId="52" fillId="0" borderId="15" xfId="90" applyNumberFormat="1" applyFont="1" applyBorder="1" applyAlignment="1">
      <alignment horizontal="center" vertical="center" shrinkToFit="1"/>
    </xf>
    <xf numFmtId="169" fontId="54" fillId="0" borderId="15" xfId="0" applyNumberFormat="1" applyFont="1" applyBorder="1" applyAlignment="1">
      <alignment vertical="center" shrinkToFit="1"/>
    </xf>
    <xf numFmtId="169" fontId="52" fillId="0" borderId="15" xfId="70" applyNumberFormat="1" applyFont="1" applyBorder="1" applyAlignment="1">
      <alignment horizontal="center" vertical="center" readingOrder="2"/>
    </xf>
    <xf numFmtId="169" fontId="52" fillId="0" borderId="15" xfId="1" applyNumberFormat="1" applyFont="1" applyFill="1" applyBorder="1" applyAlignment="1">
      <alignment horizontal="center" vertical="center" shrinkToFit="1" readingOrder="2"/>
    </xf>
    <xf numFmtId="170" fontId="52" fillId="0" borderId="4" xfId="90" applyNumberFormat="1" applyFont="1" applyBorder="1" applyAlignment="1">
      <alignment horizontal="center" vertical="center" shrinkToFit="1"/>
    </xf>
    <xf numFmtId="169" fontId="52" fillId="0" borderId="8" xfId="90" applyNumberFormat="1" applyFont="1" applyBorder="1" applyAlignment="1">
      <alignment horizontal="center" vertical="center" shrinkToFit="1"/>
    </xf>
    <xf numFmtId="169" fontId="52" fillId="0" borderId="8" xfId="0" applyNumberFormat="1" applyFont="1" applyBorder="1" applyAlignment="1">
      <alignment horizontal="center" vertical="center" shrinkToFit="1"/>
    </xf>
    <xf numFmtId="169" fontId="55" fillId="0" borderId="8" xfId="90" applyNumberFormat="1" applyFont="1" applyBorder="1" applyAlignment="1">
      <alignment horizontal="center" vertical="center" shrinkToFit="1"/>
    </xf>
    <xf numFmtId="169" fontId="52" fillId="0" borderId="20" xfId="90" applyNumberFormat="1" applyFont="1" applyBorder="1" applyAlignment="1">
      <alignment horizontal="center" vertical="center" shrinkToFit="1"/>
    </xf>
    <xf numFmtId="169" fontId="59" fillId="0" borderId="15" xfId="90" applyNumberFormat="1" applyFont="1" applyBorder="1" applyAlignment="1">
      <alignment horizontal="center" vertical="center" shrinkToFit="1"/>
    </xf>
    <xf numFmtId="170" fontId="52" fillId="0" borderId="8" xfId="90" applyNumberFormat="1" applyFont="1" applyBorder="1" applyAlignment="1">
      <alignment horizontal="center" vertical="center" shrinkToFit="1"/>
    </xf>
    <xf numFmtId="169" fontId="59" fillId="0" borderId="8" xfId="0" applyNumberFormat="1" applyFont="1" applyBorder="1" applyAlignment="1">
      <alignment horizontal="center" vertical="center" shrinkToFit="1"/>
    </xf>
    <xf numFmtId="169" fontId="52" fillId="0" borderId="20" xfId="0" applyNumberFormat="1" applyFont="1" applyBorder="1" applyAlignment="1">
      <alignment horizontal="center" vertical="center" shrinkToFit="1"/>
    </xf>
    <xf numFmtId="169" fontId="52" fillId="0" borderId="15" xfId="0" applyNumberFormat="1" applyFont="1" applyBorder="1" applyAlignment="1">
      <alignment horizontal="center" vertical="center" shrinkToFit="1"/>
    </xf>
    <xf numFmtId="169" fontId="55" fillId="0" borderId="15" xfId="0" applyNumberFormat="1" applyFont="1" applyBorder="1" applyAlignment="1">
      <alignment vertical="center" shrinkToFit="1"/>
    </xf>
    <xf numFmtId="169" fontId="52" fillId="0" borderId="15" xfId="1" applyNumberFormat="1" applyFont="1" applyFill="1" applyBorder="1" applyAlignment="1">
      <alignment horizontal="center" vertical="center" shrinkToFit="1"/>
    </xf>
    <xf numFmtId="169" fontId="55" fillId="0" borderId="8" xfId="0" applyNumberFormat="1" applyFont="1" applyBorder="1" applyAlignment="1">
      <alignment horizontal="center" vertical="center" shrinkToFit="1" readingOrder="2"/>
    </xf>
    <xf numFmtId="170" fontId="52" fillId="0" borderId="8" xfId="0" applyNumberFormat="1" applyFont="1" applyBorder="1" applyAlignment="1">
      <alignment horizontal="center" vertical="center" shrinkToFit="1"/>
    </xf>
    <xf numFmtId="169" fontId="52" fillId="0" borderId="4" xfId="1" applyNumberFormat="1" applyFont="1" applyFill="1" applyBorder="1" applyAlignment="1">
      <alignment horizontal="center" vertical="center"/>
    </xf>
    <xf numFmtId="169" fontId="55" fillId="0" borderId="15" xfId="0" applyNumberFormat="1" applyFont="1" applyBorder="1" applyAlignment="1">
      <alignment horizontal="center" vertical="center" shrinkToFit="1"/>
    </xf>
    <xf numFmtId="169" fontId="52" fillId="0" borderId="19" xfId="0" applyNumberFormat="1" applyFont="1" applyBorder="1" applyAlignment="1">
      <alignment horizontal="center" vertical="center" shrinkToFit="1"/>
    </xf>
    <xf numFmtId="169" fontId="52" fillId="0" borderId="1" xfId="0" applyNumberFormat="1" applyFont="1" applyBorder="1" applyAlignment="1">
      <alignment horizontal="center" vertical="center" shrinkToFit="1"/>
    </xf>
    <xf numFmtId="169" fontId="52" fillId="0" borderId="2" xfId="90" applyNumberFormat="1" applyFont="1" applyBorder="1" applyAlignment="1">
      <alignment horizontal="center" vertical="center" shrinkToFit="1"/>
    </xf>
    <xf numFmtId="169" fontId="52" fillId="0" borderId="24" xfId="0" applyNumberFormat="1" applyFont="1" applyBorder="1" applyAlignment="1">
      <alignment horizontal="center" vertical="center" shrinkToFit="1"/>
    </xf>
    <xf numFmtId="169" fontId="52" fillId="0" borderId="24" xfId="1" applyNumberFormat="1" applyFont="1" applyFill="1" applyBorder="1" applyAlignment="1">
      <alignment horizontal="center" vertical="center" shrinkToFit="1"/>
    </xf>
    <xf numFmtId="169" fontId="52" fillId="0" borderId="24" xfId="90" applyNumberFormat="1" applyFont="1" applyBorder="1" applyAlignment="1">
      <alignment horizontal="center" vertical="center" shrinkToFit="1"/>
    </xf>
    <xf numFmtId="170" fontId="52" fillId="0" borderId="1" xfId="0" applyNumberFormat="1" applyFont="1" applyBorder="1" applyAlignment="1">
      <alignment horizontal="center" vertical="center" shrinkToFit="1"/>
    </xf>
    <xf numFmtId="170" fontId="52" fillId="0" borderId="6" xfId="90" applyNumberFormat="1" applyFont="1" applyBorder="1" applyAlignment="1">
      <alignment horizontal="center" vertical="center" shrinkToFit="1"/>
    </xf>
    <xf numFmtId="169" fontId="55" fillId="0" borderId="4" xfId="0" applyNumberFormat="1" applyFont="1" applyBorder="1" applyAlignment="1">
      <alignment horizontal="center" vertical="center" shrinkToFit="1"/>
    </xf>
    <xf numFmtId="169" fontId="55" fillId="0" borderId="5" xfId="0" applyNumberFormat="1" applyFont="1" applyBorder="1" applyAlignment="1">
      <alignment horizontal="center" vertical="center" shrinkToFit="1"/>
    </xf>
    <xf numFmtId="169" fontId="55" fillId="0" borderId="5" xfId="90" applyNumberFormat="1" applyFont="1" applyBorder="1" applyAlignment="1">
      <alignment horizontal="center" vertical="center" shrinkToFit="1"/>
    </xf>
    <xf numFmtId="170" fontId="55" fillId="0" borderId="4" xfId="90" applyNumberFormat="1" applyFont="1" applyBorder="1" applyAlignment="1">
      <alignment horizontal="center" vertical="center" shrinkToFit="1"/>
    </xf>
    <xf numFmtId="169" fontId="52" fillId="0" borderId="2" xfId="0" applyNumberFormat="1" applyFont="1" applyBorder="1" applyAlignment="1">
      <alignment horizontal="center" vertical="center" shrinkToFit="1"/>
    </xf>
    <xf numFmtId="169" fontId="52" fillId="0" borderId="13" xfId="0" applyNumberFormat="1" applyFont="1" applyBorder="1" applyAlignment="1">
      <alignment horizontal="center" vertical="center" shrinkToFit="1"/>
    </xf>
    <xf numFmtId="169" fontId="52" fillId="0" borderId="13" xfId="90" applyNumberFormat="1" applyFont="1" applyBorder="1" applyAlignment="1">
      <alignment horizontal="center" vertical="center" shrinkToFit="1"/>
    </xf>
    <xf numFmtId="169" fontId="55" fillId="0" borderId="24" xfId="0" applyNumberFormat="1" applyFont="1" applyBorder="1" applyAlignment="1">
      <alignment horizontal="center" vertical="center" shrinkToFit="1"/>
    </xf>
    <xf numFmtId="169" fontId="52" fillId="0" borderId="24" xfId="0" applyNumberFormat="1" applyFont="1" applyBorder="1" applyAlignment="1">
      <alignment horizontal="center" vertical="center" shrinkToFit="1" readingOrder="2"/>
    </xf>
    <xf numFmtId="170" fontId="52" fillId="0" borderId="24" xfId="0" applyNumberFormat="1" applyFont="1" applyBorder="1" applyAlignment="1">
      <alignment horizontal="center" vertical="center" shrinkToFit="1"/>
    </xf>
    <xf numFmtId="169" fontId="58" fillId="0" borderId="26" xfId="0" applyNumberFormat="1" applyFont="1" applyBorder="1" applyAlignment="1">
      <alignment horizontal="center" vertical="center" shrinkToFit="1" readingOrder="2"/>
    </xf>
    <xf numFmtId="170" fontId="52" fillId="0" borderId="26" xfId="0" applyNumberFormat="1" applyFont="1" applyBorder="1" applyAlignment="1">
      <alignment horizontal="center" vertical="center" shrinkToFit="1"/>
    </xf>
    <xf numFmtId="169" fontId="52" fillId="0" borderId="26" xfId="0" applyNumberFormat="1" applyFont="1" applyBorder="1" applyAlignment="1">
      <alignment horizontal="center" vertical="center" shrinkToFit="1"/>
    </xf>
    <xf numFmtId="169" fontId="59" fillId="0" borderId="26" xfId="90" applyNumberFormat="1" applyFont="1" applyBorder="1" applyAlignment="1">
      <alignment horizontal="center" vertical="center" shrinkToFit="1"/>
    </xf>
    <xf numFmtId="169" fontId="54" fillId="0" borderId="26" xfId="0" applyNumberFormat="1" applyFont="1" applyBorder="1" applyAlignment="1">
      <alignment vertical="center" shrinkToFit="1"/>
    </xf>
    <xf numFmtId="169" fontId="52" fillId="0" borderId="26" xfId="1" applyNumberFormat="1" applyFont="1" applyFill="1" applyBorder="1" applyAlignment="1">
      <alignment horizontal="center" vertical="center" shrinkToFit="1"/>
    </xf>
    <xf numFmtId="169" fontId="52" fillId="0" borderId="26" xfId="90" applyNumberFormat="1" applyFont="1" applyBorder="1" applyAlignment="1">
      <alignment horizontal="center" vertical="center" shrinkToFit="1"/>
    </xf>
    <xf numFmtId="169" fontId="59" fillId="0" borderId="26" xfId="0" applyNumberFormat="1" applyFont="1" applyBorder="1" applyAlignment="1">
      <alignment horizontal="center" vertical="center" shrinkToFit="1" readingOrder="2"/>
    </xf>
    <xf numFmtId="169" fontId="52" fillId="0" borderId="26" xfId="0" applyNumberFormat="1" applyFont="1" applyBorder="1" applyAlignment="1">
      <alignment horizontal="center" vertical="center" shrinkToFit="1" readingOrder="2"/>
    </xf>
    <xf numFmtId="170" fontId="55" fillId="0" borderId="26" xfId="0" applyNumberFormat="1" applyFont="1" applyBorder="1" applyAlignment="1">
      <alignment horizontal="center" vertical="center" shrinkToFit="1"/>
    </xf>
    <xf numFmtId="170" fontId="52" fillId="0" borderId="26" xfId="90" applyNumberFormat="1" applyFont="1" applyBorder="1" applyAlignment="1">
      <alignment horizontal="center" vertical="center" shrinkToFit="1"/>
    </xf>
    <xf numFmtId="169" fontId="52" fillId="0" borderId="21" xfId="0" applyNumberFormat="1" applyFont="1" applyBorder="1" applyAlignment="1">
      <alignment horizontal="center" vertical="center" shrinkToFit="1"/>
    </xf>
    <xf numFmtId="169" fontId="59" fillId="0" borderId="21" xfId="0" applyNumberFormat="1" applyFont="1" applyBorder="1" applyAlignment="1">
      <alignment horizontal="center" vertical="center" shrinkToFit="1"/>
    </xf>
    <xf numFmtId="169" fontId="59" fillId="0" borderId="11" xfId="0" applyNumberFormat="1" applyFont="1" applyBorder="1" applyAlignment="1">
      <alignment horizontal="center" vertical="center" shrinkToFit="1"/>
    </xf>
    <xf numFmtId="169" fontId="52" fillId="0" borderId="70" xfId="0" applyNumberFormat="1" applyFont="1" applyBorder="1" applyAlignment="1">
      <alignment horizontal="center" vertical="center" shrinkToFit="1"/>
    </xf>
    <xf numFmtId="169" fontId="96" fillId="0" borderId="70" xfId="0" applyNumberFormat="1" applyFont="1" applyBorder="1" applyAlignment="1">
      <alignment vertical="center" shrinkToFit="1"/>
    </xf>
    <xf numFmtId="169" fontId="52" fillId="0" borderId="70" xfId="1" applyNumberFormat="1" applyFont="1" applyFill="1" applyBorder="1" applyAlignment="1">
      <alignment horizontal="center" vertical="center" shrinkToFit="1"/>
    </xf>
    <xf numFmtId="169" fontId="52" fillId="0" borderId="70" xfId="90" applyNumberFormat="1" applyFont="1" applyBorder="1" applyAlignment="1">
      <alignment horizontal="center" vertical="center" shrinkToFit="1"/>
    </xf>
    <xf numFmtId="169" fontId="96" fillId="0" borderId="70" xfId="90" applyNumberFormat="1" applyFont="1" applyBorder="1" applyAlignment="1">
      <alignment horizontal="center" vertical="center" shrinkToFit="1"/>
    </xf>
    <xf numFmtId="169" fontId="49" fillId="0" borderId="0" xfId="0" applyNumberFormat="1" applyFont="1" applyAlignment="1">
      <alignment horizontal="center" vertical="center" shrinkToFit="1"/>
    </xf>
    <xf numFmtId="169" fontId="51" fillId="0" borderId="0" xfId="0" applyNumberFormat="1" applyFont="1" applyAlignment="1">
      <alignment vertical="center" shrinkToFit="1"/>
    </xf>
    <xf numFmtId="169" fontId="114" fillId="0" borderId="0" xfId="0" applyNumberFormat="1" applyFont="1" applyAlignment="1">
      <alignment vertical="center" shrinkToFit="1"/>
    </xf>
    <xf numFmtId="0" fontId="51" fillId="0" borderId="0" xfId="95" applyFont="1" applyAlignment="1">
      <alignment horizontal="right" vertical="center" readingOrder="2"/>
    </xf>
    <xf numFmtId="169" fontId="48" fillId="0" borderId="0" xfId="0" applyNumberFormat="1" applyFont="1" applyAlignment="1">
      <alignment horizontal="center" shrinkToFit="1"/>
    </xf>
    <xf numFmtId="169" fontId="49" fillId="0" borderId="0" xfId="0" applyNumberFormat="1" applyFont="1" applyAlignment="1">
      <alignment horizontal="center" shrinkToFit="1" readingOrder="2"/>
    </xf>
    <xf numFmtId="49" fontId="50" fillId="0" borderId="0" xfId="90" applyNumberFormat="1" applyFont="1" applyAlignment="1">
      <alignment horizontal="center" wrapText="1"/>
    </xf>
    <xf numFmtId="169" fontId="50" fillId="0" borderId="0" xfId="0" applyNumberFormat="1" applyFont="1"/>
    <xf numFmtId="169" fontId="114" fillId="0" borderId="0" xfId="0" applyNumberFormat="1" applyFont="1"/>
    <xf numFmtId="169" fontId="54" fillId="0" borderId="0" xfId="0" applyNumberFormat="1" applyFont="1"/>
    <xf numFmtId="169" fontId="88" fillId="0" borderId="0" xfId="0" applyNumberFormat="1" applyFont="1"/>
    <xf numFmtId="0" fontId="37" fillId="0" borderId="15" xfId="98" applyFont="1" applyBorder="1" applyAlignment="1">
      <alignment horizontal="right" vertical="center" wrapText="1" shrinkToFit="1"/>
    </xf>
    <xf numFmtId="169" fontId="38" fillId="0" borderId="15" xfId="70" applyNumberFormat="1" applyFont="1" applyBorder="1" applyAlignment="1">
      <alignment horizontal="center" shrinkToFit="1"/>
    </xf>
    <xf numFmtId="49" fontId="37" fillId="0" borderId="29" xfId="0" applyNumberFormat="1" applyFont="1" applyBorder="1" applyAlignment="1">
      <alignment horizontal="center" vertical="center" shrinkToFit="1"/>
    </xf>
    <xf numFmtId="0" fontId="37" fillId="0" borderId="15" xfId="0" applyFont="1" applyBorder="1" applyAlignment="1">
      <alignment horizontal="center" vertical="center" shrinkToFit="1"/>
    </xf>
    <xf numFmtId="0" fontId="37" fillId="4" borderId="15" xfId="74" applyFont="1" applyFill="1" applyBorder="1" applyAlignment="1">
      <alignment horizontal="right" vertical="center" shrinkToFit="1"/>
    </xf>
    <xf numFmtId="170" fontId="37" fillId="0" borderId="26" xfId="37" applyNumberFormat="1" applyFont="1" applyFill="1" applyBorder="1" applyAlignment="1">
      <alignment horizontal="center" vertical="center" shrinkToFit="1"/>
    </xf>
    <xf numFmtId="169" fontId="37" fillId="0" borderId="14" xfId="10" applyNumberFormat="1" applyFont="1" applyFill="1" applyBorder="1" applyAlignment="1">
      <alignment horizontal="center" vertical="center" shrinkToFit="1" readingOrder="2"/>
    </xf>
    <xf numFmtId="169" fontId="37" fillId="0" borderId="17" xfId="10" applyNumberFormat="1" applyFont="1" applyFill="1" applyBorder="1" applyAlignment="1">
      <alignment horizontal="center" vertical="center" shrinkToFit="1" readingOrder="2"/>
    </xf>
    <xf numFmtId="170" fontId="37" fillId="0" borderId="27" xfId="10" applyNumberFormat="1" applyFont="1" applyFill="1" applyBorder="1" applyAlignment="1">
      <alignment horizontal="center" vertical="center" shrinkToFit="1" readingOrder="2"/>
    </xf>
    <xf numFmtId="169" fontId="37" fillId="0" borderId="0" xfId="70" applyNumberFormat="1" applyFont="1" applyBorder="1" applyAlignment="1">
      <alignment vertical="center"/>
    </xf>
    <xf numFmtId="171" fontId="37" fillId="0" borderId="0" xfId="1" applyNumberFormat="1" applyFont="1" applyFill="1" applyAlignment="1">
      <alignment vertical="center"/>
    </xf>
    <xf numFmtId="169" fontId="41" fillId="0" borderId="0" xfId="70" applyNumberFormat="1" applyFont="1" applyAlignment="1">
      <alignment vertical="center"/>
    </xf>
    <xf numFmtId="169" fontId="53" fillId="0" borderId="0" xfId="70" applyNumberFormat="1" applyFont="1" applyAlignment="1">
      <alignment vertical="center" readingOrder="2"/>
    </xf>
    <xf numFmtId="169" fontId="53" fillId="0" borderId="0" xfId="70" applyNumberFormat="1" applyFont="1" applyAlignment="1">
      <alignment horizontal="right" vertical="center" readingOrder="2"/>
    </xf>
    <xf numFmtId="169" fontId="41" fillId="0" borderId="0" xfId="70" applyNumberFormat="1" applyFont="1" applyBorder="1" applyAlignment="1">
      <alignment vertical="center"/>
    </xf>
    <xf numFmtId="171" fontId="41" fillId="0" borderId="0" xfId="1" applyNumberFormat="1" applyFont="1" applyFill="1" applyAlignment="1">
      <alignment vertical="center"/>
    </xf>
    <xf numFmtId="169" fontId="41" fillId="0" borderId="0" xfId="70" applyNumberFormat="1" applyFont="1" applyAlignment="1">
      <alignment horizontal="right" vertical="center" readingOrder="2"/>
    </xf>
    <xf numFmtId="169" fontId="41" fillId="0" borderId="28" xfId="70" applyNumberFormat="1" applyFont="1" applyBorder="1" applyAlignment="1">
      <alignment vertical="center" shrinkToFit="1" readingOrder="2"/>
    </xf>
    <xf numFmtId="169" fontId="53" fillId="0" borderId="0" xfId="70" applyNumberFormat="1" applyFont="1" applyAlignment="1">
      <alignment horizontal="right" vertical="center" shrinkToFit="1" readingOrder="2"/>
    </xf>
    <xf numFmtId="169" fontId="41" fillId="0" borderId="28" xfId="70" applyNumberFormat="1" applyFont="1" applyBorder="1" applyAlignment="1">
      <alignment vertical="center" shrinkToFit="1"/>
    </xf>
    <xf numFmtId="49" fontId="41" fillId="0" borderId="0" xfId="70" applyNumberFormat="1" applyFont="1" applyAlignment="1">
      <alignment horizontal="center" vertical="center" shrinkToFit="1" readingOrder="2"/>
    </xf>
    <xf numFmtId="169" fontId="41" fillId="0" borderId="33" xfId="70" applyNumberFormat="1" applyFont="1" applyBorder="1" applyAlignment="1">
      <alignment horizontal="center" vertical="center" shrinkToFit="1" readingOrder="2"/>
    </xf>
    <xf numFmtId="169" fontId="39" fillId="0" borderId="0" xfId="70" applyNumberFormat="1" applyFont="1" applyAlignment="1">
      <alignment vertical="center" wrapText="1" readingOrder="2"/>
    </xf>
    <xf numFmtId="169" fontId="41" fillId="0" borderId="15" xfId="70" applyNumberFormat="1" applyFont="1" applyBorder="1" applyAlignment="1">
      <alignment horizontal="center" vertical="center" readingOrder="2"/>
    </xf>
    <xf numFmtId="169" fontId="46" fillId="0" borderId="15" xfId="70" applyNumberFormat="1" applyFont="1" applyBorder="1" applyAlignment="1">
      <alignment horizontal="center" vertical="center" wrapText="1"/>
    </xf>
    <xf numFmtId="169" fontId="46" fillId="0" borderId="15" xfId="70" applyNumberFormat="1" applyFont="1" applyBorder="1" applyAlignment="1">
      <alignment horizontal="center" vertical="center"/>
    </xf>
    <xf numFmtId="169" fontId="41" fillId="0" borderId="15" xfId="70" applyNumberFormat="1" applyFont="1" applyBorder="1" applyAlignment="1">
      <alignment horizontal="center" vertical="center" shrinkToFit="1" readingOrder="2"/>
    </xf>
    <xf numFmtId="169" fontId="39" fillId="0" borderId="29" xfId="0" applyNumberFormat="1" applyFont="1" applyBorder="1" applyAlignment="1">
      <alignment horizontal="center" vertical="center" shrinkToFit="1"/>
    </xf>
    <xf numFmtId="169" fontId="33" fillId="0" borderId="15" xfId="0" applyNumberFormat="1" applyFont="1" applyBorder="1" applyAlignment="1">
      <alignment horizontal="center" vertical="center" shrinkToFit="1"/>
    </xf>
    <xf numFmtId="169" fontId="41" fillId="0" borderId="15" xfId="70" applyNumberFormat="1" applyFont="1" applyBorder="1" applyAlignment="1">
      <alignment vertical="center" shrinkToFit="1"/>
    </xf>
    <xf numFmtId="169" fontId="33" fillId="0" borderId="29" xfId="0" applyNumberFormat="1" applyFont="1" applyBorder="1" applyAlignment="1">
      <alignment horizontal="center" vertical="center" shrinkToFit="1"/>
    </xf>
    <xf numFmtId="169" fontId="41" fillId="0" borderId="15" xfId="70" applyNumberFormat="1" applyFont="1" applyBorder="1" applyAlignment="1">
      <alignment horizontal="right" vertical="center" shrinkToFit="1" readingOrder="2"/>
    </xf>
    <xf numFmtId="49" fontId="37" fillId="0" borderId="15" xfId="0" applyNumberFormat="1" applyFont="1" applyBorder="1" applyAlignment="1">
      <alignment vertical="center" shrinkToFit="1"/>
    </xf>
    <xf numFmtId="49" fontId="39" fillId="0" borderId="15" xfId="34" applyNumberFormat="1" applyFont="1" applyFill="1" applyBorder="1" applyAlignment="1">
      <alignment horizontal="center" vertical="center" shrinkToFit="1"/>
    </xf>
    <xf numFmtId="169" fontId="24" fillId="0" borderId="75" xfId="70" applyNumberFormat="1" applyFont="1" applyBorder="1" applyAlignment="1">
      <alignment vertical="center" wrapText="1" readingOrder="2"/>
    </xf>
    <xf numFmtId="169" fontId="38" fillId="0" borderId="0" xfId="0" applyNumberFormat="1" applyFont="1" applyAlignment="1">
      <alignment horizontal="center" vertical="center"/>
    </xf>
    <xf numFmtId="169" fontId="42" fillId="0" borderId="0" xfId="0" applyNumberFormat="1" applyFont="1" applyAlignment="1">
      <alignment horizontal="center" vertical="center"/>
    </xf>
    <xf numFmtId="169" fontId="44" fillId="0" borderId="30" xfId="0" applyNumberFormat="1" applyFont="1" applyBorder="1" applyAlignment="1">
      <alignment vertical="center" shrinkToFit="1" readingOrder="2"/>
    </xf>
    <xf numFmtId="169" fontId="44" fillId="0" borderId="42" xfId="0" applyNumberFormat="1" applyFont="1" applyBorder="1" applyAlignment="1">
      <alignment vertical="center" shrinkToFit="1" readingOrder="2"/>
    </xf>
    <xf numFmtId="0" fontId="94" fillId="0" borderId="15" xfId="0" applyFont="1" applyBorder="1" applyAlignment="1">
      <alignment horizontal="center" vertical="center" wrapText="1" readingOrder="2"/>
    </xf>
    <xf numFmtId="3" fontId="94" fillId="0" borderId="15" xfId="0" applyNumberFormat="1" applyFont="1" applyBorder="1" applyAlignment="1">
      <alignment horizontal="center" vertical="center" wrapText="1" readingOrder="2"/>
    </xf>
    <xf numFmtId="169" fontId="37" fillId="0" borderId="29" xfId="0" applyNumberFormat="1" applyFont="1" applyBorder="1" applyAlignment="1">
      <alignment horizontal="right" vertical="center" shrinkToFit="1"/>
    </xf>
    <xf numFmtId="169" fontId="33" fillId="0" borderId="29" xfId="0" applyNumberFormat="1" applyFont="1" applyBorder="1" applyAlignment="1">
      <alignment horizontal="center" vertical="center"/>
    </xf>
    <xf numFmtId="169" fontId="33" fillId="0" borderId="15" xfId="0" applyNumberFormat="1" applyFont="1" applyBorder="1" applyAlignment="1">
      <alignment horizontal="center" vertical="center"/>
    </xf>
    <xf numFmtId="169" fontId="118" fillId="0" borderId="15" xfId="0" applyNumberFormat="1" applyFont="1" applyBorder="1" applyAlignment="1">
      <alignment horizontal="center" vertical="center" shrinkToFit="1"/>
    </xf>
    <xf numFmtId="169" fontId="42" fillId="0" borderId="15" xfId="0" applyNumberFormat="1" applyFont="1" applyBorder="1" applyAlignment="1">
      <alignment horizontal="center" vertical="center"/>
    </xf>
    <xf numFmtId="170" fontId="110" fillId="0" borderId="15" xfId="154" applyNumberFormat="1" applyFont="1" applyFill="1" applyBorder="1"/>
    <xf numFmtId="170" fontId="33" fillId="0" borderId="15" xfId="0" applyNumberFormat="1" applyFont="1" applyBorder="1" applyAlignment="1">
      <alignment horizontal="center" vertical="center" shrinkToFit="1"/>
    </xf>
    <xf numFmtId="170" fontId="110" fillId="0" borderId="29" xfId="154" applyNumberFormat="1" applyFont="1" applyFill="1" applyBorder="1"/>
    <xf numFmtId="170" fontId="39" fillId="0" borderId="29" xfId="0" applyNumberFormat="1" applyFont="1" applyBorder="1" applyAlignment="1">
      <alignment horizontal="center" vertical="center" shrinkToFit="1"/>
    </xf>
    <xf numFmtId="170" fontId="42" fillId="0" borderId="0" xfId="0" applyNumberFormat="1" applyFont="1" applyAlignment="1">
      <alignment horizontal="center" vertical="center"/>
    </xf>
    <xf numFmtId="0" fontId="37" fillId="0" borderId="29" xfId="98" applyFont="1" applyBorder="1" applyAlignment="1">
      <alignment horizontal="right" vertical="center" shrinkToFit="1"/>
    </xf>
    <xf numFmtId="170" fontId="33" fillId="0" borderId="29" xfId="0" applyNumberFormat="1" applyFont="1" applyBorder="1" applyAlignment="1">
      <alignment horizontal="center" vertical="center" shrinkToFit="1"/>
    </xf>
    <xf numFmtId="0" fontId="38" fillId="0" borderId="15" xfId="0" applyFont="1" applyBorder="1" applyAlignment="1">
      <alignment vertical="center" shrinkToFit="1"/>
    </xf>
    <xf numFmtId="169" fontId="33" fillId="0" borderId="26" xfId="0" applyNumberFormat="1" applyFont="1" applyBorder="1" applyAlignment="1">
      <alignment horizontal="center" vertical="center" shrinkToFit="1"/>
    </xf>
    <xf numFmtId="170" fontId="38" fillId="0" borderId="15" xfId="0" applyNumberFormat="1" applyFont="1" applyBorder="1" applyAlignment="1">
      <alignment vertical="center" shrinkToFit="1"/>
    </xf>
    <xf numFmtId="49" fontId="37" fillId="0" borderId="32" xfId="0" applyNumberFormat="1" applyFont="1" applyBorder="1" applyAlignment="1">
      <alignment horizontal="center" vertical="center" shrinkToFit="1"/>
    </xf>
    <xf numFmtId="169" fontId="42" fillId="0" borderId="32" xfId="0" applyNumberFormat="1" applyFont="1" applyBorder="1" applyAlignment="1">
      <alignment horizontal="center" vertical="center"/>
    </xf>
    <xf numFmtId="169" fontId="33" fillId="0" borderId="32" xfId="0" applyNumberFormat="1" applyFont="1" applyBorder="1" applyAlignment="1">
      <alignment horizontal="center" vertical="center" shrinkToFit="1"/>
    </xf>
    <xf numFmtId="169" fontId="42" fillId="0" borderId="25" xfId="0" applyNumberFormat="1" applyFont="1" applyBorder="1" applyAlignment="1">
      <alignment horizontal="center" vertical="center"/>
    </xf>
    <xf numFmtId="49" fontId="33" fillId="0" borderId="0" xfId="0" applyNumberFormat="1" applyFont="1" applyAlignment="1">
      <alignment vertical="center"/>
    </xf>
    <xf numFmtId="169" fontId="33" fillId="0" borderId="0" xfId="0" applyNumberFormat="1" applyFont="1" applyAlignment="1">
      <alignment horizontal="right" vertical="center"/>
    </xf>
    <xf numFmtId="170" fontId="110" fillId="5" borderId="15" xfId="154" applyNumberFormat="1" applyFont="1" applyFill="1" applyBorder="1"/>
    <xf numFmtId="174" fontId="37" fillId="0" borderId="15" xfId="0" applyNumberFormat="1" applyFont="1" applyBorder="1" applyAlignment="1">
      <alignment horizontal="center" vertical="center"/>
    </xf>
    <xf numFmtId="174" fontId="37" fillId="0" borderId="15" xfId="0" applyNumberFormat="1" applyFont="1" applyBorder="1" applyAlignment="1">
      <alignment horizontal="center" vertical="center" wrapText="1"/>
    </xf>
    <xf numFmtId="174" fontId="42" fillId="0" borderId="15" xfId="0" applyNumberFormat="1" applyFont="1" applyBorder="1" applyAlignment="1">
      <alignment horizontal="center" vertical="center"/>
    </xf>
    <xf numFmtId="170" fontId="33" fillId="0" borderId="15" xfId="1" applyNumberFormat="1" applyFont="1" applyBorder="1" applyAlignment="1">
      <alignment horizontal="center" vertical="center"/>
    </xf>
    <xf numFmtId="170" fontId="42" fillId="0" borderId="15" xfId="1" applyNumberFormat="1" applyFont="1" applyBorder="1" applyAlignment="1">
      <alignment horizontal="center" vertical="center"/>
    </xf>
    <xf numFmtId="170" fontId="39" fillId="0" borderId="15" xfId="70" applyNumberFormat="1" applyFont="1" applyBorder="1" applyAlignment="1">
      <alignment horizontal="center" vertical="center" shrinkToFit="1" readingOrder="2"/>
    </xf>
    <xf numFmtId="49" fontId="37" fillId="0" borderId="15" xfId="122" applyNumberFormat="1" applyFont="1" applyBorder="1" applyAlignment="1">
      <alignment horizontal="center" vertical="center" shrinkToFit="1"/>
    </xf>
    <xf numFmtId="174" fontId="23" fillId="0" borderId="15" xfId="0" applyNumberFormat="1" applyFont="1" applyBorder="1" applyAlignment="1">
      <alignment horizontal="center" vertical="center" shrinkToFit="1" readingOrder="2"/>
    </xf>
    <xf numFmtId="174" fontId="24" fillId="0" borderId="15" xfId="0" applyNumberFormat="1" applyFont="1" applyBorder="1" applyAlignment="1">
      <alignment horizontal="center" vertical="center" shrinkToFit="1" readingOrder="2"/>
    </xf>
    <xf numFmtId="169" fontId="42" fillId="0" borderId="15" xfId="70" applyNumberFormat="1" applyFont="1" applyBorder="1" applyAlignment="1">
      <alignment horizontal="center" vertical="center" shrinkToFit="1" readingOrder="2"/>
    </xf>
    <xf numFmtId="49" fontId="37" fillId="0" borderId="15" xfId="124" applyNumberFormat="1" applyFont="1" applyBorder="1" applyAlignment="1">
      <alignment horizontal="center" vertical="center" shrinkToFit="1"/>
    </xf>
    <xf numFmtId="169" fontId="39" fillId="0" borderId="15" xfId="70" applyNumberFormat="1" applyFont="1" applyBorder="1" applyAlignment="1">
      <alignment horizontal="center" vertical="center" shrinkToFit="1" readingOrder="2"/>
    </xf>
    <xf numFmtId="169" fontId="38" fillId="0" borderId="0" xfId="70" applyNumberFormat="1" applyFont="1" applyAlignment="1">
      <alignment horizontal="center" vertical="center" shrinkToFit="1" readingOrder="2"/>
    </xf>
    <xf numFmtId="169" fontId="39" fillId="0" borderId="34" xfId="70" applyNumberFormat="1" applyFont="1" applyBorder="1" applyAlignment="1">
      <alignment horizontal="center" vertical="center" shrinkToFit="1" readingOrder="2"/>
    </xf>
    <xf numFmtId="169" fontId="37" fillId="0" borderId="34" xfId="122" applyNumberFormat="1" applyFont="1" applyBorder="1" applyAlignment="1">
      <alignment horizontal="center" vertical="center" shrinkToFit="1"/>
    </xf>
    <xf numFmtId="0" fontId="39" fillId="0" borderId="15" xfId="69" applyFont="1" applyBorder="1" applyAlignment="1">
      <alignment vertical="center" shrinkToFit="1"/>
    </xf>
    <xf numFmtId="169" fontId="38" fillId="0" borderId="15" xfId="70" applyNumberFormat="1" applyFont="1" applyBorder="1" applyAlignment="1">
      <alignment shrinkToFit="1"/>
    </xf>
    <xf numFmtId="169" fontId="33" fillId="0" borderId="0" xfId="70" applyNumberFormat="1" applyFont="1" applyBorder="1" applyAlignment="1">
      <alignment shrinkToFit="1"/>
    </xf>
    <xf numFmtId="169" fontId="70" fillId="0" borderId="10" xfId="1" applyNumberFormat="1" applyFont="1" applyFill="1" applyBorder="1" applyAlignment="1">
      <alignment horizontal="center" vertical="center" shrinkToFit="1" readingOrder="2"/>
    </xf>
    <xf numFmtId="169" fontId="70" fillId="0" borderId="15" xfId="1" applyNumberFormat="1" applyFont="1" applyFill="1" applyBorder="1" applyAlignment="1">
      <alignment horizontal="center" vertical="center" shrinkToFit="1" readingOrder="2"/>
    </xf>
    <xf numFmtId="169" fontId="38" fillId="2" borderId="15" xfId="70" applyNumberFormat="1" applyFont="1" applyFill="1" applyBorder="1" applyAlignment="1">
      <alignment horizontal="right" vertical="center" shrinkToFit="1"/>
    </xf>
    <xf numFmtId="169" fontId="33" fillId="0" borderId="15" xfId="70" applyNumberFormat="1" applyFont="1" applyBorder="1" applyAlignment="1">
      <alignment horizontal="center" vertical="center" shrinkToFit="1"/>
    </xf>
    <xf numFmtId="174" fontId="37" fillId="0" borderId="15" xfId="69" applyNumberFormat="1" applyFont="1" applyBorder="1" applyAlignment="1">
      <alignment horizontal="center" vertical="center" shrinkToFit="1"/>
    </xf>
    <xf numFmtId="174" fontId="33" fillId="0" borderId="15" xfId="70" applyNumberFormat="1" applyFont="1" applyBorder="1" applyAlignment="1">
      <alignment horizontal="center" vertical="center" shrinkToFit="1"/>
    </xf>
    <xf numFmtId="174" fontId="39" fillId="0" borderId="15" xfId="70" applyNumberFormat="1" applyFont="1" applyBorder="1" applyAlignment="1">
      <alignment horizontal="center" vertical="center" shrinkToFit="1"/>
    </xf>
    <xf numFmtId="0" fontId="110" fillId="0" borderId="15" xfId="153" applyFont="1" applyBorder="1" applyAlignment="1">
      <alignment shrinkToFit="1"/>
    </xf>
    <xf numFmtId="169" fontId="39" fillId="0" borderId="15" xfId="34" applyNumberFormat="1" applyFont="1" applyFill="1" applyBorder="1" applyAlignment="1">
      <alignment horizontal="center" vertical="center" shrinkToFit="1"/>
    </xf>
    <xf numFmtId="169" fontId="33" fillId="0" borderId="15" xfId="70" applyNumberFormat="1" applyFont="1" applyBorder="1" applyAlignment="1">
      <alignment vertical="center" shrinkToFit="1"/>
    </xf>
    <xf numFmtId="0" fontId="39" fillId="0" borderId="15" xfId="79" applyFont="1" applyBorder="1" applyAlignment="1">
      <alignment horizontal="center" vertical="center" shrinkToFit="1"/>
    </xf>
    <xf numFmtId="169" fontId="39" fillId="0" borderId="15" xfId="34" applyNumberFormat="1" applyFont="1" applyFill="1" applyBorder="1" applyAlignment="1">
      <alignment horizontal="center" shrinkToFit="1"/>
    </xf>
    <xf numFmtId="169" fontId="41" fillId="0" borderId="0" xfId="0" applyNumberFormat="1" applyFont="1" applyAlignment="1">
      <alignment horizontal="center" vertical="center" shrinkToFit="1"/>
    </xf>
    <xf numFmtId="169" fontId="41" fillId="0" borderId="0" xfId="70" applyNumberFormat="1" applyFont="1" applyAlignment="1">
      <alignment horizontal="center" vertical="center" readingOrder="2"/>
    </xf>
    <xf numFmtId="169" fontId="42" fillId="0" borderId="0" xfId="0" applyNumberFormat="1" applyFont="1" applyAlignment="1">
      <alignment horizontal="center" vertical="center" shrinkToFit="1"/>
    </xf>
    <xf numFmtId="169" fontId="40" fillId="0" borderId="0" xfId="0" applyNumberFormat="1" applyFont="1" applyAlignment="1">
      <alignment horizontal="center" vertical="center" shrinkToFit="1"/>
    </xf>
    <xf numFmtId="169" fontId="35" fillId="0" borderId="0" xfId="0" applyNumberFormat="1" applyFont="1" applyAlignment="1">
      <alignment horizontal="center" vertical="center"/>
    </xf>
    <xf numFmtId="170" fontId="37" fillId="0" borderId="0" xfId="0" applyNumberFormat="1" applyFont="1" applyAlignment="1">
      <alignment horizontal="center" vertical="center" shrinkToFit="1"/>
    </xf>
    <xf numFmtId="169" fontId="37" fillId="0" borderId="0" xfId="0" applyNumberFormat="1" applyFont="1" applyAlignment="1">
      <alignment horizontal="center" vertical="center" shrinkToFit="1"/>
    </xf>
    <xf numFmtId="169" fontId="38" fillId="0" borderId="0" xfId="0" applyNumberFormat="1" applyFont="1" applyAlignment="1">
      <alignment horizontal="center" vertical="center" shrinkToFit="1"/>
    </xf>
    <xf numFmtId="169" fontId="37" fillId="0" borderId="0" xfId="0" applyNumberFormat="1" applyFont="1" applyAlignment="1">
      <alignment horizontal="center" shrinkToFit="1"/>
    </xf>
    <xf numFmtId="170" fontId="38" fillId="0" borderId="0" xfId="0" applyNumberFormat="1" applyFont="1" applyAlignment="1">
      <alignment horizontal="center" vertical="center" shrinkToFit="1"/>
    </xf>
    <xf numFmtId="169" fontId="41" fillId="0" borderId="1" xfId="0" applyNumberFormat="1" applyFont="1" applyBorder="1" applyAlignment="1">
      <alignment horizontal="center" vertical="center" shrinkToFit="1"/>
    </xf>
    <xf numFmtId="169" fontId="37" fillId="0" borderId="0" xfId="0" applyNumberFormat="1" applyFont="1" applyAlignment="1">
      <alignment horizontal="right" vertical="center" shrinkToFit="1"/>
    </xf>
    <xf numFmtId="169" fontId="41" fillId="0" borderId="0" xfId="0" applyNumberFormat="1" applyFont="1" applyAlignment="1">
      <alignment horizontal="center"/>
    </xf>
    <xf numFmtId="169" fontId="39" fillId="0" borderId="0" xfId="0" applyNumberFormat="1" applyFont="1" applyAlignment="1">
      <alignment horizontal="center" shrinkToFit="1"/>
    </xf>
    <xf numFmtId="169" fontId="34" fillId="0" borderId="0" xfId="0" applyNumberFormat="1" applyFont="1" applyAlignment="1">
      <alignment horizontal="center"/>
    </xf>
    <xf numFmtId="169" fontId="39" fillId="0" borderId="0" xfId="0" applyNumberFormat="1" applyFont="1" applyAlignment="1">
      <alignment shrinkToFit="1"/>
    </xf>
    <xf numFmtId="169" fontId="38" fillId="0" borderId="0" xfId="0" applyNumberFormat="1" applyFont="1" applyAlignment="1">
      <alignment horizontal="center" shrinkToFit="1"/>
    </xf>
    <xf numFmtId="169" fontId="38" fillId="0" borderId="0" xfId="70" applyNumberFormat="1" applyFont="1" applyAlignment="1">
      <alignment horizontal="right" vertical="center" wrapText="1" readingOrder="2"/>
    </xf>
    <xf numFmtId="169" fontId="38" fillId="0" borderId="0" xfId="70" applyNumberFormat="1" applyFont="1" applyAlignment="1">
      <alignment horizontal="right" vertical="center" wrapText="1"/>
    </xf>
    <xf numFmtId="169" fontId="35" fillId="0" borderId="0" xfId="135" applyNumberFormat="1" applyFont="1" applyAlignment="1">
      <alignment horizontal="right" vertical="center" readingOrder="2"/>
    </xf>
    <xf numFmtId="169" fontId="38" fillId="0" borderId="0" xfId="135" applyNumberFormat="1" applyFont="1" applyAlignment="1">
      <alignment horizontal="right" vertical="center" wrapText="1" readingOrder="2"/>
    </xf>
    <xf numFmtId="169" fontId="38" fillId="0" borderId="0" xfId="135" applyNumberFormat="1" applyFont="1" applyAlignment="1">
      <alignment horizontal="right" vertical="center" wrapText="1" shrinkToFit="1" readingOrder="2"/>
    </xf>
    <xf numFmtId="169" fontId="38" fillId="0" borderId="0" xfId="135" applyNumberFormat="1" applyFont="1" applyAlignment="1">
      <alignment horizontal="right" vertical="center" wrapText="1"/>
    </xf>
    <xf numFmtId="169" fontId="38" fillId="0" borderId="0" xfId="135" applyNumberFormat="1" applyFont="1" applyAlignment="1">
      <alignment horizontal="right" vertical="top" wrapText="1" readingOrder="2"/>
    </xf>
    <xf numFmtId="169" fontId="39" fillId="0" borderId="15" xfId="0" applyNumberFormat="1" applyFont="1" applyBorder="1" applyAlignment="1">
      <alignment horizontal="center" vertical="center" shrinkToFit="1"/>
    </xf>
    <xf numFmtId="0" fontId="37" fillId="0" borderId="16" xfId="98" applyFont="1" applyBorder="1" applyAlignment="1">
      <alignment horizontal="right" vertical="center" shrinkToFit="1"/>
    </xf>
    <xf numFmtId="169" fontId="37" fillId="0" borderId="16" xfId="0" applyNumberFormat="1" applyFont="1" applyBorder="1" applyAlignment="1">
      <alignment horizontal="right" vertical="center" shrinkToFit="1"/>
    </xf>
    <xf numFmtId="169" fontId="39" fillId="0" borderId="0" xfId="0" applyNumberFormat="1" applyFont="1" applyAlignment="1">
      <alignment horizontal="center" vertical="center" shrinkToFit="1"/>
    </xf>
    <xf numFmtId="169" fontId="37" fillId="0" borderId="16" xfId="10" applyNumberFormat="1" applyFont="1" applyFill="1" applyBorder="1" applyAlignment="1">
      <alignment horizontal="center" vertical="center" shrinkToFit="1" readingOrder="2"/>
    </xf>
    <xf numFmtId="169" fontId="37" fillId="0" borderId="27" xfId="10" applyNumberFormat="1" applyFont="1" applyFill="1" applyBorder="1" applyAlignment="1">
      <alignment horizontal="center" vertical="center" shrinkToFit="1" readingOrder="2"/>
    </xf>
    <xf numFmtId="169" fontId="34" fillId="0" borderId="0" xfId="0" applyNumberFormat="1" applyFont="1" applyAlignment="1">
      <alignment horizontal="center" vertical="center"/>
    </xf>
    <xf numFmtId="169" fontId="41" fillId="0" borderId="0" xfId="70" applyNumberFormat="1" applyFont="1" applyAlignment="1">
      <alignment horizontal="center" vertical="center" shrinkToFit="1" readingOrder="2"/>
    </xf>
    <xf numFmtId="169" fontId="38" fillId="0" borderId="0" xfId="70" applyNumberFormat="1" applyFont="1" applyAlignment="1">
      <alignment horizontal="right" vertical="center" shrinkToFit="1" readingOrder="2"/>
    </xf>
    <xf numFmtId="0" fontId="37" fillId="0" borderId="15" xfId="98" applyFont="1" applyBorder="1" applyAlignment="1">
      <alignment vertical="center" wrapText="1" shrinkToFit="1"/>
    </xf>
    <xf numFmtId="49" fontId="37" fillId="0" borderId="15" xfId="1" applyNumberFormat="1" applyFont="1" applyFill="1" applyBorder="1" applyAlignment="1">
      <alignment horizontal="center" vertical="center" shrinkToFit="1"/>
    </xf>
    <xf numFmtId="169" fontId="42" fillId="0" borderId="0" xfId="70" applyNumberFormat="1" applyFont="1" applyAlignment="1">
      <alignment horizontal="center" vertical="center" shrinkToFit="1" readingOrder="2"/>
    </xf>
    <xf numFmtId="169" fontId="42" fillId="0" borderId="0" xfId="70" applyNumberFormat="1" applyFont="1" applyBorder="1" applyAlignment="1">
      <alignment horizontal="center" vertical="center" shrinkToFit="1" readingOrder="2"/>
    </xf>
    <xf numFmtId="49" fontId="42" fillId="0" borderId="0" xfId="70" applyNumberFormat="1" applyFont="1" applyAlignment="1">
      <alignment horizontal="center" vertical="center" shrinkToFit="1" readingOrder="2"/>
    </xf>
    <xf numFmtId="169" fontId="37" fillId="0" borderId="0" xfId="70" applyNumberFormat="1" applyFont="1" applyAlignment="1">
      <alignment horizontal="right" vertical="center" shrinkToFit="1" readingOrder="2"/>
    </xf>
    <xf numFmtId="169" fontId="41" fillId="0" borderId="0" xfId="70" applyNumberFormat="1" applyFont="1" applyAlignment="1">
      <alignment horizontal="right" vertical="center" shrinkToFit="1" readingOrder="2"/>
    </xf>
    <xf numFmtId="0" fontId="42" fillId="0" borderId="0" xfId="0" applyFont="1" applyAlignment="1">
      <alignment horizontal="center" vertical="center"/>
    </xf>
    <xf numFmtId="0" fontId="42" fillId="0" borderId="0" xfId="0" applyFont="1" applyAlignment="1">
      <alignment horizontal="center"/>
    </xf>
    <xf numFmtId="169" fontId="41" fillId="0" borderId="0" xfId="70" applyNumberFormat="1" applyFont="1" applyAlignment="1">
      <alignment horizontal="center" shrinkToFit="1" readingOrder="2"/>
    </xf>
    <xf numFmtId="169" fontId="37" fillId="0" borderId="0" xfId="70" applyNumberFormat="1" applyFont="1" applyAlignment="1">
      <alignment horizontal="right" vertical="center" wrapText="1" readingOrder="2"/>
    </xf>
    <xf numFmtId="169" fontId="44" fillId="0" borderId="15" xfId="0" applyNumberFormat="1" applyFont="1" applyBorder="1" applyAlignment="1">
      <alignment horizontal="center" vertical="center" wrapText="1" shrinkToFit="1"/>
    </xf>
    <xf numFmtId="169" fontId="44" fillId="0" borderId="15" xfId="0" applyNumberFormat="1" applyFont="1" applyBorder="1" applyAlignment="1">
      <alignment horizontal="center" vertical="center" shrinkToFit="1"/>
    </xf>
    <xf numFmtId="0" fontId="70" fillId="0" borderId="0" xfId="0" applyFont="1" applyAlignment="1">
      <alignment horizontal="right" vertical="center" wrapText="1" readingOrder="2"/>
    </xf>
    <xf numFmtId="169" fontId="42" fillId="0" borderId="0" xfId="0" applyNumberFormat="1" applyFont="1" applyAlignment="1">
      <alignment horizontal="right" vertical="center" readingOrder="2"/>
    </xf>
    <xf numFmtId="169" fontId="38" fillId="0" borderId="70" xfId="0" applyNumberFormat="1" applyFont="1" applyBorder="1" applyAlignment="1">
      <alignment horizontal="center" vertical="center" shrinkToFit="1"/>
    </xf>
    <xf numFmtId="0" fontId="23" fillId="3" borderId="0" xfId="0" applyFont="1" applyFill="1" applyAlignment="1">
      <alignment horizontal="right" vertical="center" wrapText="1" readingOrder="2"/>
    </xf>
    <xf numFmtId="0" fontId="37" fillId="0" borderId="15" xfId="0" applyFont="1" applyBorder="1" applyAlignment="1">
      <alignment horizontal="center" vertical="center"/>
    </xf>
    <xf numFmtId="1" fontId="33" fillId="0" borderId="15" xfId="0" applyNumberFormat="1" applyFont="1" applyBorder="1" applyAlignment="1">
      <alignment horizontal="center" vertical="center"/>
    </xf>
    <xf numFmtId="169" fontId="34" fillId="0" borderId="15" xfId="70" applyNumberFormat="1" applyFont="1" applyBorder="1" applyAlignment="1">
      <alignment horizontal="center" vertical="center" shrinkToFit="1" readingOrder="2"/>
    </xf>
    <xf numFmtId="169" fontId="35" fillId="0" borderId="0" xfId="70" applyNumberFormat="1" applyFont="1" applyAlignment="1">
      <alignment horizontal="right" vertical="center" readingOrder="2"/>
    </xf>
    <xf numFmtId="169" fontId="51" fillId="0" borderId="4" xfId="90" applyNumberFormat="1" applyFont="1" applyBorder="1" applyAlignment="1">
      <alignment horizontal="center" vertical="center" wrapText="1"/>
    </xf>
    <xf numFmtId="169" fontId="59" fillId="0" borderId="4" xfId="90" applyNumberFormat="1" applyFont="1" applyBorder="1" applyAlignment="1">
      <alignment horizontal="center" vertical="center" wrapText="1"/>
    </xf>
    <xf numFmtId="171" fontId="39" fillId="0" borderId="0" xfId="1" applyNumberFormat="1" applyFont="1" applyFill="1" applyAlignment="1">
      <alignment horizontal="center" vertical="center" shrinkToFit="1"/>
    </xf>
    <xf numFmtId="174" fontId="41" fillId="2" borderId="26" xfId="70" applyNumberFormat="1" applyFont="1" applyFill="1" applyBorder="1" applyAlignment="1">
      <alignment horizontal="center" vertical="center" shrinkToFit="1" readingOrder="2"/>
    </xf>
    <xf numFmtId="169" fontId="44" fillId="0" borderId="0" xfId="70" applyNumberFormat="1" applyFont="1" applyAlignment="1">
      <alignment horizontal="center" shrinkToFit="1"/>
    </xf>
    <xf numFmtId="0" fontId="44" fillId="0" borderId="15" xfId="0" applyFont="1" applyBorder="1" applyAlignment="1">
      <alignment horizontal="center" vertical="center" wrapText="1"/>
    </xf>
    <xf numFmtId="169" fontId="41" fillId="0" borderId="28" xfId="70" applyNumberFormat="1" applyFont="1" applyBorder="1" applyAlignment="1">
      <alignment horizontal="center" vertical="center" shrinkToFit="1" readingOrder="2"/>
    </xf>
    <xf numFmtId="169" fontId="34" fillId="0" borderId="0" xfId="70" applyNumberFormat="1" applyFont="1" applyAlignment="1">
      <alignment horizontal="right" vertical="center" wrapText="1" readingOrder="2"/>
    </xf>
    <xf numFmtId="169" fontId="39" fillId="0" borderId="15" xfId="70" applyNumberFormat="1" applyFont="1" applyBorder="1" applyAlignment="1">
      <alignment horizontal="center" vertical="center" wrapText="1" readingOrder="2"/>
    </xf>
    <xf numFmtId="3" fontId="42" fillId="0" borderId="0" xfId="70" applyNumberFormat="1" applyFont="1" applyAlignment="1">
      <alignment horizontal="center" vertical="center"/>
    </xf>
    <xf numFmtId="0" fontId="110" fillId="0" borderId="0" xfId="77" quotePrefix="1" applyFont="1"/>
    <xf numFmtId="0" fontId="110" fillId="0" borderId="0" xfId="77" applyFont="1"/>
    <xf numFmtId="170" fontId="110" fillId="0" borderId="0" xfId="77" quotePrefix="1" applyNumberFormat="1" applyFont="1" applyAlignment="1">
      <alignment shrinkToFit="1"/>
    </xf>
    <xf numFmtId="170" fontId="39" fillId="0" borderId="0" xfId="1" applyNumberFormat="1" applyFont="1" applyAlignment="1">
      <alignment shrinkToFit="1"/>
    </xf>
    <xf numFmtId="169" fontId="110" fillId="0" borderId="0" xfId="77" quotePrefix="1" applyNumberFormat="1" applyFont="1"/>
    <xf numFmtId="170" fontId="110" fillId="0" borderId="0" xfId="141" quotePrefix="1" applyNumberFormat="1" applyFont="1" applyAlignment="1">
      <alignment shrinkToFit="1"/>
    </xf>
    <xf numFmtId="170" fontId="110" fillId="0" borderId="0" xfId="141" applyNumberFormat="1" applyFont="1" applyAlignment="1">
      <alignment shrinkToFit="1"/>
    </xf>
    <xf numFmtId="170" fontId="110" fillId="0" borderId="0" xfId="142" applyNumberFormat="1" applyFont="1" applyAlignment="1">
      <alignment shrinkToFit="1"/>
    </xf>
    <xf numFmtId="170" fontId="110" fillId="0" borderId="0" xfId="77" quotePrefix="1" applyNumberFormat="1" applyFont="1"/>
    <xf numFmtId="0" fontId="110" fillId="0" borderId="15" xfId="77" applyFont="1" applyBorder="1" applyAlignment="1">
      <alignment shrinkToFit="1"/>
    </xf>
    <xf numFmtId="171" fontId="33" fillId="0" borderId="0" xfId="0" applyNumberFormat="1" applyFont="1"/>
    <xf numFmtId="3" fontId="33" fillId="0" borderId="0" xfId="0" applyNumberFormat="1" applyFont="1"/>
    <xf numFmtId="0" fontId="44" fillId="4" borderId="15" xfId="74" applyFont="1" applyFill="1" applyBorder="1" applyAlignment="1">
      <alignment horizontal="right" vertical="center" shrinkToFit="1"/>
    </xf>
    <xf numFmtId="170" fontId="44" fillId="4" borderId="5" xfId="74" applyNumberFormat="1" applyFont="1" applyFill="1" applyBorder="1" applyAlignment="1">
      <alignment horizontal="center" vertical="center" shrinkToFit="1"/>
    </xf>
    <xf numFmtId="0" fontId="46" fillId="4" borderId="15" xfId="74" applyFont="1" applyFill="1" applyBorder="1" applyAlignment="1">
      <alignment horizontal="right" vertical="center" shrinkToFit="1"/>
    </xf>
    <xf numFmtId="0" fontId="44" fillId="4" borderId="14" xfId="74" applyFont="1" applyFill="1" applyBorder="1" applyAlignment="1">
      <alignment horizontal="right" vertical="center" shrinkToFit="1"/>
    </xf>
    <xf numFmtId="0" fontId="44" fillId="4" borderId="6" xfId="74" applyFont="1" applyFill="1" applyBorder="1" applyAlignment="1">
      <alignment horizontal="right" vertical="center" shrinkToFit="1"/>
    </xf>
    <xf numFmtId="0" fontId="44" fillId="4" borderId="27" xfId="74" applyFont="1" applyFill="1" applyBorder="1" applyAlignment="1">
      <alignment horizontal="right" vertical="center" shrinkToFit="1"/>
    </xf>
    <xf numFmtId="170" fontId="33" fillId="4" borderId="15" xfId="74" applyNumberFormat="1" applyFont="1" applyFill="1" applyBorder="1" applyAlignment="1">
      <alignment horizontal="center" vertical="center" shrinkToFit="1"/>
    </xf>
    <xf numFmtId="170" fontId="33" fillId="4" borderId="4" xfId="74" applyNumberFormat="1" applyFont="1" applyFill="1" applyBorder="1" applyAlignment="1">
      <alignment horizontal="center" vertical="center" shrinkToFit="1"/>
    </xf>
    <xf numFmtId="170" fontId="33" fillId="0" borderId="15" xfId="0" applyNumberFormat="1" applyFont="1" applyBorder="1" applyAlignment="1">
      <alignment horizontal="center" vertical="center" shrinkToFit="1" readingOrder="2"/>
    </xf>
    <xf numFmtId="170" fontId="33" fillId="0" borderId="27" xfId="0" applyNumberFormat="1" applyFont="1" applyBorder="1" applyAlignment="1">
      <alignment horizontal="center" vertical="center" shrinkToFit="1" readingOrder="2"/>
    </xf>
    <xf numFmtId="170" fontId="33" fillId="0" borderId="85" xfId="0" applyNumberFormat="1" applyFont="1" applyBorder="1" applyAlignment="1">
      <alignment horizontal="center" vertical="center" shrinkToFit="1" readingOrder="2"/>
    </xf>
    <xf numFmtId="169" fontId="39" fillId="0" borderId="0" xfId="0" applyNumberFormat="1" applyFont="1" applyAlignment="1">
      <alignment horizontal="center" wrapText="1" shrinkToFit="1"/>
    </xf>
    <xf numFmtId="169" fontId="39" fillId="0" borderId="1" xfId="0" applyNumberFormat="1" applyFont="1" applyBorder="1" applyAlignment="1">
      <alignment horizontal="center" shrinkToFit="1"/>
    </xf>
    <xf numFmtId="170" fontId="39" fillId="0" borderId="0" xfId="0" applyNumberFormat="1" applyFont="1" applyAlignment="1">
      <alignment horizontal="center" shrinkToFit="1"/>
    </xf>
    <xf numFmtId="169" fontId="34" fillId="0" borderId="0" xfId="0" applyNumberFormat="1" applyFont="1" applyAlignment="1">
      <alignment horizontal="right" shrinkToFit="1"/>
    </xf>
    <xf numFmtId="170" fontId="38" fillId="0" borderId="2" xfId="0" applyNumberFormat="1" applyFont="1" applyBorder="1" applyAlignment="1">
      <alignment horizontal="center" shrinkToFit="1"/>
    </xf>
    <xf numFmtId="170" fontId="38" fillId="0" borderId="0" xfId="0" applyNumberFormat="1" applyFont="1" applyAlignment="1">
      <alignment horizontal="center" shrinkToFit="1"/>
    </xf>
    <xf numFmtId="170" fontId="39" fillId="0" borderId="0" xfId="0" applyNumberFormat="1" applyFont="1" applyAlignment="1">
      <alignment shrinkToFit="1"/>
    </xf>
    <xf numFmtId="170" fontId="38" fillId="0" borderId="13" xfId="0" applyNumberFormat="1" applyFont="1" applyBorder="1" applyAlignment="1">
      <alignment horizontal="center" shrinkToFit="1"/>
    </xf>
    <xf numFmtId="170" fontId="38" fillId="0" borderId="3" xfId="0" applyNumberFormat="1" applyFont="1" applyBorder="1" applyAlignment="1">
      <alignment horizontal="center" shrinkToFit="1"/>
    </xf>
    <xf numFmtId="169" fontId="39" fillId="0" borderId="0" xfId="0" applyNumberFormat="1" applyFont="1" applyAlignment="1">
      <alignment horizontal="right" shrinkToFit="1"/>
    </xf>
    <xf numFmtId="170" fontId="38" fillId="0" borderId="92" xfId="0" applyNumberFormat="1" applyFont="1" applyBorder="1" applyAlignment="1">
      <alignment horizontal="center" shrinkToFit="1"/>
    </xf>
    <xf numFmtId="170" fontId="38" fillId="0" borderId="28" xfId="0" applyNumberFormat="1" applyFont="1" applyBorder="1" applyAlignment="1">
      <alignment horizontal="center" shrinkToFit="1"/>
    </xf>
    <xf numFmtId="170" fontId="38" fillId="0" borderId="33" xfId="0" applyNumberFormat="1" applyFont="1" applyBorder="1" applyAlignment="1">
      <alignment horizontal="center" shrinkToFit="1"/>
    </xf>
    <xf numFmtId="169" fontId="33" fillId="0" borderId="0" xfId="0" applyNumberFormat="1" applyFont="1" applyAlignment="1">
      <alignment horizontal="center" shrinkToFit="1"/>
    </xf>
    <xf numFmtId="49" fontId="25" fillId="0" borderId="14" xfId="1" applyNumberFormat="1" applyFont="1" applyFill="1" applyBorder="1" applyAlignment="1">
      <alignment horizontal="center" vertical="center" shrinkToFit="1"/>
    </xf>
    <xf numFmtId="49" fontId="25" fillId="0" borderId="6" xfId="1" applyNumberFormat="1" applyFont="1" applyFill="1" applyBorder="1" applyAlignment="1">
      <alignment horizontal="center" vertical="center" shrinkToFit="1"/>
    </xf>
    <xf numFmtId="49" fontId="35" fillId="0" borderId="0" xfId="0" applyNumberFormat="1" applyFont="1" applyAlignment="1">
      <alignment horizontal="right" vertical="center" shrinkToFit="1" readingOrder="2"/>
    </xf>
    <xf numFmtId="49" fontId="41" fillId="0" borderId="0" xfId="70" applyNumberFormat="1" applyFont="1" applyAlignment="1">
      <alignment horizontal="center" vertical="center" readingOrder="2"/>
    </xf>
    <xf numFmtId="49" fontId="34" fillId="0" borderId="0" xfId="0" applyNumberFormat="1" applyFont="1" applyAlignment="1">
      <alignment horizontal="right" vertical="center" shrinkToFit="1" readingOrder="2"/>
    </xf>
    <xf numFmtId="3" fontId="38" fillId="0" borderId="28" xfId="0" applyNumberFormat="1" applyFont="1" applyBorder="1" applyAlignment="1">
      <alignment horizontal="center" shrinkToFit="1" readingOrder="2"/>
    </xf>
    <xf numFmtId="169" fontId="38" fillId="0" borderId="1" xfId="70" applyNumberFormat="1" applyFont="1" applyBorder="1" applyAlignment="1">
      <alignment horizontal="center" vertical="center" wrapText="1" shrinkToFit="1" readingOrder="2"/>
    </xf>
    <xf numFmtId="49" fontId="38" fillId="0" borderId="0" xfId="0" applyNumberFormat="1" applyFont="1" applyAlignment="1">
      <alignment horizontal="right" vertical="center" shrinkToFit="1" readingOrder="2"/>
    </xf>
    <xf numFmtId="49" fontId="38" fillId="0" borderId="0" xfId="0" applyNumberFormat="1" applyFont="1" applyAlignment="1">
      <alignment horizontal="center" vertical="center" shrinkToFit="1" readingOrder="2"/>
    </xf>
    <xf numFmtId="169" fontId="38" fillId="0" borderId="0" xfId="0" applyNumberFormat="1" applyFont="1" applyAlignment="1">
      <alignment horizontal="right" vertical="center" shrinkToFit="1" readingOrder="2"/>
    </xf>
    <xf numFmtId="169" fontId="38" fillId="0" borderId="3" xfId="0" applyNumberFormat="1" applyFont="1" applyBorder="1" applyAlignment="1">
      <alignment horizontal="center" vertical="center" shrinkToFit="1" readingOrder="2"/>
    </xf>
    <xf numFmtId="169" fontId="39" fillId="0" borderId="0" xfId="0" applyNumberFormat="1" applyFont="1" applyAlignment="1">
      <alignment horizontal="right" vertical="center" shrinkToFit="1" readingOrder="2"/>
    </xf>
    <xf numFmtId="170" fontId="38" fillId="0" borderId="0" xfId="0" applyNumberFormat="1" applyFont="1" applyAlignment="1">
      <alignment horizontal="center" vertical="center" shrinkToFit="1" readingOrder="2"/>
    </xf>
    <xf numFmtId="49" fontId="34" fillId="0" borderId="0" xfId="70" applyNumberFormat="1" applyFont="1" applyAlignment="1">
      <alignment horizontal="center" vertical="center" shrinkToFit="1" readingOrder="2"/>
    </xf>
    <xf numFmtId="174" fontId="74" fillId="0" borderId="15" xfId="0" applyNumberFormat="1" applyFont="1" applyBorder="1" applyAlignment="1">
      <alignment vertical="center" wrapText="1" shrinkToFit="1" readingOrder="2"/>
    </xf>
    <xf numFmtId="169" fontId="38" fillId="0" borderId="0" xfId="70" applyNumberFormat="1" applyFont="1" applyBorder="1" applyAlignment="1">
      <alignment horizontal="center" vertical="center" shrinkToFit="1" readingOrder="2"/>
    </xf>
    <xf numFmtId="169" fontId="39" fillId="0" borderId="0" xfId="70" applyNumberFormat="1" applyFont="1" applyBorder="1" applyAlignment="1">
      <alignment horizontal="center" vertical="center" shrinkToFit="1" readingOrder="2"/>
    </xf>
    <xf numFmtId="49" fontId="41" fillId="0" borderId="15" xfId="70" applyNumberFormat="1" applyFont="1" applyBorder="1" applyAlignment="1">
      <alignment horizontal="center" vertical="center" shrinkToFit="1" readingOrder="2"/>
    </xf>
    <xf numFmtId="0" fontId="110" fillId="0" borderId="0" xfId="159" quotePrefix="1" applyFont="1"/>
    <xf numFmtId="0" fontId="110" fillId="0" borderId="0" xfId="159" applyFont="1"/>
    <xf numFmtId="169" fontId="34" fillId="0" borderId="15" xfId="70" applyNumberFormat="1" applyFont="1" applyBorder="1" applyAlignment="1">
      <alignment horizontal="center" vertical="center" textRotation="90" shrinkToFit="1" readingOrder="2"/>
    </xf>
    <xf numFmtId="49" fontId="34" fillId="0" borderId="15" xfId="70" applyNumberFormat="1" applyFont="1" applyBorder="1" applyAlignment="1">
      <alignment vertical="center" shrinkToFit="1" readingOrder="2"/>
    </xf>
    <xf numFmtId="169" fontId="35" fillId="0" borderId="0" xfId="70" applyNumberFormat="1" applyFont="1" applyBorder="1" applyAlignment="1">
      <alignment horizontal="right" vertical="center" shrinkToFit="1" readingOrder="2"/>
    </xf>
    <xf numFmtId="169" fontId="44" fillId="0" borderId="13" xfId="70" applyNumberFormat="1" applyFont="1" applyBorder="1" applyAlignment="1">
      <alignment vertical="center" wrapText="1" shrinkToFit="1" readingOrder="2"/>
    </xf>
    <xf numFmtId="169" fontId="57" fillId="0" borderId="0" xfId="70" applyNumberFormat="1" applyFont="1" applyAlignment="1">
      <alignment vertical="center" shrinkToFit="1" readingOrder="2"/>
    </xf>
    <xf numFmtId="169" fontId="44" fillId="0" borderId="28" xfId="70" applyNumberFormat="1" applyFont="1" applyBorder="1" applyAlignment="1">
      <alignment vertical="center" wrapText="1" shrinkToFit="1" readingOrder="2"/>
    </xf>
    <xf numFmtId="49" fontId="39" fillId="0" borderId="0" xfId="70" applyNumberFormat="1" applyFont="1" applyAlignment="1">
      <alignment horizontal="center" vertical="center" shrinkToFit="1" readingOrder="2"/>
    </xf>
    <xf numFmtId="169" fontId="42" fillId="0" borderId="0" xfId="70" applyNumberFormat="1" applyFont="1" applyBorder="1" applyAlignment="1">
      <alignment vertical="center" shrinkToFit="1" readingOrder="2"/>
    </xf>
    <xf numFmtId="169" fontId="37" fillId="0" borderId="0" xfId="70" applyNumberFormat="1" applyFont="1" applyAlignment="1">
      <alignment vertical="top" wrapText="1" shrinkToFit="1" readingOrder="2"/>
    </xf>
    <xf numFmtId="169" fontId="37" fillId="0" borderId="0" xfId="70" applyNumberFormat="1" applyFont="1" applyAlignment="1">
      <alignment horizontal="right" vertical="top" wrapText="1" shrinkToFit="1" readingOrder="2"/>
    </xf>
    <xf numFmtId="169" fontId="38" fillId="0" borderId="4" xfId="70" applyNumberFormat="1" applyFont="1" applyBorder="1" applyAlignment="1">
      <alignment horizontal="right" vertical="center" shrinkToFit="1"/>
    </xf>
    <xf numFmtId="49" fontId="39" fillId="0" borderId="4" xfId="70" applyNumberFormat="1" applyFont="1" applyBorder="1" applyAlignment="1">
      <alignment horizontal="center" vertical="center" shrinkToFit="1"/>
    </xf>
    <xf numFmtId="49" fontId="39" fillId="0" borderId="26" xfId="0" applyNumberFormat="1" applyFont="1" applyBorder="1" applyAlignment="1">
      <alignment horizontal="center" vertical="center" shrinkToFit="1"/>
    </xf>
    <xf numFmtId="169" fontId="33" fillId="0" borderId="15" xfId="70" applyNumberFormat="1" applyFont="1" applyBorder="1" applyAlignment="1">
      <alignment horizontal="right" vertical="center" shrinkToFit="1"/>
    </xf>
    <xf numFmtId="174" fontId="37" fillId="0" borderId="15" xfId="0" applyNumberFormat="1" applyFont="1" applyBorder="1" applyAlignment="1">
      <alignment horizontal="center" vertical="center" shrinkToFit="1"/>
    </xf>
    <xf numFmtId="174" fontId="37" fillId="0" borderId="15" xfId="0" applyNumberFormat="1" applyFont="1" applyBorder="1" applyAlignment="1">
      <alignment vertical="center" shrinkToFit="1"/>
    </xf>
    <xf numFmtId="174" fontId="33" fillId="0" borderId="15" xfId="0" applyNumberFormat="1" applyFont="1" applyBorder="1" applyAlignment="1">
      <alignment horizontal="right" vertical="center" wrapText="1" shrinkToFit="1"/>
    </xf>
    <xf numFmtId="174" fontId="37" fillId="0" borderId="15" xfId="0" applyNumberFormat="1" applyFont="1" applyBorder="1" applyAlignment="1">
      <alignment horizontal="right" vertical="center" wrapText="1" shrinkToFit="1"/>
    </xf>
    <xf numFmtId="169" fontId="38" fillId="0" borderId="28" xfId="70" applyNumberFormat="1" applyFont="1" applyBorder="1" applyAlignment="1">
      <alignment vertical="center" shrinkToFit="1" readingOrder="2"/>
    </xf>
    <xf numFmtId="0" fontId="39" fillId="0" borderId="0" xfId="0" applyFont="1"/>
    <xf numFmtId="174" fontId="37" fillId="0" borderId="15" xfId="98" applyNumberFormat="1" applyFont="1" applyBorder="1" applyAlignment="1">
      <alignment horizontal="right" vertical="center" shrinkToFit="1"/>
    </xf>
    <xf numFmtId="0" fontId="110" fillId="0" borderId="15" xfId="77" applyFont="1" applyBorder="1" applyAlignment="1">
      <alignment vertical="center" shrinkToFit="1"/>
    </xf>
    <xf numFmtId="174" fontId="37" fillId="0" borderId="0" xfId="0" applyNumberFormat="1" applyFont="1" applyAlignment="1">
      <alignment horizontal="center" shrinkToFit="1"/>
    </xf>
    <xf numFmtId="169" fontId="37" fillId="0" borderId="0" xfId="70" applyNumberFormat="1" applyFont="1" applyAlignment="1">
      <alignment vertical="center" wrapText="1" shrinkToFit="1" readingOrder="2"/>
    </xf>
    <xf numFmtId="49" fontId="39" fillId="0" borderId="15" xfId="70" applyNumberFormat="1" applyFont="1" applyBorder="1" applyAlignment="1">
      <alignment horizontal="center" vertical="center" shrinkToFit="1"/>
    </xf>
    <xf numFmtId="0" fontId="39" fillId="0" borderId="15" xfId="77" applyFont="1" applyBorder="1" applyAlignment="1">
      <alignment vertical="center" shrinkToFit="1"/>
    </xf>
    <xf numFmtId="171" fontId="39" fillId="0" borderId="0" xfId="1" applyNumberFormat="1" applyFont="1" applyFill="1" applyAlignment="1">
      <alignment horizontal="right" vertical="center" shrinkToFit="1"/>
    </xf>
    <xf numFmtId="169" fontId="41" fillId="0" borderId="0" xfId="3" applyNumberFormat="1" applyFont="1" applyFill="1" applyBorder="1" applyAlignment="1">
      <alignment horizontal="center" vertical="center" shrinkToFit="1"/>
    </xf>
    <xf numFmtId="170" fontId="34" fillId="0" borderId="15" xfId="70" applyNumberFormat="1" applyFont="1" applyBorder="1" applyAlignment="1">
      <alignment horizontal="center" vertical="center" shrinkToFit="1" readingOrder="2"/>
    </xf>
    <xf numFmtId="174" fontId="41" fillId="0" borderId="0" xfId="70" applyNumberFormat="1" applyFont="1" applyAlignment="1">
      <alignment horizontal="center" vertical="center" readingOrder="2"/>
    </xf>
    <xf numFmtId="174" fontId="33" fillId="0" borderId="15" xfId="70" applyNumberFormat="1" applyFont="1" applyBorder="1" applyAlignment="1">
      <alignment horizontal="center" vertical="center"/>
    </xf>
    <xf numFmtId="169" fontId="35" fillId="0" borderId="0" xfId="0" applyNumberFormat="1" applyFont="1" applyAlignment="1">
      <alignment horizontal="center" vertical="center" readingOrder="2"/>
    </xf>
    <xf numFmtId="169" fontId="49" fillId="0" borderId="0" xfId="70" applyNumberFormat="1" applyFont="1" applyAlignment="1">
      <alignment horizontal="center" vertical="center" readingOrder="2"/>
    </xf>
    <xf numFmtId="171" fontId="42" fillId="0" borderId="0" xfId="1" applyNumberFormat="1" applyFont="1" applyFill="1" applyAlignment="1">
      <alignment horizontal="center" shrinkToFit="1"/>
    </xf>
    <xf numFmtId="171" fontId="33" fillId="0" borderId="0" xfId="1" applyNumberFormat="1" applyFont="1" applyFill="1" applyBorder="1"/>
    <xf numFmtId="169" fontId="38" fillId="0" borderId="21" xfId="3" applyNumberFormat="1" applyFont="1" applyFill="1" applyBorder="1" applyAlignment="1">
      <alignment horizontal="center" vertical="center" shrinkToFit="1"/>
    </xf>
    <xf numFmtId="169" fontId="38" fillId="0" borderId="47" xfId="3" applyNumberFormat="1" applyFont="1" applyFill="1" applyBorder="1" applyAlignment="1">
      <alignment horizontal="center" vertical="center" shrinkToFit="1"/>
    </xf>
    <xf numFmtId="169" fontId="41" fillId="0" borderId="3" xfId="3" applyNumberFormat="1" applyFont="1" applyFill="1" applyBorder="1" applyAlignment="1">
      <alignment horizontal="center" vertical="center" shrinkToFit="1"/>
    </xf>
    <xf numFmtId="177" fontId="110" fillId="0" borderId="0" xfId="150" applyNumberFormat="1" applyFont="1" applyFill="1" applyAlignment="1">
      <alignment shrinkToFit="1"/>
    </xf>
    <xf numFmtId="170" fontId="35" fillId="0" borderId="0" xfId="70" applyNumberFormat="1" applyFont="1" applyAlignment="1">
      <alignment horizontal="center" vertical="center" readingOrder="2"/>
    </xf>
    <xf numFmtId="170" fontId="38" fillId="0" borderId="0" xfId="70" applyNumberFormat="1" applyFont="1" applyAlignment="1">
      <alignment horizontal="center" vertical="center" wrapText="1" readingOrder="2"/>
    </xf>
    <xf numFmtId="170" fontId="44" fillId="0" borderId="15" xfId="70" applyNumberFormat="1" applyFont="1" applyBorder="1" applyAlignment="1">
      <alignment horizontal="center" vertical="center" wrapText="1" shrinkToFit="1" readingOrder="2"/>
    </xf>
    <xf numFmtId="1" fontId="44" fillId="0" borderId="15" xfId="0" applyNumberFormat="1" applyFont="1" applyBorder="1" applyAlignment="1">
      <alignment horizontal="center" vertical="center" shrinkToFit="1"/>
    </xf>
    <xf numFmtId="0" fontId="44" fillId="0" borderId="15" xfId="0" applyFont="1" applyBorder="1" applyAlignment="1">
      <alignment horizontal="center" vertical="center" shrinkToFit="1"/>
    </xf>
    <xf numFmtId="170" fontId="39" fillId="0" borderId="15" xfId="129" applyNumberFormat="1" applyFont="1" applyBorder="1" applyAlignment="1">
      <alignment vertical="center" shrinkToFit="1"/>
    </xf>
    <xf numFmtId="170" fontId="33" fillId="0" borderId="15" xfId="129" applyNumberFormat="1" applyFont="1" applyBorder="1" applyAlignment="1">
      <alignment horizontal="center" vertical="center" shrinkToFit="1"/>
    </xf>
    <xf numFmtId="170" fontId="39" fillId="0" borderId="15" xfId="0" applyNumberFormat="1" applyFont="1" applyBorder="1" applyAlignment="1">
      <alignment vertical="center" shrinkToFit="1"/>
    </xf>
    <xf numFmtId="0" fontId="39" fillId="0" borderId="15" xfId="98" applyFont="1" applyBorder="1" applyAlignment="1">
      <alignment horizontal="right" shrinkToFit="1"/>
    </xf>
    <xf numFmtId="170" fontId="33" fillId="0" borderId="15" xfId="98" applyNumberFormat="1" applyFont="1" applyBorder="1" applyAlignment="1">
      <alignment horizontal="center" vertical="center" shrinkToFit="1"/>
    </xf>
    <xf numFmtId="0" fontId="39" fillId="0" borderId="15" xfId="98" applyFont="1" applyBorder="1" applyAlignment="1">
      <alignment vertical="center" shrinkToFit="1"/>
    </xf>
    <xf numFmtId="170" fontId="33" fillId="0" borderId="15" xfId="77" applyNumberFormat="1" applyFont="1" applyBorder="1" applyAlignment="1">
      <alignment horizontal="center" vertical="center" shrinkToFit="1"/>
    </xf>
    <xf numFmtId="170" fontId="33" fillId="0" borderId="15" xfId="77" applyNumberFormat="1" applyFont="1" applyBorder="1" applyAlignment="1">
      <alignment vertical="center" shrinkToFit="1"/>
    </xf>
    <xf numFmtId="170" fontId="33" fillId="0" borderId="15" xfId="0" applyNumberFormat="1" applyFont="1" applyBorder="1" applyAlignment="1">
      <alignment shrinkToFit="1"/>
    </xf>
    <xf numFmtId="170" fontId="33" fillId="0" borderId="26" xfId="98" applyNumberFormat="1" applyFont="1" applyBorder="1" applyAlignment="1">
      <alignment horizontal="center" vertical="center" shrinkToFit="1"/>
    </xf>
    <xf numFmtId="170" fontId="33" fillId="0" borderId="26" xfId="129" applyNumberFormat="1" applyFont="1" applyBorder="1" applyAlignment="1">
      <alignment horizontal="center" vertical="center" shrinkToFit="1"/>
    </xf>
    <xf numFmtId="170" fontId="33" fillId="0" borderId="26" xfId="98" applyNumberFormat="1" applyFont="1" applyBorder="1" applyAlignment="1">
      <alignment vertical="center" shrinkToFit="1"/>
    </xf>
    <xf numFmtId="170" fontId="33" fillId="0" borderId="48" xfId="0" applyNumberFormat="1" applyFont="1" applyBorder="1" applyAlignment="1">
      <alignment horizontal="center" vertical="center" shrinkToFit="1"/>
    </xf>
    <xf numFmtId="170" fontId="33" fillId="0" borderId="48" xfId="129" applyNumberFormat="1" applyFont="1" applyBorder="1" applyAlignment="1">
      <alignment horizontal="center" vertical="center" shrinkToFit="1"/>
    </xf>
    <xf numFmtId="49" fontId="39" fillId="0" borderId="29" xfId="0" applyNumberFormat="1" applyFont="1" applyBorder="1" applyAlignment="1">
      <alignment horizontal="center" vertical="center" shrinkToFit="1"/>
    </xf>
    <xf numFmtId="170" fontId="39" fillId="0" borderId="29" xfId="98" applyNumberFormat="1" applyFont="1" applyBorder="1" applyAlignment="1">
      <alignment vertical="center" shrinkToFit="1"/>
    </xf>
    <xf numFmtId="170" fontId="33" fillId="0" borderId="29" xfId="98" applyNumberFormat="1" applyFont="1" applyBorder="1" applyAlignment="1">
      <alignment horizontal="center" vertical="center" shrinkToFit="1"/>
    </xf>
    <xf numFmtId="170" fontId="33" fillId="0" borderId="29" xfId="129" applyNumberFormat="1" applyFont="1" applyBorder="1" applyAlignment="1">
      <alignment horizontal="center" vertical="center" shrinkToFit="1"/>
    </xf>
    <xf numFmtId="170" fontId="39" fillId="0" borderId="15" xfId="70" applyNumberFormat="1" applyFont="1" applyBorder="1" applyAlignment="1">
      <alignment vertical="center" shrinkToFit="1"/>
    </xf>
    <xf numFmtId="170" fontId="33" fillId="0" borderId="15" xfId="70" applyNumberFormat="1" applyFont="1" applyBorder="1" applyAlignment="1">
      <alignment horizontal="center" vertical="center" shrinkToFit="1"/>
    </xf>
    <xf numFmtId="0" fontId="39" fillId="0" borderId="26" xfId="98" applyFont="1" applyBorder="1" applyAlignment="1">
      <alignment horizontal="right" shrinkToFit="1"/>
    </xf>
    <xf numFmtId="170" fontId="33" fillId="0" borderId="48" xfId="98" applyNumberFormat="1" applyFont="1" applyBorder="1" applyAlignment="1">
      <alignment horizontal="center" vertical="center" shrinkToFit="1"/>
    </xf>
    <xf numFmtId="0" fontId="39" fillId="0" borderId="15" xfId="98" applyFont="1" applyBorder="1" applyAlignment="1">
      <alignment shrinkToFit="1"/>
    </xf>
    <xf numFmtId="170" fontId="33" fillId="0" borderId="15" xfId="69" applyNumberFormat="1" applyFont="1" applyBorder="1" applyAlignment="1">
      <alignment horizontal="center" vertical="center" shrinkToFit="1"/>
    </xf>
    <xf numFmtId="0" fontId="39" fillId="0" borderId="15" xfId="0" applyFont="1" applyBorder="1" applyAlignment="1">
      <alignment shrinkToFit="1"/>
    </xf>
    <xf numFmtId="49" fontId="39" fillId="0" borderId="26" xfId="75" applyNumberFormat="1" applyFont="1" applyBorder="1" applyAlignment="1">
      <alignment horizontal="center" vertical="center" shrinkToFit="1"/>
    </xf>
    <xf numFmtId="0" fontId="39" fillId="0" borderId="26" xfId="69" applyFont="1" applyBorder="1" applyAlignment="1">
      <alignment vertical="center" shrinkToFit="1"/>
    </xf>
    <xf numFmtId="170" fontId="33" fillId="0" borderId="26" xfId="69" applyNumberFormat="1" applyFont="1" applyBorder="1" applyAlignment="1">
      <alignment horizontal="center" vertical="center" shrinkToFit="1"/>
    </xf>
    <xf numFmtId="170" fontId="33" fillId="0" borderId="26" xfId="0" applyNumberFormat="1" applyFont="1" applyBorder="1" applyAlignment="1">
      <alignment horizontal="center" vertical="center" shrinkToFit="1"/>
    </xf>
    <xf numFmtId="170" fontId="33" fillId="0" borderId="48" xfId="69" applyNumberFormat="1" applyFont="1" applyBorder="1" applyAlignment="1">
      <alignment horizontal="center" vertical="center" shrinkToFit="1"/>
    </xf>
    <xf numFmtId="170" fontId="42" fillId="0" borderId="58" xfId="70" applyNumberFormat="1" applyFont="1" applyBorder="1" applyAlignment="1">
      <alignment horizontal="center" vertical="center" shrinkToFit="1" readingOrder="2"/>
    </xf>
    <xf numFmtId="170" fontId="33" fillId="0" borderId="58" xfId="129" applyNumberFormat="1" applyFont="1" applyBorder="1" applyAlignment="1">
      <alignment horizontal="center" vertical="center" shrinkToFit="1"/>
    </xf>
    <xf numFmtId="49" fontId="34" fillId="0" borderId="0" xfId="70" applyNumberFormat="1" applyFont="1" applyBorder="1" applyAlignment="1">
      <alignment horizontal="center" vertical="center" wrapText="1" shrinkToFit="1" readingOrder="2"/>
    </xf>
    <xf numFmtId="169" fontId="34" fillId="0" borderId="0" xfId="70" applyNumberFormat="1" applyFont="1" applyBorder="1" applyAlignment="1">
      <alignment horizontal="center" vertical="center" wrapText="1" shrinkToFit="1" readingOrder="2"/>
    </xf>
    <xf numFmtId="170" fontId="34" fillId="0" borderId="0" xfId="70" applyNumberFormat="1" applyFont="1" applyBorder="1" applyAlignment="1">
      <alignment horizontal="center" vertical="center" wrapText="1" shrinkToFit="1" readingOrder="2"/>
    </xf>
    <xf numFmtId="0" fontId="44" fillId="0" borderId="0" xfId="0" applyFont="1" applyAlignment="1">
      <alignment horizontal="center" vertical="center" wrapText="1"/>
    </xf>
    <xf numFmtId="0" fontId="42" fillId="0" borderId="0" xfId="0" applyFont="1" applyAlignment="1">
      <alignment horizontal="center" vertical="center" shrinkToFit="1"/>
    </xf>
    <xf numFmtId="0" fontId="42" fillId="0" borderId="0" xfId="0" applyFont="1" applyAlignment="1">
      <alignment horizontal="center" vertical="center" wrapText="1"/>
    </xf>
    <xf numFmtId="0" fontId="42" fillId="0" borderId="90" xfId="0" applyFont="1" applyBorder="1" applyAlignment="1">
      <alignment vertical="center" wrapText="1"/>
    </xf>
    <xf numFmtId="170" fontId="33" fillId="0" borderId="0" xfId="0" applyNumberFormat="1" applyFont="1" applyAlignment="1">
      <alignment horizontal="center" vertical="center"/>
    </xf>
    <xf numFmtId="172" fontId="29" fillId="0" borderId="1" xfId="34" applyNumberFormat="1" applyFont="1" applyFill="1" applyBorder="1" applyAlignment="1">
      <alignment horizontal="center" vertical="center" shrinkToFit="1" readingOrder="2"/>
    </xf>
    <xf numFmtId="172" fontId="29" fillId="0" borderId="0" xfId="34" applyNumberFormat="1" applyFont="1" applyFill="1" applyBorder="1" applyAlignment="1">
      <alignment horizontal="center" vertical="center" shrinkToFit="1" readingOrder="2"/>
    </xf>
    <xf numFmtId="169" fontId="29" fillId="0" borderId="0" xfId="3" applyNumberFormat="1" applyFont="1" applyFill="1" applyAlignment="1">
      <alignment horizontal="center" vertical="center" shrinkToFit="1"/>
    </xf>
    <xf numFmtId="169" fontId="29" fillId="0" borderId="0" xfId="34" applyNumberFormat="1" applyFont="1" applyFill="1" applyAlignment="1">
      <alignment horizontal="center" vertical="center" shrinkToFit="1" readingOrder="2"/>
    </xf>
    <xf numFmtId="169" fontId="29" fillId="0" borderId="3" xfId="34" applyNumberFormat="1" applyFont="1" applyFill="1" applyBorder="1" applyAlignment="1">
      <alignment horizontal="center" vertical="center" shrinkToFit="1" readingOrder="2"/>
    </xf>
    <xf numFmtId="169" fontId="29" fillId="0" borderId="0" xfId="34" applyNumberFormat="1" applyFont="1" applyFill="1" applyBorder="1" applyAlignment="1">
      <alignment horizontal="center" vertical="center" shrinkToFit="1" readingOrder="2"/>
    </xf>
    <xf numFmtId="49" fontId="25" fillId="0" borderId="15" xfId="0" applyNumberFormat="1" applyFont="1" applyBorder="1" applyAlignment="1">
      <alignment horizontal="center" vertical="center" shrinkToFit="1" readingOrder="2"/>
    </xf>
    <xf numFmtId="170" fontId="25" fillId="0" borderId="15" xfId="0" applyNumberFormat="1" applyFont="1" applyBorder="1" applyAlignment="1">
      <alignment horizontal="center" vertical="center" shrinkToFit="1"/>
    </xf>
    <xf numFmtId="49" fontId="25" fillId="0" borderId="15" xfId="3" applyNumberFormat="1" applyFont="1" applyFill="1" applyBorder="1" applyAlignment="1">
      <alignment vertical="center" shrinkToFit="1"/>
    </xf>
    <xf numFmtId="49" fontId="70" fillId="0" borderId="15" xfId="0" applyNumberFormat="1" applyFont="1" applyBorder="1" applyAlignment="1">
      <alignment vertical="center" shrinkToFit="1"/>
    </xf>
    <xf numFmtId="49" fontId="70" fillId="0" borderId="15" xfId="0" applyNumberFormat="1" applyFont="1" applyBorder="1" applyAlignment="1">
      <alignment horizontal="center" vertical="center" shrinkToFit="1"/>
    </xf>
    <xf numFmtId="0" fontId="70" fillId="0" borderId="15" xfId="98" applyFont="1" applyBorder="1" applyAlignment="1">
      <alignment vertical="center" shrinkToFit="1"/>
    </xf>
    <xf numFmtId="49" fontId="25" fillId="0" borderId="15" xfId="3" applyNumberFormat="1" applyFont="1" applyFill="1" applyBorder="1" applyAlignment="1">
      <alignment horizontal="center" vertical="center" shrinkToFit="1"/>
    </xf>
    <xf numFmtId="169" fontId="41" fillId="0" borderId="0" xfId="70" applyNumberFormat="1" applyFont="1" applyAlignment="1">
      <alignment shrinkToFit="1" readingOrder="2"/>
    </xf>
    <xf numFmtId="169" fontId="37" fillId="0" borderId="0" xfId="70" applyNumberFormat="1" applyFont="1" applyAlignment="1">
      <alignment shrinkToFit="1"/>
    </xf>
    <xf numFmtId="171" fontId="37" fillId="0" borderId="0" xfId="1" applyNumberFormat="1" applyFont="1" applyFill="1" applyAlignment="1">
      <alignment shrinkToFit="1"/>
    </xf>
    <xf numFmtId="171" fontId="41" fillId="0" borderId="0" xfId="1" applyNumberFormat="1" applyFont="1" applyFill="1"/>
    <xf numFmtId="169" fontId="41" fillId="0" borderId="0" xfId="70" applyNumberFormat="1" applyFont="1" applyAlignment="1">
      <alignment vertical="center" shrinkToFit="1" readingOrder="2"/>
    </xf>
    <xf numFmtId="49" fontId="39" fillId="0" borderId="5" xfId="0" applyNumberFormat="1" applyFont="1" applyBorder="1" applyAlignment="1">
      <alignment horizontal="center" vertical="center" shrinkToFit="1"/>
    </xf>
    <xf numFmtId="170" fontId="124" fillId="0" borderId="15" xfId="154" applyNumberFormat="1" applyFont="1" applyFill="1" applyBorder="1" applyAlignment="1">
      <alignment horizontal="center" shrinkToFit="1"/>
    </xf>
    <xf numFmtId="171" fontId="110" fillId="0" borderId="0" xfId="1" applyNumberFormat="1" applyFont="1" applyFill="1"/>
    <xf numFmtId="169" fontId="38" fillId="0" borderId="15" xfId="0" applyNumberFormat="1" applyFont="1" applyBorder="1" applyAlignment="1">
      <alignment vertical="center" shrinkToFit="1"/>
    </xf>
    <xf numFmtId="0" fontId="38" fillId="0" borderId="15" xfId="98" applyFont="1" applyBorder="1" applyAlignment="1">
      <alignment shrinkToFit="1"/>
    </xf>
    <xf numFmtId="170" fontId="124" fillId="0" borderId="0" xfId="1" applyNumberFormat="1" applyFont="1" applyFill="1" applyAlignment="1">
      <alignment horizontal="center"/>
    </xf>
    <xf numFmtId="170" fontId="38" fillId="0" borderId="21" xfId="70" applyNumberFormat="1" applyFont="1" applyBorder="1" applyAlignment="1">
      <alignment horizontal="center" shrinkToFit="1"/>
    </xf>
    <xf numFmtId="0" fontId="110" fillId="0" borderId="0" xfId="153" quotePrefix="1" applyFont="1" applyAlignment="1">
      <alignment shrinkToFit="1"/>
    </xf>
    <xf numFmtId="0" fontId="110" fillId="0" borderId="0" xfId="153" applyFont="1" applyAlignment="1">
      <alignment shrinkToFit="1"/>
    </xf>
    <xf numFmtId="0" fontId="110" fillId="0" borderId="0" xfId="153" applyFont="1" applyAlignment="1">
      <alignment horizontal="center" shrinkToFit="1"/>
    </xf>
    <xf numFmtId="171" fontId="110" fillId="0" borderId="0" xfId="1" applyNumberFormat="1" applyFont="1" applyFill="1" applyAlignment="1">
      <alignment shrinkToFit="1"/>
    </xf>
    <xf numFmtId="169" fontId="39" fillId="0" borderId="0" xfId="70" applyNumberFormat="1" applyFont="1" applyAlignment="1">
      <alignment horizontal="right" vertical="top" wrapText="1" readingOrder="2"/>
    </xf>
    <xf numFmtId="170" fontId="110" fillId="0" borderId="0" xfId="153" applyNumberFormat="1" applyFont="1" applyAlignment="1">
      <alignment shrinkToFit="1"/>
    </xf>
    <xf numFmtId="171" fontId="110" fillId="0" borderId="0" xfId="1" applyNumberFormat="1" applyFont="1" applyFill="1" applyAlignment="1">
      <alignment horizontal="center" shrinkToFit="1"/>
    </xf>
    <xf numFmtId="169" fontId="41" fillId="0" borderId="0" xfId="70" applyNumberFormat="1" applyFont="1" applyAlignment="1">
      <alignment shrinkToFit="1"/>
    </xf>
    <xf numFmtId="171" fontId="41" fillId="0" borderId="0" xfId="1" applyNumberFormat="1" applyFont="1" applyFill="1" applyAlignment="1">
      <alignment shrinkToFit="1"/>
    </xf>
    <xf numFmtId="3" fontId="42" fillId="0" borderId="0" xfId="70" applyNumberFormat="1" applyFont="1" applyAlignment="1">
      <alignment horizontal="center"/>
    </xf>
    <xf numFmtId="169" fontId="39" fillId="0" borderId="15" xfId="0" applyNumberFormat="1" applyFont="1" applyBorder="1" applyAlignment="1">
      <alignment horizontal="right" vertical="center" shrinkToFit="1"/>
    </xf>
    <xf numFmtId="169" fontId="41" fillId="0" borderId="33" xfId="70" applyNumberFormat="1" applyFont="1" applyBorder="1" applyAlignment="1">
      <alignment vertical="center" shrinkToFit="1"/>
    </xf>
    <xf numFmtId="169" fontId="47" fillId="0" borderId="0" xfId="70" applyNumberFormat="1" applyFont="1"/>
    <xf numFmtId="169" fontId="44" fillId="2" borderId="26" xfId="70" applyNumberFormat="1" applyFont="1" applyFill="1" applyBorder="1" applyAlignment="1">
      <alignment horizontal="center" vertical="center" wrapText="1" shrinkToFit="1"/>
    </xf>
    <xf numFmtId="169" fontId="44" fillId="2" borderId="29" xfId="70" applyNumberFormat="1" applyFont="1" applyFill="1" applyBorder="1" applyAlignment="1">
      <alignment horizontal="center" vertical="center" wrapText="1" shrinkToFit="1"/>
    </xf>
    <xf numFmtId="0" fontId="41" fillId="0" borderId="15" xfId="0" applyFont="1" applyBorder="1" applyAlignment="1">
      <alignment horizontal="center" shrinkToFit="1"/>
    </xf>
    <xf numFmtId="177" fontId="120" fillId="0" borderId="15" xfId="1" applyNumberFormat="1" applyFont="1" applyFill="1" applyBorder="1" applyAlignment="1">
      <alignment shrinkToFit="1"/>
    </xf>
    <xf numFmtId="171" fontId="92" fillId="0" borderId="0" xfId="1" applyNumberFormat="1" applyFont="1" applyFill="1" applyAlignment="1">
      <alignment horizontal="center" vertical="center"/>
    </xf>
    <xf numFmtId="49" fontId="93" fillId="0" borderId="27" xfId="34" applyNumberFormat="1" applyFont="1" applyFill="1" applyBorder="1" applyAlignment="1">
      <alignment horizontal="center" vertical="center" shrinkToFit="1"/>
    </xf>
    <xf numFmtId="169" fontId="93" fillId="0" borderId="26" xfId="34" applyNumberFormat="1" applyFont="1" applyFill="1" applyBorder="1" applyAlignment="1">
      <alignment horizontal="center" vertical="center" shrinkToFit="1" readingOrder="2"/>
    </xf>
    <xf numFmtId="49" fontId="93" fillId="0" borderId="15" xfId="1" applyNumberFormat="1" applyFont="1" applyFill="1" applyBorder="1" applyAlignment="1">
      <alignment horizontal="center" vertical="center" shrinkToFit="1"/>
    </xf>
    <xf numFmtId="49" fontId="92" fillId="0" borderId="15" xfId="1" applyNumberFormat="1" applyFont="1" applyFill="1" applyBorder="1" applyAlignment="1">
      <alignment horizontal="center" vertical="center" shrinkToFit="1"/>
    </xf>
    <xf numFmtId="170" fontId="93" fillId="0" borderId="29" xfId="37" applyNumberFormat="1" applyFont="1" applyFill="1" applyBorder="1" applyAlignment="1">
      <alignment horizontal="center" vertical="center" shrinkToFit="1"/>
    </xf>
    <xf numFmtId="49" fontId="92" fillId="0" borderId="27" xfId="1" applyNumberFormat="1" applyFont="1" applyFill="1" applyBorder="1" applyAlignment="1">
      <alignment horizontal="center" vertical="center" shrinkToFit="1"/>
    </xf>
    <xf numFmtId="169" fontId="131" fillId="0" borderId="0" xfId="0" applyNumberFormat="1" applyFont="1" applyAlignment="1">
      <alignment horizontal="center" vertical="center" shrinkToFit="1"/>
    </xf>
    <xf numFmtId="0" fontId="8" fillId="0" borderId="0" xfId="163" quotePrefix="1" applyAlignment="1">
      <alignment shrinkToFit="1"/>
    </xf>
    <xf numFmtId="171" fontId="34" fillId="0" borderId="0" xfId="1" applyNumberFormat="1" applyFont="1" applyFill="1" applyAlignment="1">
      <alignment horizontal="center" vertical="center" shrinkToFit="1" readingOrder="2"/>
    </xf>
    <xf numFmtId="171" fontId="39" fillId="0" borderId="0" xfId="1" applyNumberFormat="1" applyFont="1" applyFill="1" applyAlignment="1">
      <alignment horizontal="center" vertical="center" shrinkToFit="1" readingOrder="2"/>
    </xf>
    <xf numFmtId="171" fontId="38" fillId="0" borderId="7" xfId="1" applyNumberFormat="1" applyFont="1" applyFill="1" applyBorder="1" applyAlignment="1">
      <alignment horizontal="right" vertical="center" shrinkToFit="1"/>
    </xf>
    <xf numFmtId="171" fontId="38" fillId="0" borderId="4" xfId="1" applyNumberFormat="1" applyFont="1" applyFill="1" applyBorder="1" applyAlignment="1">
      <alignment horizontal="right" vertical="center" shrinkToFit="1"/>
    </xf>
    <xf numFmtId="171" fontId="37" fillId="0" borderId="4" xfId="1" applyNumberFormat="1" applyFont="1" applyFill="1" applyBorder="1" applyAlignment="1">
      <alignment horizontal="center" vertical="center" shrinkToFit="1" readingOrder="2"/>
    </xf>
    <xf numFmtId="171" fontId="37" fillId="0" borderId="4" xfId="1" applyNumberFormat="1" applyFont="1" applyFill="1" applyBorder="1" applyAlignment="1">
      <alignment horizontal="right" vertical="center" shrinkToFit="1"/>
    </xf>
    <xf numFmtId="171" fontId="37" fillId="0" borderId="13" xfId="1" applyNumberFormat="1" applyFont="1" applyFill="1" applyBorder="1" applyAlignment="1">
      <alignment horizontal="center" vertical="center" shrinkToFit="1" readingOrder="2"/>
    </xf>
    <xf numFmtId="171" fontId="37" fillId="0" borderId="8" xfId="1" applyNumberFormat="1" applyFont="1" applyFill="1" applyBorder="1" applyAlignment="1">
      <alignment horizontal="right" vertical="center" shrinkToFit="1"/>
    </xf>
    <xf numFmtId="171" fontId="37" fillId="0" borderId="15" xfId="1" applyNumberFormat="1" applyFont="1" applyFill="1" applyBorder="1" applyAlignment="1">
      <alignment horizontal="right" vertical="center" shrinkToFit="1"/>
    </xf>
    <xf numFmtId="171" fontId="37" fillId="0" borderId="19" xfId="1" applyNumberFormat="1" applyFont="1" applyFill="1" applyBorder="1" applyAlignment="1">
      <alignment horizontal="right" vertical="center" shrinkToFit="1"/>
    </xf>
    <xf numFmtId="171" fontId="37" fillId="0" borderId="0" xfId="1" applyNumberFormat="1" applyFont="1" applyFill="1" applyBorder="1" applyAlignment="1">
      <alignment horizontal="center" vertical="center" shrinkToFit="1" readingOrder="2"/>
    </xf>
    <xf numFmtId="171" fontId="38" fillId="0" borderId="0" xfId="1" applyNumberFormat="1" applyFont="1" applyFill="1" applyBorder="1" applyAlignment="1">
      <alignment horizontal="center" vertical="center" shrinkToFit="1"/>
    </xf>
    <xf numFmtId="171" fontId="39" fillId="0" borderId="4" xfId="1" applyNumberFormat="1" applyFont="1" applyFill="1" applyBorder="1" applyAlignment="1">
      <alignment horizontal="right" vertical="center" shrinkToFit="1"/>
    </xf>
    <xf numFmtId="171" fontId="25" fillId="0" borderId="15" xfId="1" applyNumberFormat="1" applyFont="1" applyFill="1" applyBorder="1" applyAlignment="1" applyProtection="1">
      <alignment horizontal="right" vertical="center" shrinkToFit="1"/>
    </xf>
    <xf numFmtId="171" fontId="37" fillId="0" borderId="5" xfId="1" applyNumberFormat="1" applyFont="1" applyFill="1" applyBorder="1" applyAlignment="1">
      <alignment horizontal="right" vertical="center" shrinkToFit="1"/>
    </xf>
    <xf numFmtId="171" fontId="37" fillId="0" borderId="16" xfId="1" applyNumberFormat="1" applyFont="1" applyFill="1" applyBorder="1" applyAlignment="1">
      <alignment horizontal="right" vertical="center" shrinkToFit="1"/>
    </xf>
    <xf numFmtId="171" fontId="37" fillId="0" borderId="15" xfId="1" applyNumberFormat="1" applyFont="1" applyFill="1" applyBorder="1" applyAlignment="1">
      <alignment vertical="center" shrinkToFit="1"/>
    </xf>
    <xf numFmtId="171" fontId="33" fillId="0" borderId="15" xfId="1" applyNumberFormat="1" applyFont="1" applyFill="1" applyBorder="1" applyAlignment="1">
      <alignment horizontal="right" vertical="center" shrinkToFit="1"/>
    </xf>
    <xf numFmtId="171" fontId="33" fillId="0" borderId="15" xfId="1" applyNumberFormat="1" applyFont="1" applyFill="1" applyBorder="1" applyAlignment="1">
      <alignment vertical="center" shrinkToFit="1"/>
    </xf>
    <xf numFmtId="171" fontId="33" fillId="0" borderId="4" xfId="1" applyNumberFormat="1" applyFont="1" applyFill="1" applyBorder="1" applyAlignment="1">
      <alignment horizontal="right" vertical="center" shrinkToFit="1"/>
    </xf>
    <xf numFmtId="171" fontId="35" fillId="0" borderId="0" xfId="1" applyNumberFormat="1" applyFont="1" applyFill="1" applyAlignment="1">
      <alignment horizontal="center" vertical="center" shrinkToFit="1" readingOrder="2"/>
    </xf>
    <xf numFmtId="171" fontId="39" fillId="0" borderId="15" xfId="1" applyNumberFormat="1" applyFont="1" applyFill="1" applyBorder="1" applyAlignment="1">
      <alignment horizontal="right" vertical="center" shrinkToFit="1"/>
    </xf>
    <xf numFmtId="171" fontId="39" fillId="0" borderId="15" xfId="1" applyNumberFormat="1" applyFont="1" applyFill="1" applyBorder="1" applyAlignment="1">
      <alignment vertical="center" shrinkToFit="1"/>
    </xf>
    <xf numFmtId="171" fontId="33" fillId="0" borderId="29" xfId="1" applyNumberFormat="1" applyFont="1" applyFill="1" applyBorder="1" applyAlignment="1">
      <alignment horizontal="right" vertical="center" shrinkToFit="1"/>
    </xf>
    <xf numFmtId="171" fontId="33" fillId="0" borderId="26" xfId="1" applyNumberFormat="1" applyFont="1" applyFill="1" applyBorder="1" applyAlignment="1">
      <alignment horizontal="right" vertical="center" shrinkToFit="1"/>
    </xf>
    <xf numFmtId="174" fontId="44" fillId="0" borderId="0" xfId="1" applyNumberFormat="1" applyFont="1" applyFill="1" applyAlignment="1">
      <alignment horizontal="center" vertical="center" shrinkToFit="1" readingOrder="2"/>
    </xf>
    <xf numFmtId="174" fontId="44" fillId="0" borderId="0" xfId="1" applyNumberFormat="1" applyFont="1" applyFill="1" applyAlignment="1">
      <alignment vertical="center" shrinkToFit="1" readingOrder="2"/>
    </xf>
    <xf numFmtId="174" fontId="47" fillId="0" borderId="0" xfId="1" applyNumberFormat="1" applyFont="1" applyFill="1" applyAlignment="1">
      <alignment shrinkToFit="1"/>
    </xf>
    <xf numFmtId="174" fontId="47" fillId="0" borderId="0" xfId="1" applyNumberFormat="1" applyFont="1" applyFill="1" applyAlignment="1">
      <alignment horizontal="right" vertical="center" shrinkToFit="1" readingOrder="2"/>
    </xf>
    <xf numFmtId="174" fontId="39" fillId="0" borderId="15" xfId="1" applyNumberFormat="1" applyFont="1" applyFill="1" applyBorder="1" applyAlignment="1">
      <alignment horizontal="center" vertical="center" shrinkToFit="1"/>
    </xf>
    <xf numFmtId="174" fontId="39" fillId="0" borderId="29" xfId="1" applyNumberFormat="1" applyFont="1" applyFill="1" applyBorder="1" applyAlignment="1">
      <alignment horizontal="center" vertical="center" shrinkToFit="1"/>
    </xf>
    <xf numFmtId="174" fontId="44" fillId="0" borderId="28" xfId="1" applyNumberFormat="1" applyFont="1" applyFill="1" applyBorder="1" applyAlignment="1">
      <alignment vertical="center" shrinkToFit="1" readingOrder="2"/>
    </xf>
    <xf numFmtId="174" fontId="39" fillId="0" borderId="15" xfId="1" applyNumberFormat="1" applyFont="1" applyFill="1" applyBorder="1" applyAlignment="1">
      <alignment horizontal="center" vertical="center" shrinkToFit="1" readingOrder="2"/>
    </xf>
    <xf numFmtId="174" fontId="39" fillId="0" borderId="29" xfId="1" applyNumberFormat="1" applyFont="1" applyFill="1" applyBorder="1" applyAlignment="1">
      <alignment horizontal="center" vertical="center" shrinkToFit="1" readingOrder="2"/>
    </xf>
    <xf numFmtId="174" fontId="44" fillId="0" borderId="15" xfId="1" applyNumberFormat="1" applyFont="1" applyFill="1" applyBorder="1" applyAlignment="1">
      <alignment horizontal="center" vertical="center" shrinkToFit="1"/>
    </xf>
    <xf numFmtId="174" fontId="47" fillId="0" borderId="0" xfId="1" applyNumberFormat="1" applyFont="1" applyFill="1" applyAlignment="1">
      <alignment horizontal="center" vertical="center" shrinkToFit="1"/>
    </xf>
    <xf numFmtId="174" fontId="44" fillId="0" borderId="0" xfId="1" applyNumberFormat="1" applyFont="1" applyFill="1" applyAlignment="1">
      <alignment horizontal="center" vertical="center" shrinkToFit="1"/>
    </xf>
    <xf numFmtId="174" fontId="33" fillId="0" borderId="0" xfId="1" applyNumberFormat="1" applyFont="1" applyFill="1" applyAlignment="1">
      <alignment shrinkToFit="1"/>
    </xf>
    <xf numFmtId="174" fontId="41" fillId="0" borderId="0" xfId="1" applyNumberFormat="1" applyFont="1" applyFill="1" applyAlignment="1">
      <alignment horizontal="center" vertical="center" shrinkToFit="1" readingOrder="2"/>
    </xf>
    <xf numFmtId="174" fontId="41" fillId="0" borderId="0" xfId="1" applyNumberFormat="1" applyFont="1" applyFill="1" applyAlignment="1">
      <alignment horizontal="center" shrinkToFit="1" readingOrder="2"/>
    </xf>
    <xf numFmtId="174" fontId="33" fillId="0" borderId="0" xfId="1" applyNumberFormat="1" applyFont="1" applyFill="1" applyAlignment="1">
      <alignment horizontal="center" shrinkToFit="1"/>
    </xf>
    <xf numFmtId="174" fontId="37" fillId="0" borderId="0" xfId="1" applyNumberFormat="1" applyFont="1" applyFill="1" applyAlignment="1">
      <alignment horizontal="center" shrinkToFit="1"/>
    </xf>
    <xf numFmtId="174" fontId="38" fillId="0" borderId="0" xfId="1" applyNumberFormat="1" applyFont="1" applyFill="1" applyAlignment="1">
      <alignment horizontal="right" vertical="center" shrinkToFit="1" readingOrder="2"/>
    </xf>
    <xf numFmtId="174" fontId="44" fillId="0" borderId="0" xfId="1" applyNumberFormat="1" applyFont="1" applyFill="1" applyAlignment="1">
      <alignment horizontal="center" shrinkToFit="1" readingOrder="2"/>
    </xf>
    <xf numFmtId="174" fontId="34" fillId="0" borderId="15" xfId="1" applyNumberFormat="1" applyFont="1" applyFill="1" applyBorder="1" applyAlignment="1">
      <alignment horizontal="center" vertical="center" shrinkToFit="1"/>
    </xf>
    <xf numFmtId="174" fontId="38" fillId="0" borderId="28" xfId="1" applyNumberFormat="1" applyFont="1" applyFill="1" applyBorder="1" applyAlignment="1">
      <alignment vertical="center" shrinkToFit="1" readingOrder="2"/>
    </xf>
    <xf numFmtId="174" fontId="39" fillId="0" borderId="0" xfId="1" applyNumberFormat="1" applyFont="1" applyFill="1" applyAlignment="1">
      <alignment horizontal="center" vertical="center" shrinkToFit="1"/>
    </xf>
    <xf numFmtId="170" fontId="39" fillId="0" borderId="0" xfId="1" applyNumberFormat="1" applyFont="1" applyFill="1" applyAlignment="1">
      <alignment horizontal="center" vertical="center" shrinkToFit="1"/>
    </xf>
    <xf numFmtId="170" fontId="34" fillId="0" borderId="0" xfId="1" applyNumberFormat="1" applyFont="1" applyFill="1" applyAlignment="1">
      <alignment horizontal="center" vertical="center" shrinkToFit="1" readingOrder="2"/>
    </xf>
    <xf numFmtId="170" fontId="39" fillId="0" borderId="0" xfId="1" applyNumberFormat="1" applyFont="1" applyFill="1" applyAlignment="1">
      <alignment horizontal="center" vertical="center" shrinkToFit="1" readingOrder="2"/>
    </xf>
    <xf numFmtId="170" fontId="37" fillId="0" borderId="7" xfId="1" applyNumberFormat="1" applyFont="1" applyFill="1" applyBorder="1" applyAlignment="1">
      <alignment horizontal="center" vertical="center" shrinkToFit="1"/>
    </xf>
    <xf numFmtId="170" fontId="37" fillId="0" borderId="7" xfId="37" applyNumberFormat="1" applyFont="1" applyFill="1" applyBorder="1" applyAlignment="1">
      <alignment horizontal="center" vertical="center" shrinkToFit="1"/>
    </xf>
    <xf numFmtId="170" fontId="25" fillId="0" borderId="7" xfId="37" applyNumberFormat="1" applyFont="1" applyFill="1" applyBorder="1" applyAlignment="1">
      <alignment horizontal="center" vertical="center" shrinkToFit="1"/>
    </xf>
    <xf numFmtId="170" fontId="37" fillId="0" borderId="4" xfId="1" applyNumberFormat="1" applyFont="1" applyFill="1" applyBorder="1" applyAlignment="1">
      <alignment horizontal="center" vertical="center" shrinkToFit="1"/>
    </xf>
    <xf numFmtId="170" fontId="37" fillId="0" borderId="8" xfId="37" applyNumberFormat="1" applyFont="1" applyFill="1" applyBorder="1" applyAlignment="1">
      <alignment horizontal="center" vertical="center" shrinkToFit="1"/>
    </xf>
    <xf numFmtId="170" fontId="37" fillId="0" borderId="5" xfId="1" applyNumberFormat="1" applyFont="1" applyFill="1" applyBorder="1" applyAlignment="1">
      <alignment horizontal="center" vertical="center" shrinkToFit="1"/>
    </xf>
    <xf numFmtId="170" fontId="37" fillId="0" borderId="5" xfId="37" applyNumberFormat="1" applyFont="1" applyFill="1" applyBorder="1" applyAlignment="1">
      <alignment horizontal="center" vertical="center" shrinkToFit="1"/>
    </xf>
    <xf numFmtId="170" fontId="38" fillId="0" borderId="4" xfId="1" applyNumberFormat="1" applyFont="1" applyFill="1" applyBorder="1" applyAlignment="1">
      <alignment horizontal="center" vertical="center" shrinkToFit="1"/>
    </xf>
    <xf numFmtId="170" fontId="38" fillId="0" borderId="4" xfId="37" applyNumberFormat="1" applyFont="1" applyFill="1" applyBorder="1" applyAlignment="1">
      <alignment horizontal="center" vertical="center" shrinkToFit="1"/>
    </xf>
    <xf numFmtId="170" fontId="70" fillId="0" borderId="4" xfId="37" applyNumberFormat="1" applyFont="1" applyFill="1" applyBorder="1" applyAlignment="1">
      <alignment horizontal="center" vertical="center" shrinkToFit="1"/>
    </xf>
    <xf numFmtId="170" fontId="41" fillId="0" borderId="0" xfId="1" applyNumberFormat="1" applyFont="1" applyFill="1" applyAlignment="1">
      <alignment horizontal="center" vertical="center" shrinkToFit="1" readingOrder="2"/>
    </xf>
    <xf numFmtId="170" fontId="37" fillId="0" borderId="4" xfId="34" applyNumberFormat="1" applyFont="1" applyFill="1" applyBorder="1" applyAlignment="1">
      <alignment horizontal="center" vertical="center" shrinkToFit="1"/>
    </xf>
    <xf numFmtId="170" fontId="25" fillId="0" borderId="4" xfId="34" applyNumberFormat="1" applyFont="1" applyFill="1" applyBorder="1" applyAlignment="1">
      <alignment horizontal="center" vertical="center" shrinkToFit="1"/>
    </xf>
    <xf numFmtId="170" fontId="37" fillId="0" borderId="15" xfId="1" applyNumberFormat="1" applyFont="1" applyFill="1" applyBorder="1" applyAlignment="1">
      <alignment horizontal="center" vertical="center" shrinkToFit="1"/>
    </xf>
    <xf numFmtId="170" fontId="37" fillId="0" borderId="6" xfId="37" applyNumberFormat="1" applyFont="1" applyFill="1" applyBorder="1" applyAlignment="1">
      <alignment horizontal="center" vertical="center" shrinkToFit="1"/>
    </xf>
    <xf numFmtId="170" fontId="25" fillId="0" borderId="6" xfId="37" applyNumberFormat="1" applyFont="1" applyFill="1" applyBorder="1" applyAlignment="1">
      <alignment horizontal="center" vertical="center" shrinkToFit="1"/>
    </xf>
    <xf numFmtId="170" fontId="37" fillId="0" borderId="20" xfId="37" applyNumberFormat="1" applyFont="1" applyFill="1" applyBorder="1" applyAlignment="1">
      <alignment horizontal="center" vertical="center" shrinkToFit="1"/>
    </xf>
    <xf numFmtId="170" fontId="38" fillId="0" borderId="13" xfId="1" applyNumberFormat="1" applyFont="1" applyFill="1" applyBorder="1" applyAlignment="1">
      <alignment horizontal="center" vertical="center" shrinkToFit="1"/>
    </xf>
    <xf numFmtId="170" fontId="38" fillId="0" borderId="13" xfId="37" applyNumberFormat="1" applyFont="1" applyFill="1" applyBorder="1" applyAlignment="1">
      <alignment horizontal="center" vertical="center" shrinkToFit="1"/>
    </xf>
    <xf numFmtId="170" fontId="70" fillId="0" borderId="13" xfId="37" applyNumberFormat="1" applyFont="1" applyFill="1" applyBorder="1" applyAlignment="1">
      <alignment horizontal="center" vertical="center" shrinkToFit="1"/>
    </xf>
    <xf numFmtId="170" fontId="35" fillId="0" borderId="0" xfId="1" applyNumberFormat="1" applyFont="1" applyFill="1" applyAlignment="1">
      <alignment horizontal="center" vertical="center" shrinkToFit="1" readingOrder="2"/>
    </xf>
    <xf numFmtId="170" fontId="37" fillId="0" borderId="8" xfId="1" applyNumberFormat="1" applyFont="1" applyFill="1" applyBorder="1" applyAlignment="1">
      <alignment horizontal="center" vertical="center" shrinkToFit="1"/>
    </xf>
    <xf numFmtId="170" fontId="37" fillId="0" borderId="20" xfId="1" applyNumberFormat="1" applyFont="1" applyFill="1" applyBorder="1" applyAlignment="1">
      <alignment horizontal="center" vertical="center" shrinkToFit="1"/>
    </xf>
    <xf numFmtId="170" fontId="37" fillId="0" borderId="1" xfId="37" applyNumberFormat="1" applyFont="1" applyFill="1" applyBorder="1" applyAlignment="1">
      <alignment horizontal="center" vertical="center" shrinkToFit="1"/>
    </xf>
    <xf numFmtId="170" fontId="37" fillId="0" borderId="2" xfId="37" applyNumberFormat="1" applyFont="1" applyFill="1" applyBorder="1" applyAlignment="1">
      <alignment horizontal="center" vertical="center" shrinkToFit="1"/>
    </xf>
    <xf numFmtId="170" fontId="25" fillId="0" borderId="27" xfId="37" applyNumberFormat="1" applyFont="1" applyFill="1" applyBorder="1" applyAlignment="1">
      <alignment horizontal="center" vertical="center" shrinkToFit="1"/>
    </xf>
    <xf numFmtId="170" fontId="37" fillId="0" borderId="29" xfId="1" applyNumberFormat="1" applyFont="1" applyFill="1" applyBorder="1" applyAlignment="1">
      <alignment horizontal="center" vertical="center" shrinkToFit="1"/>
    </xf>
    <xf numFmtId="170" fontId="37" fillId="0" borderId="16" xfId="1" applyNumberFormat="1" applyFont="1" applyFill="1" applyBorder="1" applyAlignment="1">
      <alignment horizontal="center" vertical="center" shrinkToFit="1"/>
    </xf>
    <xf numFmtId="170" fontId="25" fillId="0" borderId="8" xfId="37" applyNumberFormat="1" applyFont="1" applyFill="1" applyBorder="1" applyAlignment="1">
      <alignment horizontal="center" vertical="center" shrinkToFit="1"/>
    </xf>
    <xf numFmtId="170" fontId="37" fillId="0" borderId="6" xfId="1" applyNumberFormat="1" applyFont="1" applyFill="1" applyBorder="1" applyAlignment="1">
      <alignment horizontal="center" vertical="center" shrinkToFit="1"/>
    </xf>
    <xf numFmtId="170" fontId="38" fillId="0" borderId="0" xfId="1" applyNumberFormat="1" applyFont="1" applyFill="1" applyBorder="1" applyAlignment="1">
      <alignment horizontal="center" vertical="center" shrinkToFit="1"/>
    </xf>
    <xf numFmtId="170" fontId="38" fillId="0" borderId="0" xfId="37" applyNumberFormat="1" applyFont="1" applyFill="1" applyBorder="1" applyAlignment="1">
      <alignment horizontal="center" vertical="center" shrinkToFit="1"/>
    </xf>
    <xf numFmtId="170" fontId="70" fillId="0" borderId="0" xfId="37" applyNumberFormat="1" applyFont="1" applyFill="1" applyBorder="1" applyAlignment="1">
      <alignment horizontal="center" vertical="center" shrinkToFit="1"/>
    </xf>
    <xf numFmtId="170" fontId="39" fillId="0" borderId="4" xfId="1" applyNumberFormat="1" applyFont="1" applyFill="1" applyBorder="1" applyAlignment="1">
      <alignment horizontal="center" vertical="center" shrinkToFit="1"/>
    </xf>
    <xf numFmtId="170" fontId="39" fillId="0" borderId="15" xfId="37" applyNumberFormat="1" applyFont="1" applyFill="1" applyBorder="1" applyAlignment="1">
      <alignment horizontal="center" vertical="center" shrinkToFit="1"/>
    </xf>
    <xf numFmtId="170" fontId="39" fillId="0" borderId="16" xfId="37" applyNumberFormat="1" applyFont="1" applyFill="1" applyBorder="1" applyAlignment="1">
      <alignment horizontal="center" vertical="center" shrinkToFit="1"/>
    </xf>
    <xf numFmtId="170" fontId="24" fillId="0" borderId="15" xfId="37" applyNumberFormat="1" applyFont="1" applyFill="1" applyBorder="1" applyAlignment="1">
      <alignment horizontal="center" vertical="center" shrinkToFit="1"/>
    </xf>
    <xf numFmtId="170" fontId="37" fillId="0" borderId="16" xfId="37" applyNumberFormat="1" applyFont="1" applyFill="1" applyBorder="1" applyAlignment="1">
      <alignment horizontal="center" vertical="center" shrinkToFit="1"/>
    </xf>
    <xf numFmtId="170" fontId="37" fillId="0" borderId="15" xfId="1" applyNumberFormat="1" applyFont="1" applyFill="1" applyBorder="1" applyAlignment="1">
      <alignment horizontal="center" vertical="center" shrinkToFit="1" readingOrder="2"/>
    </xf>
    <xf numFmtId="170" fontId="25" fillId="0" borderId="5" xfId="37" applyNumberFormat="1" applyFont="1" applyFill="1" applyBorder="1" applyAlignment="1">
      <alignment horizontal="center" vertical="center" shrinkToFit="1"/>
    </xf>
    <xf numFmtId="170" fontId="37" fillId="0" borderId="6" xfId="1" applyNumberFormat="1" applyFont="1" applyFill="1" applyBorder="1" applyAlignment="1">
      <alignment horizontal="center" vertical="center" shrinkToFit="1" readingOrder="2"/>
    </xf>
    <xf numFmtId="170" fontId="38" fillId="0" borderId="6" xfId="1" applyNumberFormat="1" applyFont="1" applyFill="1" applyBorder="1" applyAlignment="1">
      <alignment horizontal="center" vertical="center" shrinkToFit="1"/>
    </xf>
    <xf numFmtId="170" fontId="37" fillId="0" borderId="14" xfId="1" applyNumberFormat="1" applyFont="1" applyFill="1" applyBorder="1" applyAlignment="1">
      <alignment horizontal="center" vertical="center" shrinkToFit="1" readingOrder="2"/>
    </xf>
    <xf numFmtId="170" fontId="37" fillId="0" borderId="27" xfId="1" applyNumberFormat="1" applyFont="1" applyFill="1" applyBorder="1" applyAlignment="1">
      <alignment horizontal="center" vertical="center" shrinkToFit="1"/>
    </xf>
    <xf numFmtId="170" fontId="37" fillId="0" borderId="14" xfId="1" applyNumberFormat="1" applyFont="1" applyFill="1" applyBorder="1" applyAlignment="1">
      <alignment horizontal="center" vertical="center" shrinkToFit="1"/>
    </xf>
    <xf numFmtId="170" fontId="37" fillId="0" borderId="23" xfId="1" applyNumberFormat="1" applyFont="1" applyFill="1" applyBorder="1" applyAlignment="1">
      <alignment horizontal="center" vertical="center" shrinkToFit="1"/>
    </xf>
    <xf numFmtId="170" fontId="38" fillId="0" borderId="27" xfId="1" applyNumberFormat="1" applyFont="1" applyFill="1" applyBorder="1" applyAlignment="1">
      <alignment horizontal="center" vertical="center" shrinkToFit="1"/>
    </xf>
    <xf numFmtId="170" fontId="38" fillId="0" borderId="15" xfId="1" applyNumberFormat="1" applyFont="1" applyFill="1" applyBorder="1" applyAlignment="1">
      <alignment horizontal="center" vertical="center" shrinkToFit="1"/>
    </xf>
    <xf numFmtId="170" fontId="37" fillId="0" borderId="31" xfId="1" applyNumberFormat="1" applyFont="1" applyFill="1" applyBorder="1" applyAlignment="1">
      <alignment horizontal="center" vertical="center" shrinkToFit="1"/>
    </xf>
    <xf numFmtId="170" fontId="25" fillId="0" borderId="26" xfId="37" applyNumberFormat="1" applyFont="1" applyFill="1" applyBorder="1" applyAlignment="1">
      <alignment horizontal="center" vertical="center" shrinkToFit="1"/>
    </xf>
    <xf numFmtId="170" fontId="37" fillId="0" borderId="13" xfId="37" applyNumberFormat="1" applyFont="1" applyFill="1" applyBorder="1" applyAlignment="1">
      <alignment horizontal="center" vertical="center" shrinkToFit="1"/>
    </xf>
    <xf numFmtId="170" fontId="37" fillId="0" borderId="46" xfId="1" applyNumberFormat="1" applyFont="1" applyFill="1" applyBorder="1" applyAlignment="1">
      <alignment horizontal="center" vertical="center" shrinkToFit="1" readingOrder="2"/>
    </xf>
    <xf numFmtId="170" fontId="37" fillId="0" borderId="26" xfId="1" applyNumberFormat="1" applyFont="1" applyFill="1" applyBorder="1" applyAlignment="1">
      <alignment horizontal="center" vertical="center" shrinkToFit="1"/>
    </xf>
    <xf numFmtId="170" fontId="37" fillId="0" borderId="27" xfId="1" applyNumberFormat="1" applyFont="1" applyFill="1" applyBorder="1" applyAlignment="1">
      <alignment horizontal="center" vertical="center" shrinkToFit="1" readingOrder="2"/>
    </xf>
    <xf numFmtId="170" fontId="25" fillId="0" borderId="14" xfId="37" applyNumberFormat="1" applyFont="1" applyFill="1" applyBorder="1" applyAlignment="1">
      <alignment horizontal="center" vertical="center" shrinkToFit="1"/>
    </xf>
    <xf numFmtId="170" fontId="37" fillId="0" borderId="10" xfId="37" applyNumberFormat="1" applyFont="1" applyFill="1" applyBorder="1" applyAlignment="1">
      <alignment horizontal="center" vertical="center" shrinkToFit="1"/>
    </xf>
    <xf numFmtId="170" fontId="37" fillId="0" borderId="41" xfId="37" applyNumberFormat="1" applyFont="1" applyFill="1" applyBorder="1" applyAlignment="1">
      <alignment horizontal="center" vertical="center" shrinkToFit="1"/>
    </xf>
    <xf numFmtId="170" fontId="37" fillId="0" borderId="48" xfId="1" applyNumberFormat="1" applyFont="1" applyFill="1" applyBorder="1" applyAlignment="1">
      <alignment horizontal="center" vertical="center" shrinkToFit="1"/>
    </xf>
    <xf numFmtId="170" fontId="39" fillId="0" borderId="15" xfId="1" applyNumberFormat="1" applyFont="1" applyFill="1" applyBorder="1" applyAlignment="1">
      <alignment horizontal="center" vertical="center" shrinkToFit="1"/>
    </xf>
    <xf numFmtId="170" fontId="39" fillId="0" borderId="29" xfId="1" applyNumberFormat="1" applyFont="1" applyFill="1" applyBorder="1" applyAlignment="1">
      <alignment horizontal="center" vertical="center" shrinkToFit="1"/>
    </xf>
    <xf numFmtId="170" fontId="39" fillId="0" borderId="26" xfId="1" applyNumberFormat="1" applyFont="1" applyFill="1" applyBorder="1" applyAlignment="1">
      <alignment horizontal="center" vertical="center" shrinkToFit="1"/>
    </xf>
    <xf numFmtId="170" fontId="38" fillId="0" borderId="21" xfId="1" applyNumberFormat="1" applyFont="1" applyFill="1" applyBorder="1" applyAlignment="1">
      <alignment horizontal="center" vertical="center" shrinkToFit="1"/>
    </xf>
    <xf numFmtId="0" fontId="39" fillId="0" borderId="15" xfId="98" applyFont="1" applyBorder="1" applyAlignment="1">
      <alignment vertical="center" wrapText="1" shrinkToFit="1"/>
    </xf>
    <xf numFmtId="0" fontId="39" fillId="0" borderId="15" xfId="98" applyFont="1" applyBorder="1" applyAlignment="1">
      <alignment horizontal="right" vertical="center" shrinkToFit="1"/>
    </xf>
    <xf numFmtId="169" fontId="39" fillId="0" borderId="15" xfId="70" applyNumberFormat="1" applyFont="1" applyBorder="1" applyAlignment="1">
      <alignment horizontal="right" vertical="center" shrinkToFit="1"/>
    </xf>
    <xf numFmtId="169" fontId="39" fillId="0" borderId="4" xfId="0" applyNumberFormat="1" applyFont="1" applyBorder="1" applyAlignment="1">
      <alignment horizontal="right" vertical="center" shrinkToFit="1"/>
    </xf>
    <xf numFmtId="169" fontId="39" fillId="0" borderId="4" xfId="70" applyNumberFormat="1" applyFont="1" applyBorder="1" applyAlignment="1">
      <alignment horizontal="right" vertical="center" shrinkToFit="1"/>
    </xf>
    <xf numFmtId="49" fontId="39" fillId="0" borderId="15" xfId="122" applyNumberFormat="1" applyFont="1" applyBorder="1" applyAlignment="1">
      <alignment horizontal="center" vertical="center" shrinkToFit="1"/>
    </xf>
    <xf numFmtId="49" fontId="39" fillId="0" borderId="15" xfId="1" applyNumberFormat="1" applyFont="1" applyFill="1" applyBorder="1" applyAlignment="1">
      <alignment horizontal="center" vertical="center" shrinkToFit="1"/>
    </xf>
    <xf numFmtId="0" fontId="33" fillId="0" borderId="0" xfId="0" applyFont="1" applyAlignment="1">
      <alignment wrapText="1"/>
    </xf>
    <xf numFmtId="169" fontId="39" fillId="0" borderId="4" xfId="0" applyNumberFormat="1" applyFont="1" applyBorder="1" applyAlignment="1">
      <alignment horizontal="right" vertical="center" wrapText="1" shrinkToFit="1"/>
    </xf>
    <xf numFmtId="174" fontId="39" fillId="0" borderId="15" xfId="1" quotePrefix="1" applyNumberFormat="1" applyFont="1" applyFill="1" applyBorder="1" applyAlignment="1">
      <alignment horizontal="center" vertical="center" shrinkToFit="1"/>
    </xf>
    <xf numFmtId="49" fontId="24" fillId="0" borderId="4" xfId="0" applyNumberFormat="1" applyFont="1" applyBorder="1" applyAlignment="1">
      <alignment horizontal="center" vertical="center" shrinkToFit="1"/>
    </xf>
    <xf numFmtId="169" fontId="24" fillId="0" borderId="4" xfId="0" applyNumberFormat="1" applyFont="1" applyBorder="1" applyAlignment="1">
      <alignment horizontal="right" vertical="center" shrinkToFit="1"/>
    </xf>
    <xf numFmtId="169" fontId="39" fillId="0" borderId="16" xfId="0" applyNumberFormat="1" applyFont="1" applyBorder="1" applyAlignment="1">
      <alignment horizontal="right" vertical="center" shrinkToFit="1"/>
    </xf>
    <xf numFmtId="0" fontId="39" fillId="0" borderId="15" xfId="98" applyFont="1" applyBorder="1" applyAlignment="1">
      <alignment horizontal="right" vertical="center"/>
    </xf>
    <xf numFmtId="174" fontId="39" fillId="0" borderId="26" xfId="1" applyNumberFormat="1" applyFont="1" applyFill="1" applyBorder="1" applyAlignment="1">
      <alignment horizontal="center" vertical="center" shrinkToFit="1"/>
    </xf>
    <xf numFmtId="0" fontId="39" fillId="0" borderId="15" xfId="0" applyFont="1" applyBorder="1" applyAlignment="1">
      <alignment vertical="center" shrinkToFit="1"/>
    </xf>
    <xf numFmtId="169" fontId="39" fillId="0" borderId="6" xfId="0" applyNumberFormat="1" applyFont="1" applyBorder="1" applyAlignment="1">
      <alignment horizontal="right" vertical="center" shrinkToFit="1"/>
    </xf>
    <xf numFmtId="49" fontId="24" fillId="0" borderId="15" xfId="0" applyNumberFormat="1" applyFont="1" applyBorder="1" applyAlignment="1">
      <alignment horizontal="center" vertical="center" shrinkToFit="1"/>
    </xf>
    <xf numFmtId="169" fontId="24" fillId="0" borderId="6" xfId="0" applyNumberFormat="1" applyFont="1" applyBorder="1" applyAlignment="1">
      <alignment horizontal="right" vertical="center" shrinkToFit="1"/>
    </xf>
    <xf numFmtId="169" fontId="39" fillId="2" borderId="15" xfId="70" applyNumberFormat="1" applyFont="1" applyFill="1" applyBorder="1" applyAlignment="1">
      <alignment horizontal="right" vertical="center" shrinkToFit="1"/>
    </xf>
    <xf numFmtId="174" fontId="39" fillId="0" borderId="34" xfId="1" applyNumberFormat="1" applyFont="1" applyFill="1" applyBorder="1" applyAlignment="1">
      <alignment horizontal="center" vertical="center" shrinkToFit="1"/>
    </xf>
    <xf numFmtId="174" fontId="39" fillId="0" borderId="15" xfId="0" applyNumberFormat="1" applyFont="1" applyBorder="1" applyAlignment="1">
      <alignment horizontal="center" shrinkToFit="1"/>
    </xf>
    <xf numFmtId="174" fontId="39" fillId="0" borderId="15" xfId="0" applyNumberFormat="1" applyFont="1" applyBorder="1" applyAlignment="1">
      <alignment vertical="center" shrinkToFit="1"/>
    </xf>
    <xf numFmtId="49" fontId="39" fillId="0" borderId="15" xfId="0" applyNumberFormat="1" applyFont="1" applyBorder="1" applyAlignment="1">
      <alignment horizontal="center" shrinkToFit="1"/>
    </xf>
    <xf numFmtId="174" fontId="39" fillId="0" borderId="4" xfId="70" applyNumberFormat="1" applyFont="1" applyBorder="1" applyAlignment="1">
      <alignment horizontal="center" vertical="center" shrinkToFit="1"/>
    </xf>
    <xf numFmtId="174" fontId="39" fillId="0" borderId="15" xfId="0" applyNumberFormat="1" applyFont="1" applyBorder="1" applyAlignment="1">
      <alignment horizontal="right" vertical="center" shrinkToFit="1"/>
    </xf>
    <xf numFmtId="174" fontId="39" fillId="0" borderId="15" xfId="0" applyNumberFormat="1" applyFont="1" applyBorder="1" applyAlignment="1">
      <alignment horizontal="center" vertical="center" shrinkToFit="1"/>
    </xf>
    <xf numFmtId="174" fontId="39" fillId="0" borderId="15" xfId="0" applyNumberFormat="1" applyFont="1" applyBorder="1" applyAlignment="1">
      <alignment horizontal="right" vertical="center" wrapText="1" shrinkToFit="1"/>
    </xf>
    <xf numFmtId="174" fontId="39" fillId="0" borderId="15" xfId="0" applyNumberFormat="1" applyFont="1" applyBorder="1" applyAlignment="1">
      <alignment horizontal="right" vertical="center" wrapText="1"/>
    </xf>
    <xf numFmtId="174" fontId="39" fillId="0" borderId="15" xfId="98" applyNumberFormat="1" applyFont="1" applyBorder="1" applyAlignment="1">
      <alignment horizontal="right" vertical="center" wrapText="1" shrinkToFit="1"/>
    </xf>
    <xf numFmtId="169" fontId="63" fillId="0" borderId="4" xfId="1" applyNumberFormat="1" applyFont="1" applyFill="1" applyBorder="1" applyAlignment="1">
      <alignment horizontal="center" vertical="center" wrapText="1" readingOrder="2"/>
    </xf>
    <xf numFmtId="0" fontId="25" fillId="0" borderId="15" xfId="98" applyFont="1" applyBorder="1" applyAlignment="1">
      <alignment horizontal="right" vertical="center"/>
    </xf>
    <xf numFmtId="49" fontId="34" fillId="0" borderId="15" xfId="1" applyNumberFormat="1" applyFont="1" applyFill="1" applyBorder="1" applyAlignment="1">
      <alignment vertical="center" shrinkToFit="1"/>
    </xf>
    <xf numFmtId="169" fontId="34" fillId="0" borderId="15" xfId="70" applyNumberFormat="1" applyFont="1" applyBorder="1" applyAlignment="1">
      <alignment vertical="center" shrinkToFit="1" readingOrder="2"/>
    </xf>
    <xf numFmtId="174" fontId="41" fillId="0" borderId="0" xfId="34" applyNumberFormat="1" applyFont="1" applyAlignment="1">
      <alignment horizontal="center" vertical="center" readingOrder="2"/>
    </xf>
    <xf numFmtId="174" fontId="110" fillId="0" borderId="15" xfId="147" applyNumberFormat="1" applyFont="1" applyBorder="1" applyAlignment="1">
      <alignment vertical="center" shrinkToFit="1"/>
    </xf>
    <xf numFmtId="174" fontId="110" fillId="0" borderId="15" xfId="148" applyNumberFormat="1" applyFont="1" applyBorder="1" applyAlignment="1">
      <alignment horizontal="center" vertical="center" shrinkToFit="1"/>
    </xf>
    <xf numFmtId="174" fontId="33" fillId="0" borderId="15" xfId="34" applyNumberFormat="1" applyFont="1" applyBorder="1" applyAlignment="1">
      <alignment horizontal="center" vertical="center" shrinkToFit="1"/>
    </xf>
    <xf numFmtId="174" fontId="37" fillId="0" borderId="15" xfId="34" applyNumberFormat="1" applyFont="1" applyBorder="1" applyAlignment="1">
      <alignment horizontal="center" vertical="center"/>
    </xf>
    <xf numFmtId="174" fontId="110" fillId="0" borderId="15" xfId="147" quotePrefix="1" applyNumberFormat="1" applyFont="1" applyBorder="1" applyAlignment="1">
      <alignment vertical="center"/>
    </xf>
    <xf numFmtId="174" fontId="110" fillId="0" borderId="15" xfId="147" applyNumberFormat="1" applyFont="1" applyBorder="1" applyAlignment="1">
      <alignment vertical="center"/>
    </xf>
    <xf numFmtId="174" fontId="33" fillId="0" borderId="0" xfId="34" applyNumberFormat="1" applyFont="1" applyAlignment="1">
      <alignment horizontal="center" vertical="center"/>
    </xf>
    <xf numFmtId="174" fontId="110" fillId="0" borderId="15" xfId="148" applyNumberFormat="1" applyFont="1" applyBorder="1" applyAlignment="1">
      <alignment vertical="center" shrinkToFit="1"/>
    </xf>
    <xf numFmtId="174" fontId="37" fillId="0" borderId="15" xfId="16" applyNumberFormat="1" applyFont="1" applyBorder="1" applyAlignment="1">
      <alignment horizontal="center" vertical="center" shrinkToFit="1"/>
    </xf>
    <xf numFmtId="174" fontId="39" fillId="0" borderId="15" xfId="11" applyNumberFormat="1" applyFont="1" applyBorder="1" applyAlignment="1">
      <alignment horizontal="center" vertical="center"/>
    </xf>
    <xf numFmtId="171" fontId="37" fillId="0" borderId="4" xfId="1" applyNumberFormat="1" applyFont="1" applyFill="1" applyBorder="1" applyAlignment="1">
      <alignment horizontal="right" vertical="center" wrapText="1" shrinkToFit="1"/>
    </xf>
    <xf numFmtId="170" fontId="37" fillId="0" borderId="0" xfId="1" applyNumberFormat="1" applyFont="1" applyFill="1" applyBorder="1" applyAlignment="1">
      <alignment horizontal="center" vertical="center" shrinkToFit="1"/>
    </xf>
    <xf numFmtId="170" fontId="25" fillId="0" borderId="0" xfId="37" applyNumberFormat="1" applyFont="1" applyFill="1" applyBorder="1" applyAlignment="1">
      <alignment horizontal="center" vertical="center" shrinkToFit="1"/>
    </xf>
    <xf numFmtId="169" fontId="37" fillId="0" borderId="0" xfId="37" applyNumberFormat="1" applyFont="1" applyFill="1" applyBorder="1" applyAlignment="1">
      <alignment horizontal="center" vertical="center" shrinkToFit="1"/>
    </xf>
    <xf numFmtId="171" fontId="37" fillId="0" borderId="15" xfId="1" applyNumberFormat="1" applyFont="1" applyFill="1" applyBorder="1" applyAlignment="1">
      <alignment horizontal="right" vertical="center" wrapText="1" shrinkToFit="1"/>
    </xf>
    <xf numFmtId="174" fontId="33" fillId="0" borderId="0" xfId="0" applyNumberFormat="1" applyFont="1" applyAlignment="1">
      <alignment horizontal="center" vertical="center"/>
    </xf>
    <xf numFmtId="0" fontId="36" fillId="0" borderId="0" xfId="0" applyFont="1" applyAlignment="1">
      <alignment horizontal="center" vertical="center" shrinkToFit="1"/>
    </xf>
    <xf numFmtId="174" fontId="39" fillId="0" borderId="0" xfId="1" applyNumberFormat="1" applyFont="1" applyFill="1" applyBorder="1" applyAlignment="1">
      <alignment horizontal="center" vertical="center" shrinkToFit="1"/>
    </xf>
    <xf numFmtId="170" fontId="39" fillId="0" borderId="0" xfId="57" applyNumberFormat="1" applyFont="1" applyFill="1" applyBorder="1" applyAlignment="1">
      <alignment vertical="center" shrinkToFit="1"/>
    </xf>
    <xf numFmtId="170" fontId="24" fillId="0" borderId="0" xfId="57" applyNumberFormat="1" applyFont="1" applyFill="1" applyBorder="1" applyAlignment="1">
      <alignment vertical="center" shrinkToFit="1"/>
    </xf>
    <xf numFmtId="169" fontId="37" fillId="0" borderId="0" xfId="3" applyNumberFormat="1" applyFont="1" applyFill="1" applyBorder="1" applyAlignment="1">
      <alignment horizontal="center" vertical="center" shrinkToFit="1"/>
    </xf>
    <xf numFmtId="169" fontId="39" fillId="0" borderId="0" xfId="3" applyNumberFormat="1" applyFont="1" applyFill="1" applyBorder="1" applyAlignment="1">
      <alignment horizontal="right" vertical="center" wrapText="1" shrinkToFit="1"/>
    </xf>
    <xf numFmtId="169" fontId="39" fillId="0" borderId="0" xfId="3" applyNumberFormat="1" applyFont="1" applyFill="1" applyBorder="1" applyAlignment="1">
      <alignment horizontal="center" vertical="center" wrapText="1" shrinkToFit="1"/>
    </xf>
    <xf numFmtId="169" fontId="41" fillId="0" borderId="15" xfId="3" applyNumberFormat="1" applyFont="1" applyBorder="1" applyAlignment="1">
      <alignment horizontal="center" vertical="center"/>
    </xf>
    <xf numFmtId="0" fontId="110" fillId="0" borderId="15" xfId="149" applyFont="1" applyBorder="1" applyAlignment="1">
      <alignment horizontal="center" vertical="center"/>
    </xf>
    <xf numFmtId="174" fontId="110" fillId="0" borderId="15" xfId="150" applyNumberFormat="1" applyFont="1" applyBorder="1" applyAlignment="1">
      <alignment horizontal="center" vertical="center"/>
    </xf>
    <xf numFmtId="174" fontId="110" fillId="0" borderId="15" xfId="149" applyNumberFormat="1" applyFont="1" applyBorder="1" applyAlignment="1">
      <alignment horizontal="center" vertical="center"/>
    </xf>
    <xf numFmtId="49" fontId="38" fillId="0" borderId="34" xfId="70" applyNumberFormat="1" applyFont="1" applyBorder="1" applyAlignment="1">
      <alignment horizontal="center" vertical="center" shrinkToFit="1"/>
    </xf>
    <xf numFmtId="170" fontId="37" fillId="0" borderId="34" xfId="70" applyNumberFormat="1" applyFont="1" applyBorder="1" applyAlignment="1">
      <alignment horizontal="center" vertical="center" shrinkToFit="1"/>
    </xf>
    <xf numFmtId="0" fontId="42" fillId="0" borderId="0" xfId="0" applyFont="1"/>
    <xf numFmtId="174" fontId="37" fillId="0" borderId="34" xfId="1" applyNumberFormat="1" applyFont="1" applyBorder="1" applyAlignment="1">
      <alignment horizontal="center" vertical="center" shrinkToFit="1"/>
    </xf>
    <xf numFmtId="2" fontId="42" fillId="0" borderId="63" xfId="0" applyNumberFormat="1" applyFont="1" applyBorder="1" applyAlignment="1">
      <alignment horizontal="center" vertical="center" shrinkToFit="1"/>
    </xf>
    <xf numFmtId="169" fontId="36" fillId="0" borderId="0" xfId="70" applyNumberFormat="1" applyFont="1" applyAlignment="1">
      <alignment horizontal="right" vertical="top" wrapText="1" shrinkToFit="1" readingOrder="2"/>
    </xf>
    <xf numFmtId="169" fontId="33" fillId="0" borderId="0" xfId="70" applyNumberFormat="1" applyFont="1" applyAlignment="1">
      <alignment horizontal="center" shrinkToFit="1"/>
    </xf>
    <xf numFmtId="0" fontId="33" fillId="0" borderId="90" xfId="0" applyFont="1" applyBorder="1" applyAlignment="1">
      <alignment vertical="center" wrapText="1"/>
    </xf>
    <xf numFmtId="0" fontId="45" fillId="0" borderId="90" xfId="0" applyFont="1" applyBorder="1" applyAlignment="1">
      <alignment horizontal="center" vertical="center" wrapText="1"/>
    </xf>
    <xf numFmtId="169" fontId="52" fillId="0" borderId="0" xfId="1" applyNumberFormat="1" applyFont="1" applyFill="1" applyBorder="1" applyAlignment="1">
      <alignment horizontal="center" vertical="center" readingOrder="2"/>
    </xf>
    <xf numFmtId="169" fontId="52" fillId="0" borderId="0" xfId="90" applyNumberFormat="1" applyFont="1" applyBorder="1" applyAlignment="1">
      <alignment horizontal="center" vertical="center" shrinkToFit="1"/>
    </xf>
    <xf numFmtId="169" fontId="52" fillId="0" borderId="5" xfId="90" applyNumberFormat="1" applyFont="1" applyBorder="1" applyAlignment="1">
      <alignment horizontal="right" vertical="center" wrapText="1"/>
    </xf>
    <xf numFmtId="169" fontId="52" fillId="0" borderId="20" xfId="90" applyNumberFormat="1" applyFont="1" applyBorder="1" applyAlignment="1">
      <alignment horizontal="right" vertical="center" wrapText="1"/>
    </xf>
    <xf numFmtId="169" fontId="49" fillId="0" borderId="20" xfId="90" applyNumberFormat="1" applyFont="1" applyBorder="1" applyAlignment="1">
      <alignment horizontal="right" vertical="center" wrapText="1"/>
    </xf>
    <xf numFmtId="169" fontId="52" fillId="0" borderId="16" xfId="90" applyNumberFormat="1" applyFont="1" applyBorder="1" applyAlignment="1">
      <alignment horizontal="right" vertical="center" wrapText="1"/>
    </xf>
    <xf numFmtId="169" fontId="51" fillId="0" borderId="4" xfId="1" applyNumberFormat="1" applyFont="1" applyFill="1" applyBorder="1" applyAlignment="1">
      <alignment horizontal="center" vertical="center"/>
    </xf>
    <xf numFmtId="169" fontId="49" fillId="0" borderId="4" xfId="1" applyNumberFormat="1" applyFont="1" applyFill="1" applyBorder="1" applyAlignment="1">
      <alignment horizontal="center" vertical="center"/>
    </xf>
    <xf numFmtId="169" fontId="35" fillId="0" borderId="4" xfId="1" applyNumberFormat="1" applyFont="1" applyFill="1" applyBorder="1" applyAlignment="1">
      <alignment horizontal="center" vertical="center"/>
    </xf>
    <xf numFmtId="169" fontId="38" fillId="0" borderId="0" xfId="0" applyNumberFormat="1" applyFont="1" applyAlignment="1">
      <alignment horizontal="right" vertical="top" wrapText="1" shrinkToFit="1"/>
    </xf>
    <xf numFmtId="169" fontId="51" fillId="0" borderId="0" xfId="0" applyNumberFormat="1" applyFont="1" applyAlignment="1">
      <alignment horizontal="center" vertical="center" shrinkToFit="1"/>
    </xf>
    <xf numFmtId="170" fontId="110" fillId="0" borderId="15" xfId="154" applyNumberFormat="1" applyFont="1" applyFill="1" applyBorder="1" applyAlignment="1">
      <alignment horizontal="center"/>
    </xf>
    <xf numFmtId="169" fontId="33" fillId="0" borderId="92" xfId="0" applyNumberFormat="1" applyFont="1" applyBorder="1" applyAlignment="1">
      <alignment horizontal="center" vertical="center" shrinkToFit="1"/>
    </xf>
    <xf numFmtId="169" fontId="41" fillId="0" borderId="26" xfId="70" applyNumberFormat="1" applyFont="1" applyBorder="1" applyAlignment="1">
      <alignment vertical="center" shrinkToFit="1"/>
    </xf>
    <xf numFmtId="49" fontId="39" fillId="0" borderId="26" xfId="34" applyNumberFormat="1" applyFont="1" applyFill="1" applyBorder="1" applyAlignment="1">
      <alignment horizontal="center" vertical="center" shrinkToFit="1"/>
    </xf>
    <xf numFmtId="169" fontId="41" fillId="0" borderId="26" xfId="70" applyNumberFormat="1" applyFont="1" applyBorder="1" applyAlignment="1">
      <alignment horizontal="right" vertical="center" shrinkToFit="1" readingOrder="2"/>
    </xf>
    <xf numFmtId="169" fontId="25" fillId="0" borderId="31" xfId="70" applyNumberFormat="1" applyFont="1" applyBorder="1" applyAlignment="1">
      <alignment horizontal="center" vertical="center" shrinkToFit="1" readingOrder="2"/>
    </xf>
    <xf numFmtId="169" fontId="37" fillId="0" borderId="26" xfId="70" applyNumberFormat="1" applyFont="1" applyBorder="1" applyAlignment="1">
      <alignment horizontal="center" vertical="center" shrinkToFit="1"/>
    </xf>
    <xf numFmtId="169" fontId="37" fillId="0" borderId="29" xfId="70" applyNumberFormat="1" applyFont="1" applyBorder="1" applyAlignment="1">
      <alignment horizontal="center" vertical="center" shrinkToFit="1"/>
    </xf>
    <xf numFmtId="169" fontId="39" fillId="0" borderId="48" xfId="70" applyNumberFormat="1" applyFont="1" applyBorder="1" applyAlignment="1">
      <alignment horizontal="right" vertical="center" shrinkToFit="1" readingOrder="2"/>
    </xf>
    <xf numFmtId="169" fontId="37" fillId="0" borderId="48" xfId="70" applyNumberFormat="1" applyFont="1" applyBorder="1" applyAlignment="1">
      <alignment horizontal="center" vertical="center" shrinkToFit="1"/>
    </xf>
    <xf numFmtId="169" fontId="37" fillId="0" borderId="48" xfId="34" applyNumberFormat="1" applyFont="1" applyFill="1" applyBorder="1" applyAlignment="1">
      <alignment horizontal="center" vertical="center" shrinkToFit="1"/>
    </xf>
    <xf numFmtId="169" fontId="37" fillId="0" borderId="37" xfId="34" applyNumberFormat="1" applyFont="1" applyFill="1" applyBorder="1" applyAlignment="1">
      <alignment horizontal="center" vertical="center" shrinkToFit="1"/>
    </xf>
    <xf numFmtId="169" fontId="24" fillId="0" borderId="0" xfId="70" applyNumberFormat="1" applyFont="1" applyBorder="1" applyAlignment="1">
      <alignment vertical="center" wrapText="1" readingOrder="2"/>
    </xf>
    <xf numFmtId="169" fontId="39" fillId="0" borderId="26" xfId="70" applyNumberFormat="1" applyFont="1" applyBorder="1" applyAlignment="1">
      <alignment horizontal="right" vertical="center" shrinkToFit="1" readingOrder="2"/>
    </xf>
    <xf numFmtId="169" fontId="24" fillId="0" borderId="37" xfId="70" applyNumberFormat="1" applyFont="1" applyBorder="1" applyAlignment="1">
      <alignment horizontal="center" vertical="center" shrinkToFit="1" readingOrder="2"/>
    </xf>
    <xf numFmtId="169" fontId="44" fillId="0" borderId="15" xfId="0" applyNumberFormat="1" applyFont="1" applyBorder="1" applyAlignment="1">
      <alignment vertical="center" shrinkToFit="1" readingOrder="2"/>
    </xf>
    <xf numFmtId="169" fontId="46" fillId="0" borderId="0" xfId="70" applyNumberFormat="1" applyFont="1" applyAlignment="1">
      <alignment vertical="center" shrinkToFit="1"/>
    </xf>
    <xf numFmtId="174" fontId="38" fillId="0" borderId="0" xfId="1" applyNumberFormat="1" applyFont="1" applyFill="1" applyBorder="1" applyAlignment="1">
      <alignment vertical="center" shrinkToFit="1" readingOrder="2"/>
    </xf>
    <xf numFmtId="174" fontId="44" fillId="0" borderId="0" xfId="1" applyNumberFormat="1" applyFont="1" applyFill="1" applyBorder="1" applyAlignment="1">
      <alignment vertical="center" shrinkToFit="1" readingOrder="2"/>
    </xf>
    <xf numFmtId="170" fontId="37" fillId="0" borderId="42" xfId="1" applyNumberFormat="1" applyFont="1" applyFill="1" applyBorder="1" applyAlignment="1">
      <alignment horizontal="center" vertical="center" shrinkToFit="1"/>
    </xf>
    <xf numFmtId="170" fontId="37" fillId="0" borderId="0" xfId="1" applyNumberFormat="1" applyFont="1" applyFill="1" applyBorder="1" applyAlignment="1">
      <alignment horizontal="center" vertical="center" shrinkToFit="1" readingOrder="2"/>
    </xf>
    <xf numFmtId="170" fontId="37" fillId="0" borderId="10" xfId="1" applyNumberFormat="1" applyFont="1" applyFill="1" applyBorder="1" applyAlignment="1">
      <alignment horizontal="center" vertical="center" shrinkToFit="1"/>
    </xf>
    <xf numFmtId="170" fontId="39" fillId="0" borderId="87" xfId="1" applyNumberFormat="1" applyFont="1" applyFill="1" applyBorder="1" applyAlignment="1">
      <alignment horizontal="center" vertical="center" shrinkToFit="1"/>
    </xf>
    <xf numFmtId="170" fontId="46" fillId="0" borderId="15" xfId="1" applyNumberFormat="1" applyFont="1" applyFill="1" applyBorder="1" applyAlignment="1">
      <alignment horizontal="center" vertical="center" wrapText="1" shrinkToFit="1"/>
    </xf>
    <xf numFmtId="171" fontId="25" fillId="0" borderId="5" xfId="1" applyNumberFormat="1" applyFont="1" applyFill="1" applyBorder="1" applyAlignment="1">
      <alignment horizontal="right" vertical="center" shrinkToFit="1"/>
    </xf>
    <xf numFmtId="170" fontId="25" fillId="0" borderId="15" xfId="1" applyNumberFormat="1" applyFont="1" applyFill="1" applyBorder="1" applyAlignment="1">
      <alignment horizontal="center" vertical="center" shrinkToFit="1"/>
    </xf>
    <xf numFmtId="171" fontId="37" fillId="0" borderId="29" xfId="1" applyNumberFormat="1" applyFont="1" applyFill="1" applyBorder="1" applyAlignment="1">
      <alignment horizontal="right" vertical="center" shrinkToFit="1"/>
    </xf>
    <xf numFmtId="169" fontId="138" fillId="0" borderId="50" xfId="70" applyNumberFormat="1" applyFont="1" applyBorder="1" applyAlignment="1">
      <alignment horizontal="center" vertical="center" shrinkToFit="1"/>
    </xf>
    <xf numFmtId="169" fontId="139" fillId="0" borderId="0" xfId="0" applyNumberFormat="1" applyFont="1" applyAlignment="1">
      <alignment horizontal="center" vertical="center" shrinkToFit="1"/>
    </xf>
    <xf numFmtId="169" fontId="114" fillId="0" borderId="50" xfId="70" applyNumberFormat="1" applyFont="1" applyBorder="1" applyAlignment="1">
      <alignment horizontal="center" vertical="center"/>
    </xf>
    <xf numFmtId="169" fontId="114" fillId="0" borderId="50" xfId="70" applyNumberFormat="1" applyFont="1" applyBorder="1" applyAlignment="1">
      <alignment horizontal="center" vertical="center" wrapText="1" shrinkToFit="1"/>
    </xf>
    <xf numFmtId="169" fontId="114" fillId="0" borderId="50" xfId="70" applyNumberFormat="1" applyFont="1" applyBorder="1"/>
    <xf numFmtId="169" fontId="51" fillId="0" borderId="50" xfId="70" applyNumberFormat="1" applyFont="1" applyBorder="1" applyAlignment="1">
      <alignment horizontal="center" vertical="center"/>
    </xf>
    <xf numFmtId="169" fontId="114" fillId="0" borderId="0" xfId="0" applyNumberFormat="1" applyFont="1" applyAlignment="1">
      <alignment vertical="center"/>
    </xf>
    <xf numFmtId="169" fontId="51" fillId="0" borderId="0" xfId="0" applyNumberFormat="1" applyFont="1" applyAlignment="1">
      <alignment horizontal="center" vertical="center" shrinkToFit="1" readingOrder="2"/>
    </xf>
    <xf numFmtId="169" fontId="114" fillId="0" borderId="0" xfId="0" applyNumberFormat="1" applyFont="1" applyAlignment="1">
      <alignment horizontal="center" vertical="center" shrinkToFit="1"/>
    </xf>
    <xf numFmtId="169" fontId="114" fillId="0" borderId="0" xfId="70" applyNumberFormat="1" applyFont="1" applyBorder="1" applyAlignment="1">
      <alignment horizontal="center" vertical="center"/>
    </xf>
    <xf numFmtId="169" fontId="114" fillId="0" borderId="0" xfId="70" applyNumberFormat="1" applyFont="1" applyBorder="1" applyAlignment="1">
      <alignment horizontal="center" vertical="center" wrapText="1" shrinkToFit="1"/>
    </xf>
    <xf numFmtId="169" fontId="114" fillId="0" borderId="0" xfId="70" applyNumberFormat="1" applyFont="1" applyBorder="1"/>
    <xf numFmtId="169" fontId="51" fillId="0" borderId="0" xfId="70" applyNumberFormat="1" applyFont="1" applyBorder="1" applyAlignment="1">
      <alignment horizontal="center" vertical="center"/>
    </xf>
    <xf numFmtId="169" fontId="38" fillId="0" borderId="0" xfId="70" applyNumberFormat="1" applyFont="1" applyAlignment="1">
      <alignment horizontal="center" shrinkToFit="1"/>
    </xf>
    <xf numFmtId="49" fontId="38" fillId="0" borderId="0" xfId="70" applyNumberFormat="1" applyFont="1" applyBorder="1" applyAlignment="1">
      <alignment horizontal="center" vertical="center"/>
    </xf>
    <xf numFmtId="169" fontId="35" fillId="0" borderId="70" xfId="0" applyNumberFormat="1" applyFont="1" applyBorder="1" applyAlignment="1">
      <alignment horizontal="center" vertical="center" shrinkToFit="1"/>
    </xf>
    <xf numFmtId="169" fontId="52" fillId="0" borderId="19" xfId="90" applyNumberFormat="1" applyFont="1" applyBorder="1" applyAlignment="1">
      <alignment horizontal="center" vertical="center" shrinkToFit="1"/>
    </xf>
    <xf numFmtId="169" fontId="52" fillId="0" borderId="40" xfId="90" applyNumberFormat="1" applyFont="1" applyBorder="1" applyAlignment="1">
      <alignment horizontal="center" vertical="center" shrinkToFit="1"/>
    </xf>
    <xf numFmtId="170" fontId="39" fillId="0" borderId="50" xfId="1" applyNumberFormat="1" applyFont="1" applyFill="1" applyBorder="1" applyAlignment="1">
      <alignment vertical="center" shrinkToFit="1"/>
    </xf>
    <xf numFmtId="169" fontId="39" fillId="0" borderId="0" xfId="0" applyNumberFormat="1" applyFont="1" applyAlignment="1">
      <alignment horizontal="center" shrinkToFit="1"/>
    </xf>
    <xf numFmtId="170" fontId="70" fillId="0" borderId="0" xfId="0" applyNumberFormat="1" applyFont="1" applyAlignment="1">
      <alignment horizontal="center" shrinkToFit="1"/>
    </xf>
    <xf numFmtId="170" fontId="70" fillId="0" borderId="92" xfId="0" applyNumberFormat="1" applyFont="1" applyBorder="1" applyAlignment="1">
      <alignment horizontal="center" shrinkToFit="1"/>
    </xf>
    <xf numFmtId="170" fontId="70" fillId="0" borderId="28" xfId="0" applyNumberFormat="1" applyFont="1" applyBorder="1" applyAlignment="1">
      <alignment horizontal="center" shrinkToFit="1"/>
    </xf>
    <xf numFmtId="170" fontId="44" fillId="4" borderId="16" xfId="74" applyNumberFormat="1" applyFont="1" applyFill="1" applyBorder="1" applyAlignment="1">
      <alignment horizontal="center" vertical="center" shrinkToFit="1"/>
    </xf>
    <xf numFmtId="170" fontId="41" fillId="0" borderId="15" xfId="0" applyNumberFormat="1" applyFont="1" applyBorder="1" applyAlignment="1">
      <alignment horizontal="center" shrinkToFit="1"/>
    </xf>
    <xf numFmtId="169" fontId="137" fillId="0" borderId="7" xfId="90" applyNumberFormat="1" applyFont="1" applyFill="1" applyBorder="1" applyAlignment="1">
      <alignment horizontal="center" vertical="center" wrapText="1"/>
    </xf>
    <xf numFmtId="0" fontId="44" fillId="0" borderId="15" xfId="0" applyFont="1" applyBorder="1" applyAlignment="1">
      <alignment horizontal="center" vertical="center" wrapText="1"/>
    </xf>
    <xf numFmtId="169" fontId="37" fillId="6" borderId="0" xfId="70" applyNumberFormat="1" applyFont="1" applyFill="1" applyAlignment="1">
      <alignment vertical="center"/>
    </xf>
    <xf numFmtId="169" fontId="41" fillId="6" borderId="0" xfId="70" applyNumberFormat="1" applyFont="1" applyFill="1" applyAlignment="1">
      <alignment vertical="center"/>
    </xf>
    <xf numFmtId="169" fontId="41" fillId="6" borderId="0" xfId="70" applyNumberFormat="1" applyFont="1" applyFill="1" applyBorder="1" applyAlignment="1">
      <alignment vertical="center" shrinkToFit="1"/>
    </xf>
    <xf numFmtId="169" fontId="41" fillId="6" borderId="0" xfId="70" applyNumberFormat="1" applyFont="1" applyFill="1" applyBorder="1" applyAlignment="1">
      <alignment vertical="center"/>
    </xf>
    <xf numFmtId="169" fontId="46" fillId="6" borderId="15" xfId="70" applyNumberFormat="1" applyFont="1" applyFill="1" applyBorder="1" applyAlignment="1">
      <alignment horizontal="center" vertical="center" wrapText="1"/>
    </xf>
    <xf numFmtId="170" fontId="37" fillId="6" borderId="29" xfId="70" applyNumberFormat="1" applyFont="1" applyFill="1" applyBorder="1" applyAlignment="1">
      <alignment horizontal="center" vertical="center" shrinkToFit="1"/>
    </xf>
    <xf numFmtId="170" fontId="37" fillId="6" borderId="15" xfId="70" applyNumberFormat="1" applyFont="1" applyFill="1" applyBorder="1" applyAlignment="1">
      <alignment horizontal="center" vertical="center" shrinkToFit="1"/>
    </xf>
    <xf numFmtId="170" fontId="110" fillId="6" borderId="15" xfId="154" applyNumberFormat="1" applyFont="1" applyFill="1" applyBorder="1" applyAlignment="1">
      <alignment shrinkToFit="1"/>
    </xf>
    <xf numFmtId="170" fontId="110" fillId="6" borderId="26" xfId="154" applyNumberFormat="1" applyFont="1" applyFill="1" applyBorder="1" applyAlignment="1">
      <alignment shrinkToFit="1"/>
    </xf>
    <xf numFmtId="169" fontId="37" fillId="6" borderId="48" xfId="34" applyNumberFormat="1" applyFont="1" applyFill="1" applyBorder="1" applyAlignment="1">
      <alignment horizontal="center" vertical="center" shrinkToFit="1"/>
    </xf>
    <xf numFmtId="169" fontId="24" fillId="6" borderId="48" xfId="70" applyNumberFormat="1" applyFont="1" applyFill="1" applyBorder="1" applyAlignment="1">
      <alignment horizontal="center" vertical="center" shrinkToFit="1" readingOrder="2"/>
    </xf>
    <xf numFmtId="169" fontId="41" fillId="6" borderId="0" xfId="34" applyNumberFormat="1" applyFont="1" applyFill="1" applyAlignment="1">
      <alignment vertical="center"/>
    </xf>
    <xf numFmtId="169" fontId="37" fillId="6" borderId="15" xfId="70" applyNumberFormat="1" applyFont="1" applyFill="1" applyBorder="1" applyAlignment="1">
      <alignment horizontal="center" vertical="center" shrinkToFit="1"/>
    </xf>
    <xf numFmtId="169" fontId="37" fillId="6" borderId="26" xfId="70" applyNumberFormat="1" applyFont="1" applyFill="1" applyBorder="1" applyAlignment="1">
      <alignment horizontal="center" vertical="center" shrinkToFit="1"/>
    </xf>
    <xf numFmtId="169" fontId="41" fillId="6" borderId="0" xfId="70" applyNumberFormat="1" applyFont="1" applyFill="1" applyAlignment="1">
      <alignment vertical="center" shrinkToFit="1"/>
    </xf>
    <xf numFmtId="0" fontId="37" fillId="0" borderId="15" xfId="98" applyFont="1" applyBorder="1" applyAlignment="1">
      <alignment horizontal="right" vertical="center" shrinkToFit="1"/>
    </xf>
    <xf numFmtId="49" fontId="37" fillId="0" borderId="15" xfId="0" applyNumberFormat="1" applyFont="1" applyBorder="1" applyAlignment="1">
      <alignment horizontal="center" vertical="center" shrinkToFit="1"/>
    </xf>
    <xf numFmtId="173" fontId="37" fillId="0" borderId="0" xfId="1" applyFont="1" applyFill="1" applyAlignment="1">
      <alignment horizontal="center" vertical="center" wrapText="1" shrinkToFit="1" readingOrder="2"/>
    </xf>
    <xf numFmtId="0" fontId="33" fillId="0" borderId="0" xfId="0" applyFont="1"/>
    <xf numFmtId="0" fontId="110" fillId="0" borderId="15" xfId="165" applyFont="1" applyBorder="1" applyAlignment="1">
      <alignment horizontal="center"/>
    </xf>
    <xf numFmtId="174" fontId="39" fillId="0" borderId="42" xfId="10" applyNumberFormat="1" applyFont="1" applyFill="1" applyBorder="1" applyAlignment="1">
      <alignment horizontal="center" vertical="center" wrapText="1" shrinkToFit="1" readingOrder="2"/>
    </xf>
    <xf numFmtId="49" fontId="39" fillId="0" borderId="15" xfId="10" applyNumberFormat="1" applyFont="1" applyFill="1" applyBorder="1" applyAlignment="1">
      <alignment horizontal="center" vertical="center" shrinkToFit="1"/>
    </xf>
    <xf numFmtId="169" fontId="39" fillId="0" borderId="16" xfId="10" applyNumberFormat="1" applyFont="1" applyFill="1" applyBorder="1" applyAlignment="1">
      <alignment horizontal="center" vertical="center" shrinkToFit="1" readingOrder="2"/>
    </xf>
    <xf numFmtId="174" fontId="39" fillId="0" borderId="42" xfId="10" applyNumberFormat="1" applyFont="1" applyFill="1" applyBorder="1" applyAlignment="1">
      <alignment horizontal="center" vertical="center" shrinkToFit="1" readingOrder="2"/>
    </xf>
    <xf numFmtId="169" fontId="37" fillId="0" borderId="31" xfId="10" applyNumberFormat="1" applyFont="1" applyFill="1" applyBorder="1" applyAlignment="1">
      <alignment horizontal="center" vertical="center" shrinkToFit="1" readingOrder="2"/>
    </xf>
    <xf numFmtId="169" fontId="41" fillId="0" borderId="0" xfId="70" applyNumberFormat="1" applyFont="1" applyAlignment="1">
      <alignment horizontal="center" vertical="center" readingOrder="2"/>
    </xf>
    <xf numFmtId="169" fontId="42" fillId="0" borderId="0" xfId="0" applyNumberFormat="1" applyFont="1" applyAlignment="1">
      <alignment horizontal="center" vertical="center"/>
    </xf>
    <xf numFmtId="169" fontId="41" fillId="0" borderId="0" xfId="70" applyNumberFormat="1" applyFont="1" applyAlignment="1">
      <alignment horizontal="right" vertical="center" readingOrder="2"/>
    </xf>
    <xf numFmtId="169" fontId="39" fillId="0" borderId="15" xfId="0" applyNumberFormat="1" applyFont="1" applyBorder="1" applyAlignment="1">
      <alignment horizontal="center" vertical="center" shrinkToFit="1"/>
    </xf>
    <xf numFmtId="49" fontId="37" fillId="0" borderId="15" xfId="0" applyNumberFormat="1" applyFont="1" applyBorder="1" applyAlignment="1">
      <alignment horizontal="center" vertical="center" shrinkToFit="1"/>
    </xf>
    <xf numFmtId="169" fontId="41" fillId="0" borderId="0" xfId="0" applyNumberFormat="1" applyFont="1" applyAlignment="1">
      <alignment horizontal="center" vertical="center" readingOrder="2"/>
    </xf>
    <xf numFmtId="0" fontId="37" fillId="0" borderId="15" xfId="98" applyFont="1" applyBorder="1" applyAlignment="1">
      <alignment horizontal="right" vertical="center" shrinkToFit="1"/>
    </xf>
    <xf numFmtId="169" fontId="41" fillId="0" borderId="0" xfId="70" applyNumberFormat="1" applyFont="1" applyAlignment="1">
      <alignment horizontal="center" vertical="center" shrinkToFit="1" readingOrder="2"/>
    </xf>
    <xf numFmtId="169" fontId="38" fillId="0" borderId="0" xfId="70" applyNumberFormat="1" applyFont="1" applyAlignment="1">
      <alignment horizontal="right" vertical="center" shrinkToFit="1" readingOrder="2"/>
    </xf>
    <xf numFmtId="169" fontId="38" fillId="0" borderId="0" xfId="70" applyNumberFormat="1" applyFont="1" applyAlignment="1">
      <alignment horizontal="center" vertical="center" shrinkToFit="1" readingOrder="2"/>
    </xf>
    <xf numFmtId="169" fontId="41" fillId="0" borderId="15" xfId="70" applyNumberFormat="1" applyFont="1" applyBorder="1" applyAlignment="1">
      <alignment horizontal="center" vertical="center" shrinkToFit="1" readingOrder="2"/>
    </xf>
    <xf numFmtId="174" fontId="42" fillId="0" borderId="0" xfId="70" applyNumberFormat="1" applyFont="1" applyAlignment="1">
      <alignment horizontal="center" vertical="center"/>
    </xf>
    <xf numFmtId="169" fontId="35" fillId="0" borderId="0" xfId="0" applyNumberFormat="1" applyFont="1" applyAlignment="1">
      <alignment horizontal="center" vertical="center" readingOrder="2"/>
    </xf>
    <xf numFmtId="169" fontId="41" fillId="0" borderId="26" xfId="70" applyNumberFormat="1" applyFont="1" applyBorder="1" applyAlignment="1">
      <alignment horizontal="center" vertical="center" shrinkToFit="1"/>
    </xf>
    <xf numFmtId="49" fontId="39" fillId="0" borderId="27" xfId="0" applyNumberFormat="1" applyFont="1" applyBorder="1" applyAlignment="1">
      <alignment horizontal="center" vertical="center" shrinkToFit="1"/>
    </xf>
    <xf numFmtId="169" fontId="41" fillId="0" borderId="0" xfId="0" applyNumberFormat="1" applyFont="1" applyAlignment="1">
      <alignment horizontal="center" vertical="center" shrinkToFit="1" readingOrder="2"/>
    </xf>
    <xf numFmtId="169" fontId="42" fillId="0" borderId="0" xfId="0" applyNumberFormat="1" applyFont="1" applyAlignment="1">
      <alignment horizontal="right" vertical="center" readingOrder="2"/>
    </xf>
    <xf numFmtId="169" fontId="37" fillId="0" borderId="15" xfId="70" applyNumberFormat="1" applyFont="1" applyBorder="1" applyAlignment="1">
      <alignment horizontal="center" vertical="center" shrinkToFit="1"/>
    </xf>
    <xf numFmtId="3" fontId="42" fillId="0" borderId="0" xfId="70" applyNumberFormat="1" applyFont="1" applyAlignment="1">
      <alignment horizontal="center" vertical="center"/>
    </xf>
    <xf numFmtId="169" fontId="24" fillId="0" borderId="26" xfId="70" applyNumberFormat="1" applyFont="1" applyBorder="1" applyAlignment="1">
      <alignment horizontal="center" vertical="center" shrinkToFit="1" readingOrder="2"/>
    </xf>
    <xf numFmtId="169" fontId="24" fillId="0" borderId="48" xfId="70" applyNumberFormat="1" applyFont="1" applyBorder="1" applyAlignment="1">
      <alignment horizontal="center" vertical="center" shrinkToFit="1" readingOrder="2"/>
    </xf>
    <xf numFmtId="169" fontId="24" fillId="0" borderId="29" xfId="70" applyNumberFormat="1" applyFont="1" applyBorder="1" applyAlignment="1">
      <alignment horizontal="center" vertical="center" shrinkToFit="1" readingOrder="2"/>
    </xf>
    <xf numFmtId="169" fontId="24" fillId="0" borderId="15" xfId="70" applyNumberFormat="1" applyFont="1" applyBorder="1" applyAlignment="1">
      <alignment horizontal="center" vertical="center" shrinkToFit="1" readingOrder="2"/>
    </xf>
    <xf numFmtId="169" fontId="24" fillId="0" borderId="27" xfId="70" applyNumberFormat="1" applyFont="1" applyBorder="1" applyAlignment="1">
      <alignment horizontal="center" vertical="center" shrinkToFit="1" readingOrder="2"/>
    </xf>
    <xf numFmtId="169" fontId="41" fillId="0" borderId="15" xfId="70" applyNumberFormat="1" applyFont="1" applyBorder="1" applyAlignment="1">
      <alignment horizontal="center" vertical="center" shrinkToFit="1"/>
    </xf>
    <xf numFmtId="169" fontId="25" fillId="0" borderId="27" xfId="70" applyNumberFormat="1" applyFont="1" applyBorder="1" applyAlignment="1">
      <alignment horizontal="center" vertical="center" shrinkToFit="1" readingOrder="2"/>
    </xf>
    <xf numFmtId="169" fontId="46" fillId="0" borderId="15" xfId="70" applyNumberFormat="1" applyFont="1" applyBorder="1" applyAlignment="1">
      <alignment horizontal="center" vertical="center" readingOrder="2"/>
    </xf>
    <xf numFmtId="169" fontId="25" fillId="0" borderId="27" xfId="0" applyNumberFormat="1" applyFont="1" applyBorder="1" applyAlignment="1">
      <alignment horizontal="center" vertical="center" shrinkToFit="1"/>
    </xf>
    <xf numFmtId="169" fontId="37" fillId="0" borderId="27" xfId="70" applyNumberFormat="1" applyFont="1" applyBorder="1" applyAlignment="1">
      <alignment horizontal="center" vertical="center" shrinkToFit="1" readingOrder="2"/>
    </xf>
    <xf numFmtId="169" fontId="26" fillId="0" borderId="27" xfId="0" applyNumberFormat="1" applyFont="1" applyBorder="1" applyAlignment="1">
      <alignment horizontal="center" vertical="center" shrinkToFit="1"/>
    </xf>
    <xf numFmtId="1" fontId="33" fillId="0" borderId="15" xfId="0" applyNumberFormat="1" applyFont="1" applyBorder="1" applyAlignment="1">
      <alignment horizontal="center" vertical="center"/>
    </xf>
    <xf numFmtId="169" fontId="37" fillId="2" borderId="4" xfId="70" applyNumberFormat="1" applyFont="1" applyFill="1" applyBorder="1" applyAlignment="1">
      <alignment horizontal="center" vertical="center" shrinkToFit="1"/>
    </xf>
    <xf numFmtId="49" fontId="41" fillId="2" borderId="4" xfId="70" applyNumberFormat="1" applyFont="1" applyFill="1" applyBorder="1" applyAlignment="1">
      <alignment horizontal="center" vertical="center" wrapText="1" readingOrder="2"/>
    </xf>
    <xf numFmtId="169" fontId="41" fillId="2" borderId="9" xfId="70" applyNumberFormat="1" applyFont="1" applyFill="1" applyBorder="1" applyAlignment="1">
      <alignment horizontal="center" vertical="center" shrinkToFit="1"/>
    </xf>
    <xf numFmtId="169" fontId="41" fillId="0" borderId="0" xfId="109" applyNumberFormat="1" applyFont="1" applyAlignment="1">
      <alignment horizontal="center" vertical="center" shrinkToFit="1"/>
    </xf>
    <xf numFmtId="169" fontId="37" fillId="2" borderId="4" xfId="105" applyNumberFormat="1" applyFont="1" applyFill="1" applyBorder="1" applyAlignment="1">
      <alignment horizontal="center" vertical="center" shrinkToFit="1"/>
    </xf>
    <xf numFmtId="169" fontId="38" fillId="0" borderId="0" xfId="70" applyNumberFormat="1" applyFont="1" applyAlignment="1">
      <alignment horizontal="right" shrinkToFit="1" readingOrder="2"/>
    </xf>
    <xf numFmtId="0" fontId="33" fillId="0" borderId="0" xfId="0" applyFont="1"/>
    <xf numFmtId="0" fontId="110" fillId="0" borderId="24" xfId="165" applyFont="1" applyBorder="1" applyAlignment="1"/>
    <xf numFmtId="0" fontId="110" fillId="0" borderId="27" xfId="165" applyFont="1" applyBorder="1" applyAlignment="1"/>
    <xf numFmtId="0" fontId="110" fillId="0" borderId="15" xfId="168" quotePrefix="1" applyFont="1" applyBorder="1" applyAlignment="1">
      <alignment horizontal="center"/>
    </xf>
    <xf numFmtId="0" fontId="110" fillId="0" borderId="15" xfId="168" applyFont="1" applyBorder="1" applyAlignment="1">
      <alignment horizontal="center"/>
    </xf>
    <xf numFmtId="0" fontId="110" fillId="0" borderId="15" xfId="168" applyFont="1" applyBorder="1" applyAlignment="1">
      <alignment horizontal="right"/>
    </xf>
    <xf numFmtId="0" fontId="37" fillId="4" borderId="15" xfId="74" applyFont="1" applyFill="1" applyBorder="1" applyAlignment="1">
      <alignment horizontal="right" vertical="center" wrapText="1" shrinkToFit="1"/>
    </xf>
    <xf numFmtId="169" fontId="25" fillId="0" borderId="41" xfId="1" applyNumberFormat="1" applyFont="1" applyFill="1" applyBorder="1" applyAlignment="1">
      <alignment horizontal="center" vertical="center" shrinkToFit="1" readingOrder="2"/>
    </xf>
    <xf numFmtId="169" fontId="25" fillId="0" borderId="41" xfId="1" applyNumberFormat="1" applyFont="1" applyFill="1" applyBorder="1" applyAlignment="1">
      <alignment horizontal="center" vertical="center" shrinkToFit="1"/>
    </xf>
    <xf numFmtId="169" fontId="37" fillId="0" borderId="0" xfId="34" applyNumberFormat="1" applyFont="1" applyFill="1" applyBorder="1" applyAlignment="1">
      <alignment horizontal="center" vertical="center" shrinkToFit="1"/>
    </xf>
    <xf numFmtId="0" fontId="110" fillId="0" borderId="15" xfId="168" applyFont="1" applyBorder="1" applyAlignment="1">
      <alignment horizontal="center" shrinkToFit="1"/>
    </xf>
    <xf numFmtId="0" fontId="110" fillId="0" borderId="15" xfId="168" applyFont="1" applyBorder="1" applyAlignment="1">
      <alignment horizontal="right" shrinkToFit="1"/>
    </xf>
    <xf numFmtId="0" fontId="110" fillId="0" borderId="15" xfId="168" quotePrefix="1" applyFont="1" applyBorder="1" applyAlignment="1">
      <alignment horizontal="center" shrinkToFit="1"/>
    </xf>
    <xf numFmtId="0" fontId="110" fillId="0" borderId="16" xfId="165" applyFont="1" applyBorder="1" applyAlignment="1">
      <alignment horizontal="center"/>
    </xf>
    <xf numFmtId="0" fontId="110" fillId="0" borderId="16" xfId="165" applyFont="1" applyBorder="1" applyAlignment="1">
      <alignment horizontal="center" shrinkToFit="1"/>
    </xf>
    <xf numFmtId="173" fontId="33" fillId="0" borderId="0" xfId="1" applyFont="1" applyAlignment="1">
      <alignment horizontal="center" vertical="center"/>
    </xf>
    <xf numFmtId="4" fontId="33" fillId="0" borderId="0" xfId="0" applyNumberFormat="1" applyFont="1" applyAlignment="1">
      <alignment horizontal="center" vertical="center"/>
    </xf>
    <xf numFmtId="169" fontId="34" fillId="0" borderId="15" xfId="70" applyNumberFormat="1" applyFont="1" applyBorder="1" applyAlignment="1">
      <alignment horizontal="center" vertical="center" shrinkToFit="1" readingOrder="2"/>
    </xf>
    <xf numFmtId="49" fontId="41" fillId="0" borderId="15" xfId="70" applyNumberFormat="1" applyFont="1" applyBorder="1" applyAlignment="1">
      <alignment horizontal="center" vertical="center" shrinkToFit="1" readingOrder="2"/>
    </xf>
    <xf numFmtId="0" fontId="37" fillId="0" borderId="27" xfId="98" applyFont="1" applyBorder="1" applyAlignment="1">
      <alignment vertical="center" shrinkToFit="1"/>
    </xf>
    <xf numFmtId="169" fontId="41" fillId="0" borderId="15" xfId="70" applyNumberFormat="1" applyFont="1" applyBorder="1" applyAlignment="1">
      <alignment horizontal="center" vertical="center" shrinkToFit="1" readingOrder="2"/>
    </xf>
    <xf numFmtId="169" fontId="37" fillId="0" borderId="0" xfId="70" applyNumberFormat="1" applyFont="1" applyAlignment="1">
      <alignment horizontal="right" vertical="center" shrinkToFit="1" readingOrder="2"/>
    </xf>
    <xf numFmtId="169" fontId="42" fillId="0" borderId="15" xfId="70" applyNumberFormat="1" applyFont="1" applyBorder="1" applyAlignment="1">
      <alignment horizontal="center" vertical="center" shrinkToFit="1"/>
    </xf>
    <xf numFmtId="169" fontId="41" fillId="0" borderId="15" xfId="70" applyNumberFormat="1" applyFont="1" applyBorder="1" applyAlignment="1">
      <alignment horizontal="center" vertical="center" shrinkToFit="1"/>
    </xf>
    <xf numFmtId="0" fontId="33" fillId="0" borderId="0" xfId="0" applyFont="1" applyFill="1"/>
    <xf numFmtId="49" fontId="33" fillId="0" borderId="16" xfId="0" applyNumberFormat="1" applyFont="1" applyFill="1" applyBorder="1" applyAlignment="1">
      <alignment horizontal="center" vertical="center" shrinkToFit="1"/>
    </xf>
    <xf numFmtId="169" fontId="36" fillId="0" borderId="16" xfId="0" applyNumberFormat="1" applyFont="1" applyFill="1" applyBorder="1" applyAlignment="1">
      <alignment horizontal="right" vertical="center" shrinkToFit="1"/>
    </xf>
    <xf numFmtId="0" fontId="33" fillId="0" borderId="15" xfId="0" applyFont="1" applyFill="1" applyBorder="1" applyAlignment="1">
      <alignment horizontal="center"/>
    </xf>
    <xf numFmtId="169" fontId="39" fillId="0" borderId="15" xfId="70" applyNumberFormat="1" applyFont="1" applyFill="1" applyBorder="1" applyAlignment="1">
      <alignment horizontal="center" vertical="center" shrinkToFit="1"/>
    </xf>
    <xf numFmtId="169" fontId="34" fillId="0" borderId="15" xfId="70" applyNumberFormat="1" applyFont="1" applyFill="1" applyBorder="1" applyAlignment="1">
      <alignment horizontal="center" vertical="center" shrinkToFit="1"/>
    </xf>
    <xf numFmtId="0" fontId="110" fillId="0" borderId="16" xfId="165" applyFont="1" applyBorder="1" applyAlignment="1"/>
    <xf numFmtId="0" fontId="110" fillId="0" borderId="0" xfId="165" applyFont="1" applyBorder="1" applyAlignment="1">
      <alignment horizontal="center"/>
    </xf>
    <xf numFmtId="0" fontId="110" fillId="0" borderId="0" xfId="165" applyFont="1" applyBorder="1" applyAlignment="1"/>
    <xf numFmtId="169" fontId="41" fillId="0" borderId="0" xfId="70" applyNumberFormat="1" applyFont="1" applyBorder="1"/>
    <xf numFmtId="169" fontId="54" fillId="0" borderId="0" xfId="70" applyNumberFormat="1" applyFont="1" applyAlignment="1">
      <alignment horizontal="right" vertical="top" wrapText="1" readingOrder="2"/>
    </xf>
    <xf numFmtId="170" fontId="110" fillId="0" borderId="41" xfId="154" applyNumberFormat="1" applyFont="1" applyFill="1" applyBorder="1"/>
    <xf numFmtId="169" fontId="33" fillId="0" borderId="0" xfId="0" applyNumberFormat="1" applyFont="1" applyBorder="1" applyAlignment="1">
      <alignment horizontal="center" vertical="center" shrinkToFit="1"/>
    </xf>
    <xf numFmtId="49" fontId="37" fillId="0" borderId="26" xfId="75" applyNumberFormat="1" applyFont="1" applyBorder="1" applyAlignment="1">
      <alignment horizontal="center" vertical="center" shrinkToFit="1"/>
    </xf>
    <xf numFmtId="0" fontId="37" fillId="0" borderId="26" xfId="69" applyFont="1" applyBorder="1" applyAlignment="1">
      <alignment shrinkToFit="1"/>
    </xf>
    <xf numFmtId="170" fontId="39" fillId="0" borderId="26" xfId="0" applyNumberFormat="1" applyFont="1" applyBorder="1" applyAlignment="1">
      <alignment horizontal="center" vertical="center" shrinkToFit="1"/>
    </xf>
    <xf numFmtId="170" fontId="38" fillId="0" borderId="15" xfId="70" applyNumberFormat="1" applyFont="1" applyBorder="1" applyAlignment="1">
      <alignment vertical="center" shrinkToFit="1"/>
    </xf>
    <xf numFmtId="0" fontId="110" fillId="0" borderId="15" xfId="170" applyFont="1" applyBorder="1" applyAlignment="1">
      <alignment shrinkToFit="1"/>
    </xf>
    <xf numFmtId="170" fontId="37" fillId="0" borderId="15" xfId="75" applyNumberFormat="1" applyFont="1" applyBorder="1" applyAlignment="1">
      <alignment horizontal="center" vertical="center" shrinkToFit="1"/>
    </xf>
    <xf numFmtId="170" fontId="39" fillId="0" borderId="15" xfId="69" applyNumberFormat="1" applyFont="1" applyBorder="1" applyAlignment="1">
      <alignment vertical="center" shrinkToFit="1"/>
    </xf>
    <xf numFmtId="170" fontId="42" fillId="0" borderId="15" xfId="0" applyNumberFormat="1" applyFont="1" applyBorder="1" applyAlignment="1">
      <alignment horizontal="center" vertical="center"/>
    </xf>
    <xf numFmtId="170" fontId="37" fillId="0" borderId="15" xfId="126" applyNumberFormat="1" applyFont="1" applyBorder="1" applyAlignment="1">
      <alignment horizontal="center" vertical="center" shrinkToFit="1"/>
    </xf>
    <xf numFmtId="170" fontId="37" fillId="0" borderId="15" xfId="126" applyNumberFormat="1" applyFont="1" applyBorder="1" applyAlignment="1">
      <alignment horizontal="right" vertical="center" shrinkToFit="1"/>
    </xf>
    <xf numFmtId="170" fontId="110" fillId="0" borderId="15" xfId="165" applyNumberFormat="1" applyFont="1" applyBorder="1" applyAlignment="1">
      <alignment horizontal="center" shrinkToFit="1"/>
    </xf>
    <xf numFmtId="170" fontId="110" fillId="0" borderId="15" xfId="165" applyNumberFormat="1" applyFont="1" applyBorder="1" applyAlignment="1">
      <alignment shrinkToFit="1"/>
    </xf>
    <xf numFmtId="170" fontId="110" fillId="0" borderId="15" xfId="170" applyNumberFormat="1" applyFont="1" applyBorder="1" applyAlignment="1">
      <alignment shrinkToFit="1"/>
    </xf>
    <xf numFmtId="170" fontId="25" fillId="0" borderId="15" xfId="98" applyNumberFormat="1" applyFont="1" applyBorder="1" applyAlignment="1">
      <alignment horizontal="right" vertical="center" shrinkToFit="1"/>
    </xf>
    <xf numFmtId="170" fontId="37" fillId="0" borderId="15" xfId="98" applyNumberFormat="1" applyFont="1" applyBorder="1" applyAlignment="1">
      <alignment horizontal="right" vertical="center" shrinkToFit="1"/>
    </xf>
    <xf numFmtId="170" fontId="110" fillId="0" borderId="15" xfId="168" applyNumberFormat="1" applyFont="1" applyBorder="1" applyAlignment="1">
      <alignment horizontal="center" shrinkToFit="1"/>
    </xf>
    <xf numFmtId="170" fontId="110" fillId="0" borderId="15" xfId="168" applyNumberFormat="1" applyFont="1" applyBorder="1" applyAlignment="1">
      <alignment horizontal="right" shrinkToFit="1"/>
    </xf>
    <xf numFmtId="0" fontId="110" fillId="0" borderId="92" xfId="77" applyFont="1" applyBorder="1" applyAlignment="1">
      <alignment horizontal="right" shrinkToFit="1"/>
    </xf>
    <xf numFmtId="0" fontId="110" fillId="0" borderId="31" xfId="77" applyFont="1" applyBorder="1" applyAlignment="1">
      <alignment horizontal="right" shrinkToFit="1"/>
    </xf>
    <xf numFmtId="3" fontId="46" fillId="0" borderId="0" xfId="70" applyNumberFormat="1" applyFont="1" applyAlignment="1">
      <alignment horizontal="center" vertical="center"/>
    </xf>
    <xf numFmtId="174" fontId="46" fillId="0" borderId="0" xfId="70" applyNumberFormat="1" applyFont="1" applyAlignment="1">
      <alignment horizontal="center" vertical="center" shrinkToFit="1"/>
    </xf>
    <xf numFmtId="174" fontId="46" fillId="0" borderId="0" xfId="1" applyNumberFormat="1" applyFont="1" applyAlignment="1">
      <alignment vertical="center"/>
    </xf>
    <xf numFmtId="170" fontId="110" fillId="6" borderId="15" xfId="154" applyNumberFormat="1" applyFont="1" applyFill="1" applyBorder="1" applyAlignment="1">
      <alignment horizontal="center" shrinkToFit="1"/>
    </xf>
    <xf numFmtId="170" fontId="110" fillId="6" borderId="26" xfId="154" applyNumberFormat="1" applyFont="1" applyFill="1" applyBorder="1" applyAlignment="1">
      <alignment horizontal="center" shrinkToFit="1"/>
    </xf>
    <xf numFmtId="169" fontId="41" fillId="0" borderId="48" xfId="70" applyNumberFormat="1" applyFont="1" applyBorder="1" applyAlignment="1">
      <alignment horizontal="center" vertical="center" shrinkToFit="1"/>
    </xf>
    <xf numFmtId="170" fontId="24" fillId="6" borderId="29" xfId="70" applyNumberFormat="1" applyFont="1" applyFill="1" applyBorder="1" applyAlignment="1">
      <alignment horizontal="center" vertical="center" shrinkToFit="1" readingOrder="2"/>
    </xf>
    <xf numFmtId="170" fontId="124" fillId="0" borderId="29" xfId="154" applyNumberFormat="1" applyFont="1" applyFill="1" applyBorder="1" applyAlignment="1">
      <alignment horizontal="center" vertical="center" shrinkToFit="1"/>
    </xf>
    <xf numFmtId="169" fontId="24" fillId="6" borderId="29" xfId="70" applyNumberFormat="1" applyFont="1" applyFill="1" applyBorder="1" applyAlignment="1">
      <alignment horizontal="center" vertical="center" shrinkToFit="1" readingOrder="2"/>
    </xf>
    <xf numFmtId="169" fontId="41" fillId="0" borderId="29" xfId="70" applyNumberFormat="1" applyFont="1" applyBorder="1" applyAlignment="1">
      <alignment horizontal="center" vertical="center" shrinkToFit="1"/>
    </xf>
    <xf numFmtId="170" fontId="24" fillId="6" borderId="15" xfId="70" applyNumberFormat="1" applyFont="1" applyFill="1" applyBorder="1" applyAlignment="1">
      <alignment horizontal="center" vertical="center" shrinkToFit="1" readingOrder="2"/>
    </xf>
    <xf numFmtId="170" fontId="124" fillId="0" borderId="15" xfId="154" applyNumberFormat="1" applyFont="1" applyFill="1" applyBorder="1" applyAlignment="1">
      <alignment horizontal="center" vertical="center" shrinkToFit="1"/>
    </xf>
    <xf numFmtId="169" fontId="24" fillId="6" borderId="15" xfId="70" applyNumberFormat="1" applyFont="1" applyFill="1" applyBorder="1" applyAlignment="1">
      <alignment horizontal="center" vertical="center" shrinkToFit="1" readingOrder="2"/>
    </xf>
    <xf numFmtId="169" fontId="24" fillId="6" borderId="26" xfId="70" applyNumberFormat="1" applyFont="1" applyFill="1" applyBorder="1" applyAlignment="1">
      <alignment horizontal="center" vertical="center" shrinkToFit="1" readingOrder="2"/>
    </xf>
    <xf numFmtId="169" fontId="34" fillId="0" borderId="0" xfId="70" applyNumberFormat="1" applyFont="1" applyBorder="1" applyAlignment="1">
      <alignment horizontal="center" vertical="center" shrinkToFit="1" readingOrder="2"/>
    </xf>
    <xf numFmtId="169" fontId="39" fillId="0" borderId="0" xfId="70" applyNumberFormat="1" applyFont="1" applyBorder="1" applyAlignment="1">
      <alignment horizontal="right" vertical="center" shrinkToFit="1" readingOrder="2"/>
    </xf>
    <xf numFmtId="169" fontId="24" fillId="0" borderId="0" xfId="70" applyNumberFormat="1" applyFont="1" applyBorder="1" applyAlignment="1">
      <alignment horizontal="center" vertical="center" shrinkToFit="1" readingOrder="2"/>
    </xf>
    <xf numFmtId="169" fontId="24" fillId="6" borderId="0" xfId="70" applyNumberFormat="1" applyFont="1" applyFill="1" applyBorder="1" applyAlignment="1">
      <alignment horizontal="center" vertical="center" shrinkToFit="1" readingOrder="2"/>
    </xf>
    <xf numFmtId="169" fontId="35" fillId="0" borderId="0" xfId="0" applyNumberFormat="1" applyFont="1" applyFill="1" applyAlignment="1">
      <alignment horizontal="center" vertical="center" readingOrder="2"/>
    </xf>
    <xf numFmtId="0" fontId="94" fillId="0" borderId="15" xfId="0" applyFont="1" applyFill="1" applyBorder="1" applyAlignment="1">
      <alignment horizontal="center" vertical="center" wrapText="1" readingOrder="2"/>
    </xf>
    <xf numFmtId="169" fontId="39" fillId="0" borderId="29" xfId="0" applyNumberFormat="1" applyFont="1" applyFill="1" applyBorder="1" applyAlignment="1">
      <alignment horizontal="center" vertical="center" shrinkToFit="1"/>
    </xf>
    <xf numFmtId="169" fontId="39" fillId="0" borderId="15" xfId="0" applyNumberFormat="1" applyFont="1" applyFill="1" applyBorder="1" applyAlignment="1">
      <alignment horizontal="center" vertical="center" shrinkToFit="1"/>
    </xf>
    <xf numFmtId="169" fontId="33" fillId="0" borderId="15" xfId="0" applyNumberFormat="1" applyFont="1" applyFill="1" applyBorder="1" applyAlignment="1">
      <alignment horizontal="center" vertical="center" shrinkToFit="1"/>
    </xf>
    <xf numFmtId="170" fontId="33" fillId="0" borderId="15" xfId="0" applyNumberFormat="1" applyFont="1" applyFill="1" applyBorder="1" applyAlignment="1">
      <alignment horizontal="center" vertical="center" shrinkToFit="1"/>
    </xf>
    <xf numFmtId="170" fontId="110" fillId="0" borderId="15" xfId="171" applyNumberFormat="1" applyFont="1" applyFill="1" applyBorder="1" applyAlignment="1">
      <alignment horizontal="center" shrinkToFit="1"/>
    </xf>
    <xf numFmtId="169" fontId="35" fillId="0" borderId="70" xfId="0" applyNumberFormat="1" applyFont="1" applyFill="1" applyBorder="1" applyAlignment="1">
      <alignment horizontal="center" vertical="center" shrinkToFit="1"/>
    </xf>
    <xf numFmtId="169" fontId="33" fillId="0" borderId="32" xfId="0" applyNumberFormat="1" applyFont="1" applyFill="1" applyBorder="1" applyAlignment="1">
      <alignment horizontal="center" vertical="center" shrinkToFit="1"/>
    </xf>
    <xf numFmtId="169" fontId="33" fillId="0" borderId="0" xfId="0" applyNumberFormat="1" applyFont="1" applyFill="1" applyAlignment="1">
      <alignment horizontal="center" vertical="center" shrinkToFit="1"/>
    </xf>
    <xf numFmtId="169" fontId="33" fillId="0" borderId="0" xfId="0" applyNumberFormat="1" applyFont="1" applyFill="1" applyAlignment="1">
      <alignment vertical="center"/>
    </xf>
    <xf numFmtId="170" fontId="110" fillId="0" borderId="26" xfId="154" applyNumberFormat="1" applyFont="1" applyFill="1" applyBorder="1" applyAlignment="1">
      <alignment horizontal="center"/>
    </xf>
    <xf numFmtId="170" fontId="33" fillId="0" borderId="15" xfId="98" applyNumberFormat="1" applyFont="1" applyBorder="1" applyAlignment="1">
      <alignment vertical="center" shrinkToFit="1"/>
    </xf>
    <xf numFmtId="0" fontId="110" fillId="0" borderId="26" xfId="168" applyFont="1" applyBorder="1" applyAlignment="1">
      <alignment horizontal="right"/>
    </xf>
    <xf numFmtId="49" fontId="39" fillId="0" borderId="27" xfId="0" applyNumberFormat="1" applyFont="1" applyBorder="1" applyAlignment="1">
      <alignment horizontal="center" vertical="center" shrinkToFit="1" readingOrder="2"/>
    </xf>
    <xf numFmtId="49" fontId="37" fillId="0" borderId="27" xfId="3" applyNumberFormat="1" applyFont="1" applyFill="1" applyBorder="1" applyAlignment="1">
      <alignment horizontal="center" vertical="center" shrinkToFit="1"/>
    </xf>
    <xf numFmtId="0" fontId="110" fillId="0" borderId="31" xfId="168" quotePrefix="1" applyFont="1" applyBorder="1" applyAlignment="1">
      <alignment horizontal="center"/>
    </xf>
    <xf numFmtId="0" fontId="110" fillId="0" borderId="15" xfId="166" quotePrefix="1" applyFont="1" applyFill="1" applyBorder="1" applyAlignment="1">
      <alignment horizontal="center"/>
    </xf>
    <xf numFmtId="0" fontId="110" fillId="0" borderId="15" xfId="166" applyFont="1" applyFill="1" applyBorder="1" applyAlignment="1">
      <alignment horizontal="center"/>
    </xf>
    <xf numFmtId="49" fontId="39" fillId="0" borderId="15" xfId="0" applyNumberFormat="1" applyFont="1" applyFill="1" applyBorder="1" applyAlignment="1">
      <alignment horizontal="center" vertical="center" shrinkToFit="1"/>
    </xf>
    <xf numFmtId="174" fontId="41" fillId="0" borderId="0" xfId="0" applyNumberFormat="1" applyFont="1" applyAlignment="1">
      <alignment horizontal="center" vertical="center" shrinkToFit="1" readingOrder="2"/>
    </xf>
    <xf numFmtId="174" fontId="41" fillId="0" borderId="0" xfId="0" applyNumberFormat="1" applyFont="1" applyAlignment="1">
      <alignment horizontal="center" vertical="center" readingOrder="2"/>
    </xf>
    <xf numFmtId="174" fontId="40" fillId="0" borderId="0" xfId="70" applyNumberFormat="1" applyFont="1" applyAlignment="1">
      <alignment horizontal="right" vertical="center" shrinkToFit="1" readingOrder="2"/>
    </xf>
    <xf numFmtId="174" fontId="40" fillId="0" borderId="0" xfId="70" applyNumberFormat="1" applyFont="1" applyAlignment="1">
      <alignment vertical="center" shrinkToFit="1" readingOrder="2"/>
    </xf>
    <xf numFmtId="174" fontId="37" fillId="0" borderId="0" xfId="0" applyNumberFormat="1" applyFont="1" applyAlignment="1">
      <alignment vertical="center" shrinkToFit="1"/>
    </xf>
    <xf numFmtId="174" fontId="34" fillId="0" borderId="0" xfId="0" applyNumberFormat="1" applyFont="1" applyAlignment="1">
      <alignment horizontal="right" vertical="center" shrinkToFit="1" readingOrder="2"/>
    </xf>
    <xf numFmtId="174" fontId="39" fillId="0" borderId="0" xfId="0" applyNumberFormat="1" applyFont="1" applyAlignment="1">
      <alignment vertical="center" shrinkToFit="1" readingOrder="2"/>
    </xf>
    <xf numFmtId="174" fontId="37" fillId="0" borderId="15" xfId="3" applyNumberFormat="1" applyFont="1" applyBorder="1" applyAlignment="1">
      <alignment horizontal="center" vertical="center" shrinkToFit="1"/>
    </xf>
    <xf numFmtId="174" fontId="37" fillId="0" borderId="15" xfId="3" applyNumberFormat="1" applyFont="1" applyFill="1" applyBorder="1" applyAlignment="1">
      <alignment horizontal="center" vertical="center" shrinkToFit="1"/>
    </xf>
    <xf numFmtId="174" fontId="37" fillId="0" borderId="34" xfId="3" applyNumberFormat="1" applyFont="1" applyFill="1" applyBorder="1" applyAlignment="1">
      <alignment horizontal="center" vertical="center" shrinkToFit="1"/>
    </xf>
    <xf numFmtId="174" fontId="37" fillId="0" borderId="34" xfId="3" applyNumberFormat="1" applyFont="1" applyBorder="1" applyAlignment="1">
      <alignment horizontal="center" vertical="center" shrinkToFit="1"/>
    </xf>
    <xf numFmtId="174" fontId="41" fillId="0" borderId="34" xfId="3" applyNumberFormat="1" applyFont="1" applyBorder="1" applyAlignment="1">
      <alignment horizontal="center" vertical="center" shrinkToFit="1"/>
    </xf>
    <xf numFmtId="174" fontId="37" fillId="0" borderId="0" xfId="3" applyNumberFormat="1" applyFont="1" applyFill="1" applyBorder="1" applyAlignment="1">
      <alignment horizontal="center" vertical="center" shrinkToFit="1"/>
    </xf>
    <xf numFmtId="174" fontId="36" fillId="0" borderId="0" xfId="70" applyNumberFormat="1" applyFont="1" applyAlignment="1">
      <alignment horizontal="right" vertical="top" wrapText="1" shrinkToFit="1" readingOrder="2"/>
    </xf>
    <xf numFmtId="174" fontId="70" fillId="0" borderId="0" xfId="0" applyNumberFormat="1" applyFont="1" applyAlignment="1">
      <alignment horizontal="right" vertical="center" wrapText="1" readingOrder="2"/>
    </xf>
    <xf numFmtId="174" fontId="33" fillId="0" borderId="0" xfId="0" applyNumberFormat="1" applyFont="1" applyAlignment="1">
      <alignment vertical="center"/>
    </xf>
    <xf numFmtId="174" fontId="29" fillId="0" borderId="28" xfId="0" applyNumberFormat="1" applyFont="1" applyBorder="1" applyAlignment="1">
      <alignment horizontal="center" vertical="center" wrapText="1" shrinkToFit="1" readingOrder="2"/>
    </xf>
    <xf numFmtId="174" fontId="29" fillId="0" borderId="0" xfId="0" applyNumberFormat="1" applyFont="1" applyAlignment="1">
      <alignment vertical="center" shrinkToFit="1" readingOrder="2"/>
    </xf>
    <xf numFmtId="174" fontId="39" fillId="0" borderId="0" xfId="0" applyNumberFormat="1" applyFont="1" applyAlignment="1">
      <alignment vertical="center" shrinkToFit="1"/>
    </xf>
    <xf numFmtId="174" fontId="29" fillId="0" borderId="0" xfId="0" applyNumberFormat="1" applyFont="1" applyAlignment="1">
      <alignment horizontal="center" vertical="center" shrinkToFit="1" readingOrder="2"/>
    </xf>
    <xf numFmtId="174" fontId="37" fillId="0" borderId="0" xfId="0" applyNumberFormat="1" applyFont="1" applyAlignment="1">
      <alignment horizontal="center" vertical="center" shrinkToFit="1"/>
    </xf>
    <xf numFmtId="174" fontId="29" fillId="0" borderId="0" xfId="0" applyNumberFormat="1" applyFont="1" applyAlignment="1">
      <alignment vertical="center" readingOrder="2"/>
    </xf>
    <xf numFmtId="174" fontId="29" fillId="0" borderId="51" xfId="0" applyNumberFormat="1" applyFont="1" applyBorder="1" applyAlignment="1">
      <alignment horizontal="center" vertical="center" shrinkToFit="1" readingOrder="2"/>
    </xf>
    <xf numFmtId="174" fontId="42" fillId="0" borderId="51" xfId="0" applyNumberFormat="1" applyFont="1" applyBorder="1" applyAlignment="1">
      <alignment horizontal="center"/>
    </xf>
    <xf numFmtId="174" fontId="95" fillId="0" borderId="0" xfId="0" applyNumberFormat="1" applyFont="1" applyAlignment="1">
      <alignment vertical="center" readingOrder="2"/>
    </xf>
    <xf numFmtId="174" fontId="61" fillId="0" borderId="0" xfId="0" applyNumberFormat="1" applyFont="1" applyAlignment="1">
      <alignment vertical="center" shrinkToFit="1" readingOrder="2"/>
    </xf>
    <xf numFmtId="174" fontId="29" fillId="0" borderId="0" xfId="3" applyNumberFormat="1" applyFont="1" applyBorder="1" applyAlignment="1">
      <alignment vertical="center" shrinkToFit="1" readingOrder="2"/>
    </xf>
    <xf numFmtId="174" fontId="95" fillId="0" borderId="0" xfId="0" applyNumberFormat="1" applyFont="1" applyAlignment="1">
      <alignment vertical="center" shrinkToFit="1" readingOrder="2"/>
    </xf>
    <xf numFmtId="174" fontId="95" fillId="0" borderId="0" xfId="0" applyNumberFormat="1" applyFont="1" applyAlignment="1">
      <alignment horizontal="center" vertical="center" shrinkToFit="1" readingOrder="2"/>
    </xf>
    <xf numFmtId="174" fontId="95" fillId="0" borderId="0" xfId="0" applyNumberFormat="1" applyFont="1" applyAlignment="1">
      <alignment horizontal="center" vertical="center" readingOrder="2"/>
    </xf>
    <xf numFmtId="174" fontId="29" fillId="0" borderId="0" xfId="3" applyNumberFormat="1" applyFont="1" applyBorder="1" applyAlignment="1">
      <alignment horizontal="center" vertical="center" shrinkToFit="1" readingOrder="2"/>
    </xf>
    <xf numFmtId="174" fontId="61" fillId="0" borderId="0" xfId="0" applyNumberFormat="1" applyFont="1" applyAlignment="1">
      <alignment horizontal="center" vertical="center" shrinkToFit="1" readingOrder="2"/>
    </xf>
    <xf numFmtId="174" fontId="70" fillId="0" borderId="0" xfId="0" applyNumberFormat="1" applyFont="1" applyAlignment="1">
      <alignment vertical="center" readingOrder="2"/>
    </xf>
    <xf numFmtId="174" fontId="41" fillId="0" borderId="0" xfId="0" applyNumberFormat="1" applyFont="1"/>
    <xf numFmtId="174" fontId="110" fillId="0" borderId="15" xfId="171" applyNumberFormat="1" applyFont="1" applyBorder="1" applyAlignment="1">
      <alignment shrinkToFit="1"/>
    </xf>
    <xf numFmtId="174" fontId="33" fillId="0" borderId="15" xfId="0" applyNumberFormat="1" applyFont="1" applyBorder="1" applyAlignment="1">
      <alignment horizontal="center" shrinkToFit="1"/>
    </xf>
    <xf numFmtId="174" fontId="33" fillId="0" borderId="15" xfId="0" applyNumberFormat="1" applyFont="1" applyBorder="1" applyAlignment="1">
      <alignment shrinkToFit="1"/>
    </xf>
    <xf numFmtId="174" fontId="110" fillId="0" borderId="15" xfId="152" applyNumberFormat="1" applyFont="1" applyBorder="1" applyAlignment="1">
      <alignment horizontal="center" shrinkToFit="1"/>
    </xf>
    <xf numFmtId="174" fontId="110" fillId="0" borderId="15" xfId="151" applyNumberFormat="1" applyFont="1" applyBorder="1" applyAlignment="1">
      <alignment horizontal="center" shrinkToFit="1"/>
    </xf>
    <xf numFmtId="174" fontId="142" fillId="0" borderId="15" xfId="148" applyNumberFormat="1" applyFont="1" applyBorder="1" applyAlignment="1">
      <alignment horizontal="center" vertical="center" shrinkToFit="1"/>
    </xf>
    <xf numFmtId="174" fontId="42" fillId="0" borderId="15" xfId="34" applyNumberFormat="1" applyFont="1" applyBorder="1" applyAlignment="1">
      <alignment horizontal="center" vertical="center" wrapText="1" readingOrder="2"/>
    </xf>
    <xf numFmtId="174" fontId="42" fillId="0" borderId="15" xfId="69" applyNumberFormat="1" applyFont="1" applyBorder="1" applyAlignment="1">
      <alignment horizontal="center" vertical="center"/>
    </xf>
    <xf numFmtId="174" fontId="33" fillId="0" borderId="15" xfId="69" applyNumberFormat="1" applyFont="1" applyBorder="1" applyAlignment="1">
      <alignment horizontal="center" vertical="center"/>
    </xf>
    <xf numFmtId="174" fontId="42" fillId="0" borderId="15" xfId="34" applyNumberFormat="1" applyFont="1" applyBorder="1" applyAlignment="1">
      <alignment horizontal="center" vertical="center" shrinkToFit="1" readingOrder="2"/>
    </xf>
    <xf numFmtId="174" fontId="42" fillId="0" borderId="15" xfId="69" applyNumberFormat="1" applyFont="1" applyBorder="1" applyAlignment="1">
      <alignment horizontal="center" vertical="center" shrinkToFit="1"/>
    </xf>
    <xf numFmtId="174" fontId="42" fillId="0" borderId="15" xfId="16" applyNumberFormat="1" applyFont="1" applyBorder="1" applyAlignment="1">
      <alignment horizontal="center" vertical="center" shrinkToFit="1"/>
    </xf>
    <xf numFmtId="174" fontId="33" fillId="2" borderId="15" xfId="70" applyNumberFormat="1" applyFont="1" applyFill="1" applyBorder="1" applyAlignment="1">
      <alignment horizontal="center" vertical="center" shrinkToFit="1" readingOrder="2"/>
    </xf>
    <xf numFmtId="177" fontId="143" fillId="0" borderId="0" xfId="169" applyNumberFormat="1" applyFont="1" applyAlignment="1">
      <alignment vertical="center"/>
    </xf>
    <xf numFmtId="174" fontId="142" fillId="0" borderId="0" xfId="148" applyNumberFormat="1" applyFont="1" applyBorder="1" applyAlignment="1">
      <alignment horizontal="center" vertical="center" shrinkToFit="1"/>
    </xf>
    <xf numFmtId="174" fontId="39" fillId="0" borderId="15" xfId="70" applyNumberFormat="1" applyFont="1" applyFill="1" applyBorder="1" applyAlignment="1">
      <alignment vertical="center"/>
    </xf>
    <xf numFmtId="174" fontId="110" fillId="0" borderId="15" xfId="147" applyNumberFormat="1" applyFont="1" applyFill="1" applyBorder="1" applyAlignment="1">
      <alignment vertical="center" shrinkToFit="1"/>
    </xf>
    <xf numFmtId="174" fontId="39" fillId="0" borderId="15" xfId="70" applyNumberFormat="1" applyFont="1" applyFill="1" applyBorder="1" applyAlignment="1">
      <alignment vertical="center" shrinkToFit="1"/>
    </xf>
    <xf numFmtId="49" fontId="24" fillId="0" borderId="15" xfId="0" applyNumberFormat="1" applyFont="1" applyFill="1" applyBorder="1" applyAlignment="1">
      <alignment horizontal="center" vertical="center" shrinkToFit="1"/>
    </xf>
    <xf numFmtId="0" fontId="110" fillId="0" borderId="15" xfId="168" quotePrefix="1" applyFont="1" applyBorder="1" applyAlignment="1">
      <alignment horizontal="center" vertical="center" shrinkToFit="1"/>
    </xf>
    <xf numFmtId="49" fontId="34" fillId="0" borderId="15" xfId="70" applyNumberFormat="1" applyFont="1" applyBorder="1" applyAlignment="1">
      <alignment horizontal="center" vertical="center" shrinkToFit="1" readingOrder="2"/>
    </xf>
    <xf numFmtId="49" fontId="41" fillId="0" borderId="15" xfId="70" applyNumberFormat="1" applyFont="1" applyBorder="1" applyAlignment="1">
      <alignment horizontal="center" vertical="center" shrinkToFit="1" readingOrder="2"/>
    </xf>
    <xf numFmtId="170" fontId="25" fillId="0" borderId="15" xfId="129" applyNumberFormat="1" applyFont="1" applyBorder="1" applyAlignment="1">
      <alignment vertical="center" shrinkToFit="1"/>
    </xf>
    <xf numFmtId="0" fontId="25" fillId="0" borderId="15" xfId="98" applyFont="1" applyBorder="1" applyAlignment="1">
      <alignment vertical="center" wrapText="1" shrinkToFit="1"/>
    </xf>
    <xf numFmtId="169" fontId="33" fillId="0" borderId="15" xfId="70" applyNumberFormat="1" applyFont="1" applyFill="1" applyBorder="1" applyAlignment="1">
      <alignment horizontal="center" vertical="center" shrinkToFit="1"/>
    </xf>
    <xf numFmtId="169" fontId="42" fillId="0" borderId="27" xfId="16" applyNumberFormat="1" applyFont="1" applyFill="1" applyBorder="1" applyAlignment="1">
      <alignment horizontal="center" vertical="center" shrinkToFit="1"/>
    </xf>
    <xf numFmtId="169" fontId="37" fillId="0" borderId="15" xfId="70" applyNumberFormat="1" applyFont="1" applyFill="1" applyBorder="1" applyAlignment="1">
      <alignment horizontal="center" vertical="center" shrinkToFit="1"/>
    </xf>
    <xf numFmtId="174" fontId="42" fillId="0" borderId="31" xfId="2" applyNumberFormat="1" applyFont="1" applyFill="1" applyBorder="1" applyAlignment="1">
      <alignment horizontal="center" vertical="center" shrinkToFit="1"/>
    </xf>
    <xf numFmtId="174" fontId="42" fillId="0" borderId="30" xfId="1" applyNumberFormat="1" applyFont="1" applyFill="1" applyBorder="1" applyAlignment="1">
      <alignment horizontal="center" vertical="center" shrinkToFit="1"/>
    </xf>
    <xf numFmtId="169" fontId="42" fillId="0" borderId="29" xfId="16" applyNumberFormat="1" applyFont="1" applyFill="1" applyBorder="1" applyAlignment="1">
      <alignment horizontal="center" vertical="center" shrinkToFit="1"/>
    </xf>
    <xf numFmtId="169" fontId="42" fillId="0" borderId="29" xfId="2" applyNumberFormat="1" applyFont="1" applyFill="1" applyBorder="1" applyAlignment="1">
      <alignment horizontal="center" vertical="center" shrinkToFit="1"/>
    </xf>
    <xf numFmtId="169" fontId="41" fillId="0" borderId="29" xfId="1" applyNumberFormat="1" applyFont="1" applyFill="1" applyBorder="1" applyAlignment="1">
      <alignment horizontal="center" vertical="center" shrinkToFit="1"/>
    </xf>
    <xf numFmtId="169" fontId="42" fillId="0" borderId="0" xfId="16" applyNumberFormat="1" applyFont="1" applyFill="1" applyBorder="1" applyAlignment="1">
      <alignment horizontal="center" vertical="center" shrinkToFit="1"/>
    </xf>
    <xf numFmtId="169" fontId="41" fillId="0" borderId="0" xfId="1" applyNumberFormat="1" applyFont="1" applyFill="1" applyBorder="1" applyAlignment="1">
      <alignment horizontal="center" vertical="center" shrinkToFit="1"/>
    </xf>
    <xf numFmtId="169" fontId="41" fillId="2" borderId="15" xfId="70" applyNumberFormat="1" applyFont="1" applyFill="1" applyBorder="1" applyAlignment="1">
      <alignment horizontal="center" vertical="center" shrinkToFit="1" readingOrder="2"/>
    </xf>
    <xf numFmtId="174" fontId="41" fillId="2" borderId="15" xfId="70" applyNumberFormat="1" applyFont="1" applyFill="1" applyBorder="1" applyAlignment="1">
      <alignment horizontal="center" vertical="center" shrinkToFit="1" readingOrder="2"/>
    </xf>
    <xf numFmtId="170" fontId="41" fillId="0" borderId="15" xfId="70" applyNumberFormat="1" applyFont="1" applyBorder="1" applyAlignment="1">
      <alignment horizontal="center" vertical="center" shrinkToFit="1"/>
    </xf>
    <xf numFmtId="170" fontId="41" fillId="2" borderId="15" xfId="70" applyNumberFormat="1" applyFont="1" applyFill="1" applyBorder="1" applyAlignment="1">
      <alignment horizontal="center" vertical="center" shrinkToFit="1" readingOrder="2"/>
    </xf>
    <xf numFmtId="170" fontId="41" fillId="0" borderId="15" xfId="16" applyNumberFormat="1" applyFont="1" applyBorder="1" applyAlignment="1">
      <alignment horizontal="center"/>
    </xf>
    <xf numFmtId="169" fontId="41" fillId="0" borderId="15" xfId="3" applyNumberFormat="1" applyFont="1" applyBorder="1" applyAlignment="1">
      <alignment horizontal="center"/>
    </xf>
    <xf numFmtId="171" fontId="42" fillId="0" borderId="15" xfId="1" applyNumberFormat="1" applyFont="1" applyBorder="1" applyAlignment="1">
      <alignment horizontal="center"/>
    </xf>
    <xf numFmtId="170" fontId="41" fillId="0" borderId="15" xfId="16" applyNumberFormat="1" applyFont="1" applyFill="1" applyBorder="1" applyAlignment="1">
      <alignment horizontal="center"/>
    </xf>
    <xf numFmtId="169" fontId="41" fillId="0" borderId="15" xfId="3" applyNumberFormat="1" applyFont="1" applyFill="1" applyBorder="1" applyAlignment="1">
      <alignment horizontal="center"/>
    </xf>
    <xf numFmtId="170" fontId="41" fillId="0" borderId="15" xfId="62" applyNumberFormat="1" applyFont="1" applyBorder="1" applyAlignment="1">
      <alignment horizontal="center" shrinkToFit="1"/>
    </xf>
    <xf numFmtId="49" fontId="42" fillId="0" borderId="15" xfId="70" applyNumberFormat="1" applyFont="1" applyBorder="1" applyAlignment="1">
      <alignment horizontal="center" vertical="center" shrinkToFit="1"/>
    </xf>
    <xf numFmtId="170" fontId="41" fillId="2" borderId="15" xfId="70" applyNumberFormat="1" applyFont="1" applyFill="1" applyBorder="1" applyAlignment="1">
      <alignment horizontal="center" vertical="center" shrinkToFit="1"/>
    </xf>
    <xf numFmtId="169" fontId="41" fillId="2" borderId="15" xfId="34" applyNumberFormat="1" applyFont="1" applyFill="1" applyBorder="1" applyAlignment="1">
      <alignment horizontal="center" vertical="center" shrinkToFit="1" readingOrder="2"/>
    </xf>
    <xf numFmtId="0" fontId="34" fillId="0" borderId="15" xfId="69" applyFont="1" applyBorder="1" applyAlignment="1">
      <alignment horizontal="right" shrinkToFit="1"/>
    </xf>
    <xf numFmtId="0" fontId="34" fillId="0" borderId="15" xfId="77" applyFont="1" applyBorder="1" applyAlignment="1">
      <alignment horizontal="right" shrinkToFit="1"/>
    </xf>
    <xf numFmtId="0" fontId="125" fillId="0" borderId="15" xfId="172" applyFont="1" applyBorder="1" applyAlignment="1">
      <alignment horizontal="right" shrinkToFit="1"/>
    </xf>
    <xf numFmtId="0" fontId="125" fillId="0" borderId="15" xfId="161" applyFont="1" applyBorder="1" applyAlignment="1">
      <alignment horizontal="right" shrinkToFit="1"/>
    </xf>
    <xf numFmtId="0" fontId="42" fillId="0" borderId="8" xfId="0" applyFont="1" applyBorder="1" applyAlignment="1">
      <alignment horizontal="center" vertical="center" wrapText="1" shrinkToFit="1"/>
    </xf>
    <xf numFmtId="49" fontId="33" fillId="0" borderId="0" xfId="74" applyNumberFormat="1" applyFont="1" applyAlignment="1">
      <alignment horizontal="center" vertical="top" shrinkToFit="1"/>
    </xf>
    <xf numFmtId="170" fontId="33" fillId="0" borderId="0" xfId="0" applyNumberFormat="1" applyFont="1" applyAlignment="1">
      <alignment horizontal="center" vertical="center" readingOrder="2"/>
    </xf>
    <xf numFmtId="170" fontId="44" fillId="0" borderId="15" xfId="0" applyNumberFormat="1" applyFont="1" applyBorder="1" applyAlignment="1">
      <alignment horizontal="center" vertical="center" readingOrder="2"/>
    </xf>
    <xf numFmtId="170" fontId="44" fillId="0" borderId="15" xfId="0" applyNumberFormat="1" applyFont="1" applyBorder="1" applyAlignment="1">
      <alignment horizontal="center" vertical="center" wrapText="1" readingOrder="2"/>
    </xf>
    <xf numFmtId="170" fontId="44" fillId="0" borderId="0" xfId="0" applyNumberFormat="1" applyFont="1" applyAlignment="1">
      <alignment horizontal="center" vertical="center" wrapText="1" readingOrder="2"/>
    </xf>
    <xf numFmtId="170" fontId="42" fillId="0" borderId="15" xfId="0" applyNumberFormat="1" applyFont="1" applyBorder="1" applyAlignment="1">
      <alignment horizontal="center" vertical="center" shrinkToFit="1" readingOrder="2"/>
    </xf>
    <xf numFmtId="169" fontId="37" fillId="0" borderId="15" xfId="17" applyNumberFormat="1" applyFont="1" applyFill="1" applyBorder="1" applyAlignment="1">
      <alignment horizontal="center" vertical="center" shrinkToFit="1"/>
    </xf>
    <xf numFmtId="169" fontId="38" fillId="0" borderId="34" xfId="10" applyNumberFormat="1" applyFont="1" applyFill="1" applyBorder="1" applyAlignment="1">
      <alignment horizontal="center" vertical="center" shrinkToFit="1" readingOrder="2"/>
    </xf>
    <xf numFmtId="49" fontId="41" fillId="0" borderId="15" xfId="10" applyNumberFormat="1" applyFont="1" applyFill="1" applyBorder="1" applyAlignment="1">
      <alignment horizontal="center" vertical="center" wrapText="1" readingOrder="2"/>
    </xf>
    <xf numFmtId="49" fontId="34" fillId="0" borderId="15" xfId="1" applyNumberFormat="1" applyFont="1" applyFill="1" applyBorder="1" applyAlignment="1">
      <alignment horizontal="center" vertical="center" shrinkToFit="1"/>
    </xf>
    <xf numFmtId="49" fontId="37" fillId="0" borderId="15" xfId="1" applyNumberFormat="1" applyFont="1" applyFill="1" applyBorder="1" applyAlignment="1">
      <alignment horizontal="center" vertical="center" shrinkToFit="1"/>
    </xf>
    <xf numFmtId="169" fontId="37" fillId="0" borderId="31" xfId="34" applyNumberFormat="1" applyFont="1" applyFill="1" applyBorder="1" applyAlignment="1">
      <alignment horizontal="center" vertical="center" shrinkToFit="1"/>
    </xf>
    <xf numFmtId="169" fontId="37" fillId="0" borderId="15" xfId="34" applyNumberFormat="1" applyFont="1" applyFill="1" applyBorder="1" applyAlignment="1">
      <alignment horizontal="center" vertical="center" shrinkToFit="1"/>
    </xf>
    <xf numFmtId="174" fontId="39" fillId="0" borderId="15" xfId="70" applyNumberFormat="1" applyFont="1" applyBorder="1" applyAlignment="1">
      <alignment vertical="center" shrinkToFit="1"/>
    </xf>
    <xf numFmtId="170" fontId="39" fillId="0" borderId="0" xfId="1" applyNumberFormat="1" applyFont="1" applyFill="1" applyBorder="1" applyAlignment="1">
      <alignment horizontal="center" vertical="center" shrinkToFit="1"/>
    </xf>
    <xf numFmtId="169" fontId="37" fillId="0" borderId="15" xfId="34" applyNumberFormat="1" applyFont="1" applyFill="1" applyBorder="1" applyAlignment="1">
      <alignment horizontal="center" vertical="center" shrinkToFit="1" readingOrder="2"/>
    </xf>
    <xf numFmtId="169" fontId="37" fillId="0" borderId="29" xfId="34" applyNumberFormat="1" applyFont="1" applyFill="1" applyBorder="1" applyAlignment="1">
      <alignment horizontal="center" vertical="center" shrinkToFit="1" readingOrder="2"/>
    </xf>
    <xf numFmtId="169" fontId="41" fillId="0" borderId="0" xfId="3" applyNumberFormat="1" applyFont="1" applyFill="1" applyBorder="1" applyAlignment="1">
      <alignment horizontal="right" vertical="center" shrinkToFit="1"/>
    </xf>
    <xf numFmtId="171" fontId="29" fillId="0" borderId="0" xfId="3" applyNumberFormat="1" applyFont="1" applyFill="1" applyBorder="1" applyAlignment="1">
      <alignment horizontal="center" vertical="center" shrinkToFit="1"/>
    </xf>
    <xf numFmtId="0" fontId="33" fillId="0" borderId="0" xfId="0" applyFont="1"/>
    <xf numFmtId="171" fontId="47" fillId="0" borderId="16" xfId="1" applyNumberFormat="1" applyFont="1" applyFill="1" applyBorder="1" applyAlignment="1">
      <alignment horizontal="right" vertical="center" shrinkToFit="1"/>
    </xf>
    <xf numFmtId="171" fontId="37" fillId="0" borderId="11" xfId="1" applyNumberFormat="1" applyFont="1" applyFill="1" applyBorder="1" applyAlignment="1">
      <alignment horizontal="right" vertical="center" shrinkToFit="1"/>
    </xf>
    <xf numFmtId="171" fontId="119" fillId="0" borderId="15" xfId="1" applyNumberFormat="1" applyFont="1" applyFill="1" applyBorder="1" applyAlignment="1">
      <alignment horizontal="right" vertical="center" shrinkToFit="1"/>
    </xf>
    <xf numFmtId="171" fontId="110" fillId="0" borderId="15" xfId="1" applyNumberFormat="1" applyFont="1" applyFill="1" applyBorder="1" applyAlignment="1">
      <alignment horizontal="right" vertical="center" shrinkToFit="1"/>
    </xf>
    <xf numFmtId="169" fontId="39" fillId="0" borderId="0" xfId="70" applyNumberFormat="1" applyFont="1" applyFill="1" applyBorder="1" applyAlignment="1">
      <alignment vertical="center" shrinkToFit="1" readingOrder="2"/>
    </xf>
    <xf numFmtId="0" fontId="33" fillId="0" borderId="0" xfId="0" applyFont="1" applyFill="1" applyBorder="1"/>
    <xf numFmtId="169" fontId="33" fillId="0" borderId="0" xfId="0" applyNumberFormat="1" applyFont="1" applyFill="1" applyBorder="1"/>
    <xf numFmtId="169" fontId="37" fillId="0" borderId="10" xfId="34" applyNumberFormat="1" applyFont="1" applyFill="1" applyBorder="1" applyAlignment="1">
      <alignment horizontal="center" vertical="center" shrinkToFit="1"/>
    </xf>
    <xf numFmtId="49" fontId="34" fillId="0" borderId="0" xfId="70" applyNumberFormat="1" applyFont="1" applyFill="1" applyBorder="1" applyAlignment="1">
      <alignment horizontal="center" vertical="center" textRotation="90" shrinkToFit="1" readingOrder="2"/>
    </xf>
    <xf numFmtId="174" fontId="47" fillId="0" borderId="0" xfId="1" applyNumberFormat="1" applyFont="1" applyFill="1" applyBorder="1" applyAlignment="1">
      <alignment horizontal="center" vertical="center" shrinkToFit="1"/>
    </xf>
    <xf numFmtId="170" fontId="39" fillId="0" borderId="0" xfId="1" applyNumberFormat="1" applyFont="1" applyFill="1" applyBorder="1" applyAlignment="1">
      <alignment vertical="center" shrinkToFit="1"/>
    </xf>
    <xf numFmtId="171" fontId="33" fillId="0" borderId="42" xfId="1" applyNumberFormat="1" applyFont="1" applyFill="1" applyBorder="1" applyAlignment="1">
      <alignment horizontal="right" vertical="center" shrinkToFit="1"/>
    </xf>
    <xf numFmtId="171" fontId="33" fillId="0" borderId="16" xfId="1" applyNumberFormat="1" applyFont="1" applyFill="1" applyBorder="1" applyAlignment="1">
      <alignment horizontal="right" vertical="center" shrinkToFit="1"/>
    </xf>
    <xf numFmtId="171" fontId="33" fillId="0" borderId="5" xfId="1" applyNumberFormat="1" applyFont="1" applyFill="1" applyBorder="1" applyAlignment="1">
      <alignment horizontal="right" vertical="center" shrinkToFit="1"/>
    </xf>
    <xf numFmtId="171" fontId="33" fillId="0" borderId="16" xfId="1" applyNumberFormat="1" applyFont="1" applyFill="1" applyBorder="1" applyAlignment="1">
      <alignment vertical="center" shrinkToFit="1"/>
    </xf>
    <xf numFmtId="171" fontId="25" fillId="0" borderId="15" xfId="1" applyNumberFormat="1" applyFont="1" applyFill="1" applyBorder="1" applyAlignment="1">
      <alignment horizontal="right" vertical="center" shrinkToFit="1"/>
    </xf>
    <xf numFmtId="169" fontId="35" fillId="0" borderId="0" xfId="0" applyNumberFormat="1" applyFont="1" applyFill="1" applyAlignment="1">
      <alignment horizontal="center" vertical="center" shrinkToFit="1" readingOrder="2"/>
    </xf>
    <xf numFmtId="169" fontId="39" fillId="0" borderId="0" xfId="70" applyNumberFormat="1" applyFont="1" applyFill="1" applyAlignment="1">
      <alignment vertical="center" shrinkToFit="1" readingOrder="2"/>
    </xf>
    <xf numFmtId="169" fontId="35" fillId="0" borderId="0" xfId="0" applyNumberFormat="1" applyFont="1" applyFill="1" applyAlignment="1">
      <alignment horizontal="center" vertical="center" readingOrder="2"/>
    </xf>
    <xf numFmtId="169" fontId="41" fillId="0" borderId="0" xfId="70" applyNumberFormat="1" applyFont="1" applyFill="1" applyAlignment="1">
      <alignment vertical="center" readingOrder="2"/>
    </xf>
    <xf numFmtId="169" fontId="41" fillId="0" borderId="0" xfId="0" applyNumberFormat="1" applyFont="1" applyFill="1" applyAlignment="1">
      <alignment horizontal="center" vertical="center" readingOrder="2"/>
    </xf>
    <xf numFmtId="170" fontId="44" fillId="0" borderId="0" xfId="0" applyNumberFormat="1" applyFont="1" applyFill="1" applyAlignment="1">
      <alignment horizontal="center" readingOrder="2"/>
    </xf>
    <xf numFmtId="169" fontId="37" fillId="0" borderId="0" xfId="70" applyNumberFormat="1" applyFont="1" applyFill="1" applyAlignment="1">
      <alignment vertical="center" shrinkToFit="1" readingOrder="2"/>
    </xf>
    <xf numFmtId="49" fontId="39" fillId="0" borderId="0" xfId="70" applyNumberFormat="1" applyFont="1" applyFill="1" applyAlignment="1">
      <alignment vertical="center" shrinkToFit="1" readingOrder="2"/>
    </xf>
    <xf numFmtId="49" fontId="39" fillId="0" borderId="0" xfId="70" applyNumberFormat="1" applyFont="1" applyFill="1" applyAlignment="1">
      <alignment horizontal="center" vertical="center" shrinkToFit="1" readingOrder="2"/>
    </xf>
    <xf numFmtId="169" fontId="38" fillId="0" borderId="0" xfId="70" applyNumberFormat="1" applyFont="1" applyFill="1" applyAlignment="1">
      <alignment horizontal="center" vertical="center" shrinkToFit="1" readingOrder="2"/>
    </xf>
    <xf numFmtId="170" fontId="47" fillId="0" borderId="0" xfId="70" applyNumberFormat="1" applyFont="1" applyFill="1" applyAlignment="1">
      <alignment horizontal="center" shrinkToFit="1" readingOrder="2"/>
    </xf>
    <xf numFmtId="49" fontId="37" fillId="0" borderId="0" xfId="70" applyNumberFormat="1" applyFont="1" applyFill="1" applyAlignment="1">
      <alignment vertical="center" shrinkToFit="1" readingOrder="2"/>
    </xf>
    <xf numFmtId="49" fontId="37" fillId="0" borderId="0" xfId="70" applyNumberFormat="1" applyFont="1" applyFill="1" applyAlignment="1">
      <alignment horizontal="center" vertical="center" shrinkToFit="1" readingOrder="2"/>
    </xf>
    <xf numFmtId="169" fontId="33" fillId="0" borderId="0" xfId="70" applyNumberFormat="1" applyFont="1" applyFill="1" applyAlignment="1">
      <alignment vertical="center" shrinkToFit="1" readingOrder="2"/>
    </xf>
    <xf numFmtId="170" fontId="41" fillId="0" borderId="15" xfId="70" applyNumberFormat="1" applyFont="1" applyFill="1" applyBorder="1" applyAlignment="1">
      <alignment horizontal="center" shrinkToFit="1" readingOrder="2"/>
    </xf>
    <xf numFmtId="170" fontId="41" fillId="0" borderId="15" xfId="70" applyNumberFormat="1" applyFont="1" applyFill="1" applyBorder="1" applyAlignment="1">
      <alignment horizontal="center" vertical="center" wrapText="1" shrinkToFit="1" readingOrder="2"/>
    </xf>
    <xf numFmtId="170" fontId="41" fillId="0" borderId="15" xfId="70" applyNumberFormat="1" applyFont="1" applyFill="1" applyBorder="1" applyAlignment="1">
      <alignment horizontal="center" vertical="center" shrinkToFit="1" readingOrder="2"/>
    </xf>
    <xf numFmtId="49" fontId="37" fillId="0" borderId="7" xfId="70" applyNumberFormat="1" applyFont="1" applyFill="1" applyBorder="1" applyAlignment="1">
      <alignment horizontal="center" vertical="center" shrinkToFit="1"/>
    </xf>
    <xf numFmtId="170" fontId="37" fillId="0" borderId="29" xfId="70" applyNumberFormat="1" applyFont="1" applyFill="1" applyBorder="1" applyAlignment="1">
      <alignment horizontal="center" shrinkToFit="1" readingOrder="2"/>
    </xf>
    <xf numFmtId="49" fontId="37" fillId="0" borderId="4" xfId="70" applyNumberFormat="1" applyFont="1" applyFill="1" applyBorder="1" applyAlignment="1">
      <alignment horizontal="center" vertical="center" shrinkToFit="1"/>
    </xf>
    <xf numFmtId="170" fontId="37" fillId="0" borderId="15" xfId="70" applyNumberFormat="1" applyFont="1" applyFill="1" applyBorder="1" applyAlignment="1">
      <alignment horizontal="center" shrinkToFit="1" readingOrder="2"/>
    </xf>
    <xf numFmtId="170" fontId="25" fillId="0" borderId="4" xfId="70" applyNumberFormat="1" applyFont="1" applyFill="1" applyBorder="1" applyAlignment="1">
      <alignment horizontal="center" vertical="center" shrinkToFit="1"/>
    </xf>
    <xf numFmtId="170" fontId="25" fillId="0" borderId="15" xfId="70" applyNumberFormat="1" applyFont="1" applyFill="1" applyBorder="1" applyAlignment="1">
      <alignment horizontal="center" vertical="center" shrinkToFit="1"/>
    </xf>
    <xf numFmtId="0" fontId="37" fillId="0" borderId="4" xfId="0" applyFont="1" applyFill="1" applyBorder="1" applyAlignment="1">
      <alignment horizontal="center" vertical="center" shrinkToFit="1"/>
    </xf>
    <xf numFmtId="170" fontId="63" fillId="0" borderId="15" xfId="70" applyNumberFormat="1" applyFont="1" applyFill="1" applyBorder="1" applyAlignment="1">
      <alignment horizontal="center" vertical="center" shrinkToFit="1"/>
    </xf>
    <xf numFmtId="170" fontId="25" fillId="0" borderId="7" xfId="70" applyNumberFormat="1" applyFont="1" applyFill="1" applyBorder="1" applyAlignment="1">
      <alignment horizontal="center" vertical="center" shrinkToFit="1"/>
    </xf>
    <xf numFmtId="170" fontId="37" fillId="0" borderId="26" xfId="70" applyNumberFormat="1" applyFont="1" applyFill="1" applyBorder="1" applyAlignment="1">
      <alignment horizontal="center" shrinkToFit="1" readingOrder="2"/>
    </xf>
    <xf numFmtId="49" fontId="37" fillId="0" borderId="5" xfId="70" applyNumberFormat="1" applyFont="1" applyFill="1" applyBorder="1" applyAlignment="1">
      <alignment horizontal="center" vertical="center" shrinkToFit="1"/>
    </xf>
    <xf numFmtId="170" fontId="24" fillId="0" borderId="15" xfId="70" applyNumberFormat="1" applyFont="1" applyFill="1" applyBorder="1" applyAlignment="1">
      <alignment horizontal="center" vertical="center" shrinkToFit="1"/>
    </xf>
    <xf numFmtId="49" fontId="37" fillId="0" borderId="4" xfId="118" applyNumberFormat="1" applyFont="1" applyFill="1" applyBorder="1" applyAlignment="1">
      <alignment horizontal="center" vertical="center" shrinkToFit="1"/>
    </xf>
    <xf numFmtId="49" fontId="45" fillId="0" borderId="4" xfId="70" applyNumberFormat="1" applyFont="1" applyFill="1" applyBorder="1" applyAlignment="1">
      <alignment horizontal="center" vertical="center"/>
    </xf>
    <xf numFmtId="170" fontId="38" fillId="0" borderId="15" xfId="70" applyNumberFormat="1" applyFont="1" applyFill="1" applyBorder="1" applyAlignment="1">
      <alignment horizontal="center" vertical="center" shrinkToFit="1" readingOrder="2"/>
    </xf>
    <xf numFmtId="49" fontId="37" fillId="0" borderId="4" xfId="70" applyNumberFormat="1" applyFont="1" applyFill="1" applyBorder="1" applyAlignment="1">
      <alignment horizontal="center" vertical="center" shrinkToFit="1" readingOrder="2"/>
    </xf>
    <xf numFmtId="169" fontId="37" fillId="0" borderId="4" xfId="129" applyNumberFormat="1" applyFont="1" applyFill="1" applyBorder="1" applyAlignment="1">
      <alignment horizontal="right" vertical="center" shrinkToFit="1"/>
    </xf>
    <xf numFmtId="170" fontId="35" fillId="0" borderId="29" xfId="70" applyNumberFormat="1" applyFont="1" applyFill="1" applyBorder="1" applyAlignment="1">
      <alignment horizontal="center" vertical="center" shrinkToFit="1"/>
    </xf>
    <xf numFmtId="170" fontId="35" fillId="0" borderId="15" xfId="70" applyNumberFormat="1" applyFont="1" applyFill="1" applyBorder="1" applyAlignment="1">
      <alignment horizontal="center" vertical="center" shrinkToFit="1"/>
    </xf>
    <xf numFmtId="170" fontId="41" fillId="0" borderId="17" xfId="70" applyNumberFormat="1" applyFont="1" applyFill="1" applyBorder="1" applyAlignment="1">
      <alignment horizontal="center" shrinkToFit="1" readingOrder="2"/>
    </xf>
    <xf numFmtId="170" fontId="41" fillId="0" borderId="8" xfId="70" applyNumberFormat="1" applyFont="1" applyFill="1" applyBorder="1" applyAlignment="1">
      <alignment horizontal="center" shrinkToFit="1" readingOrder="2"/>
    </xf>
    <xf numFmtId="170" fontId="41" fillId="0" borderId="17" xfId="70" applyNumberFormat="1" applyFont="1" applyFill="1" applyBorder="1" applyAlignment="1">
      <alignment horizontal="center" vertical="center" wrapText="1" shrinkToFit="1" readingOrder="2"/>
    </xf>
    <xf numFmtId="170" fontId="41" fillId="0" borderId="8" xfId="70" applyNumberFormat="1" applyFont="1" applyFill="1" applyBorder="1" applyAlignment="1">
      <alignment horizontal="center" vertical="center" wrapText="1" shrinkToFit="1" readingOrder="2"/>
    </xf>
    <xf numFmtId="170" fontId="41" fillId="0" borderId="8" xfId="70" applyNumberFormat="1" applyFont="1" applyFill="1" applyBorder="1" applyAlignment="1">
      <alignment horizontal="center" vertical="center" shrinkToFit="1" readingOrder="2"/>
    </xf>
    <xf numFmtId="170" fontId="38" fillId="0" borderId="15" xfId="70" applyNumberFormat="1" applyFont="1" applyFill="1" applyBorder="1" applyAlignment="1">
      <alignment horizontal="center" vertical="center" shrinkToFit="1"/>
    </xf>
    <xf numFmtId="170" fontId="33" fillId="0" borderId="15" xfId="70" applyNumberFormat="1" applyFont="1" applyFill="1" applyBorder="1" applyAlignment="1">
      <alignment horizontal="center" vertical="center" shrinkToFit="1" readingOrder="2"/>
    </xf>
    <xf numFmtId="49" fontId="37" fillId="0" borderId="8" xfId="0" applyNumberFormat="1" applyFont="1" applyFill="1" applyBorder="1" applyAlignment="1">
      <alignment horizontal="center" vertical="center" shrinkToFit="1"/>
    </xf>
    <xf numFmtId="49" fontId="37" fillId="0" borderId="15" xfId="0" applyNumberFormat="1" applyFont="1" applyFill="1" applyBorder="1" applyAlignment="1">
      <alignment horizontal="center" vertical="center" shrinkToFit="1"/>
    </xf>
    <xf numFmtId="49" fontId="25" fillId="0" borderId="15" xfId="0" applyNumberFormat="1" applyFont="1" applyFill="1" applyBorder="1" applyAlignment="1">
      <alignment horizontal="center" vertical="center" shrinkToFit="1"/>
    </xf>
    <xf numFmtId="0" fontId="25" fillId="0" borderId="15" xfId="81" applyNumberFormat="1" applyFont="1" applyFill="1" applyBorder="1" applyAlignment="1" applyProtection="1">
      <alignment horizontal="center" vertical="center" shrinkToFit="1"/>
    </xf>
    <xf numFmtId="0" fontId="37" fillId="0" borderId="15" xfId="0" applyFont="1" applyFill="1" applyBorder="1" applyAlignment="1">
      <alignment horizontal="center" vertical="center" shrinkToFit="1"/>
    </xf>
    <xf numFmtId="170" fontId="25" fillId="0" borderId="6" xfId="70" applyNumberFormat="1" applyFont="1" applyFill="1" applyBorder="1" applyAlignment="1">
      <alignment horizontal="center" vertical="center" shrinkToFit="1"/>
    </xf>
    <xf numFmtId="49" fontId="41" fillId="0" borderId="15" xfId="70" applyNumberFormat="1" applyFont="1" applyFill="1" applyBorder="1" applyAlignment="1">
      <alignment horizontal="center" vertical="center" shrinkToFit="1"/>
    </xf>
    <xf numFmtId="170" fontId="38" fillId="0" borderId="8" xfId="70" applyNumberFormat="1" applyFont="1" applyFill="1" applyBorder="1" applyAlignment="1">
      <alignment horizontal="center" vertical="center" shrinkToFit="1"/>
    </xf>
    <xf numFmtId="170" fontId="38" fillId="0" borderId="15" xfId="70" applyNumberFormat="1" applyFont="1" applyFill="1" applyBorder="1" applyAlignment="1">
      <alignment horizontal="center" shrinkToFit="1" readingOrder="2"/>
    </xf>
    <xf numFmtId="170" fontId="25" fillId="0" borderId="29" xfId="70" applyNumberFormat="1" applyFont="1" applyFill="1" applyBorder="1" applyAlignment="1">
      <alignment horizontal="center" vertical="center" shrinkToFit="1"/>
    </xf>
    <xf numFmtId="169" fontId="37" fillId="0" borderId="15" xfId="70" applyNumberFormat="1" applyFont="1" applyFill="1" applyBorder="1" applyAlignment="1">
      <alignment horizontal="center" vertical="center" shrinkToFit="1" readingOrder="2"/>
    </xf>
    <xf numFmtId="170" fontId="25" fillId="0" borderId="6" xfId="70" applyNumberFormat="1" applyFont="1" applyFill="1" applyBorder="1" applyAlignment="1">
      <alignment horizontal="center" vertical="center" shrinkToFit="1" readingOrder="2"/>
    </xf>
    <xf numFmtId="170" fontId="25" fillId="0" borderId="27" xfId="70" applyNumberFormat="1" applyFont="1" applyFill="1" applyBorder="1" applyAlignment="1">
      <alignment horizontal="center" vertical="center" shrinkToFit="1"/>
    </xf>
    <xf numFmtId="170" fontId="25" fillId="0" borderId="15" xfId="70" applyNumberFormat="1" applyFont="1" applyFill="1" applyBorder="1" applyAlignment="1">
      <alignment horizontal="center" vertical="center" shrinkToFit="1" readingOrder="2"/>
    </xf>
    <xf numFmtId="170" fontId="38" fillId="0" borderId="15" xfId="70" applyNumberFormat="1" applyFont="1" applyFill="1" applyBorder="1" applyAlignment="1">
      <alignment horizontal="center" shrinkToFit="1"/>
    </xf>
    <xf numFmtId="49" fontId="41" fillId="0" borderId="0" xfId="0" applyNumberFormat="1" applyFont="1" applyFill="1" applyAlignment="1">
      <alignment horizontal="center" vertical="center" textRotation="90" shrinkToFit="1"/>
    </xf>
    <xf numFmtId="49" fontId="41" fillId="0" borderId="0" xfId="70" applyNumberFormat="1" applyFont="1" applyFill="1" applyBorder="1" applyAlignment="1">
      <alignment horizontal="center" vertical="center" shrinkToFit="1"/>
    </xf>
    <xf numFmtId="170" fontId="37" fillId="0" borderId="0" xfId="70" applyNumberFormat="1" applyFont="1" applyFill="1" applyBorder="1" applyAlignment="1">
      <alignment vertical="center" shrinkToFit="1"/>
    </xf>
    <xf numFmtId="170" fontId="37" fillId="0" borderId="15" xfId="70" applyNumberFormat="1" applyFont="1" applyFill="1" applyBorder="1" applyAlignment="1">
      <alignment horizontal="center" vertical="center" shrinkToFit="1"/>
    </xf>
    <xf numFmtId="170" fontId="37" fillId="0" borderId="15" xfId="70" applyNumberFormat="1" applyFont="1" applyFill="1" applyBorder="1" applyAlignment="1">
      <alignment horizontal="center" vertical="center" shrinkToFit="1" readingOrder="2"/>
    </xf>
    <xf numFmtId="170" fontId="25" fillId="0" borderId="27" xfId="70" applyNumberFormat="1" applyFont="1" applyFill="1" applyBorder="1" applyAlignment="1">
      <alignment horizontal="center" vertical="center" shrinkToFit="1" readingOrder="2"/>
    </xf>
    <xf numFmtId="170" fontId="25" fillId="0" borderId="26" xfId="70" applyNumberFormat="1" applyFont="1" applyFill="1" applyBorder="1" applyAlignment="1">
      <alignment horizontal="center" vertical="center" shrinkToFit="1"/>
    </xf>
    <xf numFmtId="49" fontId="39" fillId="0" borderId="26" xfId="0" applyNumberFormat="1" applyFont="1" applyFill="1" applyBorder="1" applyAlignment="1">
      <alignment horizontal="center" vertical="center" shrinkToFit="1"/>
    </xf>
    <xf numFmtId="49" fontId="37" fillId="0" borderId="15" xfId="70" applyNumberFormat="1" applyFont="1" applyFill="1" applyBorder="1" applyAlignment="1">
      <alignment horizontal="center" vertical="center" shrinkToFit="1"/>
    </xf>
    <xf numFmtId="49" fontId="37" fillId="0" borderId="26" xfId="70" applyNumberFormat="1" applyFont="1" applyFill="1" applyBorder="1" applyAlignment="1">
      <alignment horizontal="center" vertical="center" shrinkToFit="1"/>
    </xf>
    <xf numFmtId="49" fontId="33" fillId="0" borderId="15" xfId="70" applyNumberFormat="1" applyFont="1" applyFill="1" applyBorder="1" applyAlignment="1">
      <alignment horizontal="center" vertical="center" shrinkToFit="1"/>
    </xf>
    <xf numFmtId="49" fontId="33" fillId="0" borderId="15" xfId="76" applyNumberFormat="1" applyFont="1" applyFill="1" applyBorder="1" applyAlignment="1">
      <alignment horizontal="center" vertical="center" shrinkToFit="1"/>
    </xf>
    <xf numFmtId="49" fontId="33" fillId="0" borderId="15" xfId="0" applyNumberFormat="1" applyFont="1" applyFill="1" applyBorder="1" applyAlignment="1">
      <alignment horizontal="center" vertical="center" shrinkToFit="1"/>
    </xf>
    <xf numFmtId="170" fontId="37" fillId="0" borderId="0" xfId="70" applyNumberFormat="1" applyFont="1" applyFill="1" applyBorder="1" applyAlignment="1">
      <alignment horizontal="center" vertical="center" shrinkToFit="1"/>
    </xf>
    <xf numFmtId="3" fontId="41" fillId="0" borderId="0" xfId="70" applyNumberFormat="1" applyFont="1" applyFill="1" applyAlignment="1">
      <alignment horizontal="center" vertical="center" shrinkToFit="1" readingOrder="2"/>
    </xf>
    <xf numFmtId="49" fontId="37" fillId="0" borderId="15" xfId="126" applyNumberFormat="1" applyFont="1" applyFill="1" applyBorder="1" applyAlignment="1">
      <alignment horizontal="center" vertical="center" shrinkToFit="1"/>
    </xf>
    <xf numFmtId="0" fontId="47" fillId="0" borderId="15" xfId="74" applyFont="1" applyFill="1" applyBorder="1" applyAlignment="1">
      <alignment horizontal="center" vertical="center" shrinkToFit="1"/>
    </xf>
    <xf numFmtId="169" fontId="33" fillId="0" borderId="15" xfId="70" applyNumberFormat="1" applyFont="1" applyFill="1" applyBorder="1" applyAlignment="1">
      <alignment vertical="center" shrinkToFit="1" readingOrder="2"/>
    </xf>
    <xf numFmtId="49" fontId="37" fillId="0" borderId="46" xfId="124" applyNumberFormat="1" applyFont="1" applyFill="1" applyBorder="1" applyAlignment="1">
      <alignment horizontal="center" vertical="center" shrinkToFit="1"/>
    </xf>
    <xf numFmtId="0" fontId="110" fillId="0" borderId="15" xfId="174" quotePrefix="1" applyFont="1" applyFill="1" applyBorder="1" applyAlignment="1">
      <alignment horizontal="center" shrinkToFit="1"/>
    </xf>
    <xf numFmtId="0" fontId="110" fillId="0" borderId="15" xfId="174" applyFont="1" applyFill="1" applyBorder="1" applyAlignment="1">
      <alignment horizontal="right" shrinkToFit="1"/>
    </xf>
    <xf numFmtId="49" fontId="37" fillId="0" borderId="15" xfId="76" applyNumberFormat="1" applyFont="1" applyFill="1" applyBorder="1" applyAlignment="1">
      <alignment horizontal="center" vertical="center" shrinkToFit="1"/>
    </xf>
    <xf numFmtId="0" fontId="37" fillId="0" borderId="15" xfId="69" applyFont="1" applyFill="1" applyBorder="1" applyAlignment="1">
      <alignment vertical="center" shrinkToFit="1"/>
    </xf>
    <xf numFmtId="170" fontId="37" fillId="0" borderId="26" xfId="70" applyNumberFormat="1" applyFont="1" applyFill="1" applyBorder="1" applyAlignment="1">
      <alignment horizontal="center" vertical="center" shrinkToFit="1" readingOrder="2"/>
    </xf>
    <xf numFmtId="0" fontId="110" fillId="0" borderId="15" xfId="174" applyFont="1" applyFill="1" applyBorder="1" applyAlignment="1">
      <alignment horizontal="center" shrinkToFit="1"/>
    </xf>
    <xf numFmtId="0" fontId="110" fillId="0" borderId="16" xfId="174" applyFont="1" applyFill="1" applyBorder="1" applyAlignment="1">
      <alignment horizontal="right" shrinkToFit="1"/>
    </xf>
    <xf numFmtId="0" fontId="110" fillId="0" borderId="15" xfId="168" applyFont="1" applyFill="1" applyBorder="1" applyAlignment="1">
      <alignment horizontal="center" shrinkToFit="1"/>
    </xf>
    <xf numFmtId="0" fontId="110" fillId="0" borderId="15" xfId="168" applyFont="1" applyFill="1" applyBorder="1" applyAlignment="1">
      <alignment horizontal="right" shrinkToFit="1"/>
    </xf>
    <xf numFmtId="0" fontId="110" fillId="0" borderId="16" xfId="165" applyFont="1" applyFill="1" applyBorder="1" applyAlignment="1">
      <alignment shrinkToFit="1"/>
    </xf>
    <xf numFmtId="0" fontId="110" fillId="0" borderId="16" xfId="174" applyFont="1" applyFill="1" applyBorder="1" applyAlignment="1">
      <alignment shrinkToFit="1"/>
    </xf>
    <xf numFmtId="0" fontId="110" fillId="0" borderId="15" xfId="165" quotePrefix="1" applyFont="1" applyFill="1" applyBorder="1" applyAlignment="1">
      <alignment horizontal="center"/>
    </xf>
    <xf numFmtId="0" fontId="110" fillId="0" borderId="16" xfId="165" applyFont="1" applyFill="1" applyBorder="1"/>
    <xf numFmtId="0" fontId="110" fillId="0" borderId="15" xfId="174" applyFont="1" applyFill="1" applyBorder="1" applyAlignment="1">
      <alignment shrinkToFit="1"/>
    </xf>
    <xf numFmtId="0" fontId="110" fillId="0" borderId="15" xfId="165" applyFont="1" applyFill="1" applyBorder="1" applyAlignment="1">
      <alignment shrinkToFit="1"/>
    </xf>
    <xf numFmtId="0" fontId="110" fillId="0" borderId="15" xfId="165" applyFont="1" applyFill="1" applyBorder="1" applyAlignment="1">
      <alignment horizontal="center" shrinkToFit="1"/>
    </xf>
    <xf numFmtId="169" fontId="42" fillId="0" borderId="15" xfId="70" applyNumberFormat="1" applyFont="1" applyFill="1" applyBorder="1" applyAlignment="1">
      <alignment horizontal="center" vertical="center" shrinkToFit="1"/>
    </xf>
    <xf numFmtId="0" fontId="110" fillId="0" borderId="15" xfId="165" applyFont="1" applyFill="1" applyBorder="1" applyAlignment="1">
      <alignment horizontal="center"/>
    </xf>
    <xf numFmtId="0" fontId="110" fillId="0" borderId="26" xfId="165" applyFont="1" applyFill="1" applyBorder="1" applyAlignment="1">
      <alignment horizontal="center" shrinkToFit="1"/>
    </xf>
    <xf numFmtId="0" fontId="110" fillId="0" borderId="30" xfId="165" applyFont="1" applyFill="1" applyBorder="1" applyAlignment="1">
      <alignment shrinkToFit="1"/>
    </xf>
    <xf numFmtId="170" fontId="37" fillId="0" borderId="26" xfId="70" applyNumberFormat="1" applyFont="1" applyFill="1" applyBorder="1" applyAlignment="1">
      <alignment horizontal="center" vertical="center" shrinkToFit="1"/>
    </xf>
    <xf numFmtId="170" fontId="37" fillId="0" borderId="48" xfId="70" applyNumberFormat="1" applyFont="1" applyFill="1" applyBorder="1" applyAlignment="1">
      <alignment horizontal="center" vertical="center" shrinkToFit="1"/>
    </xf>
    <xf numFmtId="170" fontId="37" fillId="0" borderId="29" xfId="70" applyNumberFormat="1" applyFont="1" applyFill="1" applyBorder="1" applyAlignment="1">
      <alignment horizontal="center" vertical="center" shrinkToFit="1"/>
    </xf>
    <xf numFmtId="170" fontId="37" fillId="0" borderId="29" xfId="70" applyNumberFormat="1" applyFont="1" applyFill="1" applyBorder="1" applyAlignment="1">
      <alignment horizontal="center" vertical="center" shrinkToFit="1" readingOrder="2"/>
    </xf>
    <xf numFmtId="170" fontId="24" fillId="0" borderId="29" xfId="70" applyNumberFormat="1" applyFont="1" applyFill="1" applyBorder="1" applyAlignment="1">
      <alignment horizontal="center" vertical="center" shrinkToFit="1"/>
    </xf>
    <xf numFmtId="0" fontId="110" fillId="0" borderId="16" xfId="168" applyFont="1" applyFill="1" applyBorder="1" applyAlignment="1">
      <alignment horizontal="right" shrinkToFit="1"/>
    </xf>
    <xf numFmtId="49" fontId="37" fillId="0" borderId="29" xfId="0" applyNumberFormat="1" applyFont="1" applyFill="1" applyBorder="1" applyAlignment="1">
      <alignment horizontal="center" vertical="center" shrinkToFit="1"/>
    </xf>
    <xf numFmtId="49" fontId="33" fillId="0" borderId="26" xfId="0" applyNumberFormat="1" applyFont="1" applyFill="1" applyBorder="1" applyAlignment="1">
      <alignment horizontal="center" vertical="center" shrinkToFit="1"/>
    </xf>
    <xf numFmtId="170" fontId="39" fillId="0" borderId="15" xfId="70" applyNumberFormat="1" applyFont="1" applyFill="1" applyBorder="1" applyAlignment="1">
      <alignment horizontal="center" vertical="center" shrinkToFit="1"/>
    </xf>
    <xf numFmtId="169" fontId="47" fillId="0" borderId="0" xfId="70" applyNumberFormat="1" applyFont="1" applyFill="1" applyAlignment="1">
      <alignment horizontal="center" vertical="center" shrinkToFit="1" readingOrder="2"/>
    </xf>
    <xf numFmtId="169" fontId="37" fillId="0" borderId="0" xfId="70" applyNumberFormat="1" applyFont="1" applyFill="1" applyAlignment="1">
      <alignment horizontal="center" vertical="center" shrinkToFit="1" readingOrder="2"/>
    </xf>
    <xf numFmtId="170" fontId="38" fillId="0" borderId="43" xfId="70" applyNumberFormat="1" applyFont="1" applyFill="1" applyBorder="1" applyAlignment="1">
      <alignment horizontal="center" vertical="center" shrinkToFit="1" readingOrder="2"/>
    </xf>
    <xf numFmtId="170" fontId="70" fillId="0" borderId="44" xfId="70" applyNumberFormat="1" applyFont="1" applyFill="1" applyBorder="1" applyAlignment="1">
      <alignment horizontal="center" vertical="center" shrinkToFit="1" readingOrder="2"/>
    </xf>
    <xf numFmtId="169" fontId="41" fillId="0" borderId="0" xfId="0" applyNumberFormat="1" applyFont="1" applyFill="1" applyAlignment="1">
      <alignment horizontal="center" vertical="center" shrinkToFit="1"/>
    </xf>
    <xf numFmtId="170" fontId="38" fillId="0" borderId="0" xfId="70" applyNumberFormat="1" applyFont="1" applyFill="1" applyBorder="1" applyAlignment="1">
      <alignment horizontal="center" vertical="center" shrinkToFit="1" readingOrder="2"/>
    </xf>
    <xf numFmtId="170" fontId="70" fillId="0" borderId="0" xfId="70" applyNumberFormat="1" applyFont="1" applyFill="1" applyBorder="1" applyAlignment="1">
      <alignment horizontal="center" vertical="center" shrinkToFit="1" readingOrder="2"/>
    </xf>
    <xf numFmtId="169" fontId="39" fillId="0" borderId="0" xfId="70" applyNumberFormat="1" applyFont="1" applyFill="1" applyAlignment="1">
      <alignment horizontal="center" vertical="center" shrinkToFit="1" readingOrder="2"/>
    </xf>
    <xf numFmtId="169" fontId="39" fillId="0" borderId="15" xfId="70" applyNumberFormat="1" applyFont="1" applyBorder="1" applyAlignment="1">
      <alignment vertical="center" shrinkToFit="1"/>
    </xf>
    <xf numFmtId="49" fontId="129" fillId="0" borderId="15" xfId="34" applyNumberFormat="1" applyFont="1" applyFill="1" applyBorder="1" applyAlignment="1">
      <alignment horizontal="right" vertical="center" shrinkToFit="1"/>
    </xf>
    <xf numFmtId="169" fontId="33" fillId="0" borderId="15" xfId="70" applyNumberFormat="1" applyFont="1" applyFill="1" applyBorder="1" applyAlignment="1">
      <alignment vertical="center" shrinkToFit="1"/>
    </xf>
    <xf numFmtId="169" fontId="33" fillId="0" borderId="15" xfId="34" applyNumberFormat="1" applyFont="1" applyFill="1" applyBorder="1" applyAlignment="1">
      <alignment vertical="center" shrinkToFit="1"/>
    </xf>
    <xf numFmtId="169" fontId="33" fillId="0" borderId="15" xfId="16" applyNumberFormat="1" applyFont="1" applyBorder="1" applyAlignment="1">
      <alignment vertical="center" shrinkToFit="1"/>
    </xf>
    <xf numFmtId="174" fontId="33" fillId="0" borderId="15" xfId="70" applyNumberFormat="1" applyFont="1" applyFill="1" applyBorder="1" applyAlignment="1">
      <alignment vertical="center" shrinkToFit="1"/>
    </xf>
    <xf numFmtId="174" fontId="33" fillId="0" borderId="15" xfId="34" applyNumberFormat="1" applyFont="1" applyFill="1" applyBorder="1" applyAlignment="1">
      <alignment vertical="center" shrinkToFit="1"/>
    </xf>
    <xf numFmtId="174" fontId="33" fillId="0" borderId="15" xfId="16" applyNumberFormat="1" applyFont="1" applyBorder="1" applyAlignment="1">
      <alignment vertical="center" shrinkToFit="1"/>
    </xf>
    <xf numFmtId="174" fontId="33" fillId="0" borderId="15" xfId="52" applyNumberFormat="1" applyFont="1" applyFill="1" applyBorder="1" applyAlignment="1">
      <alignment vertical="center" shrinkToFit="1"/>
    </xf>
    <xf numFmtId="169" fontId="39" fillId="0" borderId="15" xfId="34" applyNumberFormat="1" applyFont="1" applyFill="1" applyBorder="1" applyAlignment="1">
      <alignment vertical="center" shrinkToFit="1"/>
    </xf>
    <xf numFmtId="170" fontId="39" fillId="0" borderId="15" xfId="52" applyNumberFormat="1" applyFont="1" applyFill="1" applyBorder="1" applyAlignment="1">
      <alignment vertical="center" shrinkToFit="1"/>
    </xf>
    <xf numFmtId="170" fontId="39" fillId="0" borderId="15" xfId="52" applyNumberFormat="1" applyFont="1" applyBorder="1" applyAlignment="1">
      <alignment vertical="center" shrinkToFit="1"/>
    </xf>
    <xf numFmtId="170" fontId="33" fillId="0" borderId="15" xfId="16" applyNumberFormat="1" applyFont="1" applyBorder="1" applyAlignment="1">
      <alignment vertical="center" shrinkToFit="1"/>
    </xf>
    <xf numFmtId="170" fontId="33" fillId="0" borderId="15" xfId="52" applyNumberFormat="1" applyFont="1" applyFill="1" applyBorder="1" applyAlignment="1">
      <alignment vertical="center" shrinkToFit="1"/>
    </xf>
    <xf numFmtId="170" fontId="39" fillId="0" borderId="15" xfId="52" applyNumberFormat="1" applyFont="1" applyBorder="1" applyAlignment="1">
      <alignment shrinkToFit="1"/>
    </xf>
    <xf numFmtId="3" fontId="38" fillId="0" borderId="15" xfId="70" applyNumberFormat="1" applyFont="1" applyBorder="1" applyAlignment="1">
      <alignment shrinkToFit="1"/>
    </xf>
    <xf numFmtId="3" fontId="111" fillId="0" borderId="0" xfId="1" applyNumberFormat="1" applyFont="1"/>
    <xf numFmtId="3" fontId="115" fillId="0" borderId="0" xfId="0" applyNumberFormat="1" applyFont="1"/>
    <xf numFmtId="3" fontId="38" fillId="0" borderId="0" xfId="0" applyNumberFormat="1" applyFont="1"/>
    <xf numFmtId="169" fontId="34" fillId="0" borderId="0" xfId="0" applyNumberFormat="1" applyFont="1" applyFill="1" applyAlignment="1">
      <alignment vertical="center" shrinkToFit="1" readingOrder="2"/>
    </xf>
    <xf numFmtId="169" fontId="39" fillId="0" borderId="0" xfId="0" applyNumberFormat="1" applyFont="1" applyFill="1" applyAlignment="1">
      <alignment horizontal="center" vertical="center" shrinkToFit="1"/>
    </xf>
    <xf numFmtId="169" fontId="41" fillId="0" borderId="0" xfId="0" applyNumberFormat="1" applyFont="1" applyFill="1" applyAlignment="1">
      <alignment vertical="center" readingOrder="2"/>
    </xf>
    <xf numFmtId="169" fontId="34" fillId="0" borderId="0" xfId="0" applyNumberFormat="1" applyFont="1" applyFill="1" applyAlignment="1">
      <alignment horizontal="center" vertical="center" shrinkToFit="1" readingOrder="2"/>
    </xf>
    <xf numFmtId="169" fontId="39" fillId="0" borderId="0" xfId="0" applyNumberFormat="1" applyFont="1" applyFill="1" applyAlignment="1">
      <alignment horizontal="center" vertical="center" shrinkToFit="1" readingOrder="2"/>
    </xf>
    <xf numFmtId="169" fontId="35" fillId="0" borderId="0" xfId="0" applyNumberFormat="1" applyFont="1" applyFill="1" applyAlignment="1">
      <alignment horizontal="right" vertical="center" shrinkToFit="1" readingOrder="2"/>
    </xf>
    <xf numFmtId="169" fontId="38" fillId="0" borderId="0" xfId="0" applyNumberFormat="1" applyFont="1" applyFill="1" applyAlignment="1">
      <alignment horizontal="center" vertical="center" shrinkToFit="1" readingOrder="2"/>
    </xf>
    <xf numFmtId="169" fontId="34" fillId="0" borderId="28" xfId="0" applyNumberFormat="1" applyFont="1" applyFill="1" applyBorder="1" applyAlignment="1">
      <alignment horizontal="center" vertical="center" shrinkToFit="1"/>
    </xf>
    <xf numFmtId="169" fontId="34" fillId="0" borderId="0" xfId="0" applyNumberFormat="1" applyFont="1" applyFill="1" applyAlignment="1">
      <alignment horizontal="center" vertical="center" shrinkToFit="1"/>
    </xf>
    <xf numFmtId="169" fontId="39" fillId="0" borderId="28" xfId="0" applyNumberFormat="1" applyFont="1" applyFill="1" applyBorder="1" applyAlignment="1">
      <alignment horizontal="center" vertical="center" wrapText="1" shrinkToFit="1"/>
    </xf>
    <xf numFmtId="169" fontId="34" fillId="0" borderId="28" xfId="0" applyNumberFormat="1" applyFont="1" applyFill="1" applyBorder="1" applyAlignment="1">
      <alignment horizontal="center" vertical="center" wrapText="1" shrinkToFit="1"/>
    </xf>
    <xf numFmtId="169" fontId="34" fillId="0" borderId="0" xfId="0" applyNumberFormat="1" applyFont="1" applyFill="1" applyAlignment="1">
      <alignment horizontal="center" vertical="center" wrapText="1" shrinkToFit="1"/>
    </xf>
    <xf numFmtId="49" fontId="39" fillId="0" borderId="0" xfId="0" applyNumberFormat="1" applyFont="1" applyFill="1" applyAlignment="1">
      <alignment horizontal="center" vertical="center" shrinkToFit="1" readingOrder="2"/>
    </xf>
    <xf numFmtId="169" fontId="42" fillId="0" borderId="4" xfId="0" applyNumberFormat="1" applyFont="1" applyFill="1" applyBorder="1" applyAlignment="1">
      <alignment horizontal="center" vertical="center" shrinkToFit="1" readingOrder="2"/>
    </xf>
    <xf numFmtId="169" fontId="34" fillId="0" borderId="4" xfId="0" applyNumberFormat="1" applyFont="1" applyFill="1" applyBorder="1" applyAlignment="1">
      <alignment horizontal="center" vertical="center" shrinkToFit="1" readingOrder="2"/>
    </xf>
    <xf numFmtId="169" fontId="33" fillId="0" borderId="4" xfId="0" applyNumberFormat="1" applyFont="1" applyFill="1" applyBorder="1" applyAlignment="1">
      <alignment horizontal="center" vertical="center" shrinkToFit="1"/>
    </xf>
    <xf numFmtId="0" fontId="33" fillId="0" borderId="4" xfId="0" applyFont="1" applyFill="1" applyBorder="1" applyAlignment="1">
      <alignment horizontal="center" vertical="center"/>
    </xf>
    <xf numFmtId="169" fontId="45" fillId="0" borderId="4" xfId="0" applyNumberFormat="1" applyFont="1" applyFill="1" applyBorder="1" applyAlignment="1">
      <alignment horizontal="center" vertical="center"/>
    </xf>
    <xf numFmtId="169" fontId="45" fillId="0" borderId="4" xfId="0" applyNumberFormat="1" applyFont="1" applyFill="1" applyBorder="1" applyAlignment="1">
      <alignment horizontal="center" vertical="center" shrinkToFit="1"/>
    </xf>
    <xf numFmtId="169" fontId="33" fillId="0" borderId="4" xfId="80" applyNumberFormat="1" applyFont="1" applyFill="1" applyBorder="1" applyAlignment="1">
      <alignment horizontal="center" vertical="center" shrinkToFit="1"/>
    </xf>
    <xf numFmtId="169" fontId="33" fillId="0" borderId="4" xfId="90" applyNumberFormat="1" applyFont="1" applyFill="1" applyBorder="1" applyAlignment="1">
      <alignment horizontal="center" vertical="center" shrinkToFit="1"/>
    </xf>
    <xf numFmtId="169" fontId="33" fillId="0" borderId="8" xfId="0" applyNumberFormat="1" applyFont="1" applyFill="1" applyBorder="1" applyAlignment="1">
      <alignment horizontal="center" vertical="center" shrinkToFit="1"/>
    </xf>
    <xf numFmtId="169" fontId="33" fillId="0" borderId="52" xfId="113" applyNumberFormat="1" applyFont="1" applyFill="1" applyBorder="1" applyAlignment="1">
      <alignment horizontal="center" vertical="center" shrinkToFit="1"/>
    </xf>
    <xf numFmtId="0" fontId="33" fillId="0" borderId="52" xfId="0" applyFont="1" applyFill="1" applyBorder="1" applyAlignment="1">
      <alignment horizontal="center" vertical="center"/>
    </xf>
    <xf numFmtId="169" fontId="33" fillId="0" borderId="0" xfId="0" applyNumberFormat="1" applyFont="1" applyFill="1" applyAlignment="1">
      <alignment horizontal="center" vertical="center" shrinkToFit="1" readingOrder="2"/>
    </xf>
    <xf numFmtId="169" fontId="33" fillId="0" borderId="8" xfId="90" applyNumberFormat="1" applyFont="1" applyFill="1" applyBorder="1" applyAlignment="1">
      <alignment horizontal="center" vertical="center" shrinkToFit="1"/>
    </xf>
    <xf numFmtId="169" fontId="33" fillId="0" borderId="52" xfId="90" applyNumberFormat="1" applyFont="1" applyFill="1" applyBorder="1" applyAlignment="1">
      <alignment horizontal="center" vertical="center" shrinkToFit="1"/>
    </xf>
    <xf numFmtId="0" fontId="33" fillId="0" borderId="54" xfId="0" applyFont="1" applyFill="1" applyBorder="1" applyAlignment="1">
      <alignment horizontal="center" vertical="center"/>
    </xf>
    <xf numFmtId="169" fontId="45" fillId="0" borderId="8" xfId="0" applyNumberFormat="1" applyFont="1" applyFill="1" applyBorder="1" applyAlignment="1">
      <alignment horizontal="center" vertical="center"/>
    </xf>
    <xf numFmtId="169" fontId="45" fillId="0" borderId="52" xfId="0" applyNumberFormat="1" applyFont="1" applyFill="1" applyBorder="1" applyAlignment="1">
      <alignment horizontal="center" vertical="center" shrinkToFit="1"/>
    </xf>
    <xf numFmtId="169" fontId="33" fillId="0" borderId="4" xfId="107" applyNumberFormat="1" applyFont="1" applyFill="1" applyBorder="1" applyAlignment="1">
      <alignment horizontal="center" vertical="center"/>
    </xf>
    <xf numFmtId="169" fontId="38" fillId="0" borderId="0" xfId="0" applyNumberFormat="1" applyFont="1" applyFill="1" applyAlignment="1">
      <alignment horizontal="center" vertical="center" shrinkToFit="1"/>
    </xf>
    <xf numFmtId="169" fontId="33" fillId="0" borderId="4" xfId="0" applyNumberFormat="1" applyFont="1" applyFill="1" applyBorder="1" applyAlignment="1">
      <alignment horizontal="center" vertical="center" shrinkToFit="1" readingOrder="2"/>
    </xf>
    <xf numFmtId="169" fontId="33" fillId="0" borderId="4" xfId="0" applyNumberFormat="1" applyFont="1" applyFill="1" applyBorder="1" applyAlignment="1">
      <alignment horizontal="center" vertical="center"/>
    </xf>
    <xf numFmtId="169" fontId="33" fillId="0" borderId="8" xfId="0" applyNumberFormat="1" applyFont="1" applyFill="1" applyBorder="1" applyAlignment="1">
      <alignment horizontal="center" vertical="center"/>
    </xf>
    <xf numFmtId="169" fontId="33" fillId="0" borderId="52" xfId="107" applyNumberFormat="1" applyFont="1" applyFill="1" applyBorder="1" applyAlignment="1">
      <alignment horizontal="center" vertical="center"/>
    </xf>
    <xf numFmtId="169" fontId="42" fillId="0" borderId="53" xfId="0" applyNumberFormat="1" applyFont="1" applyFill="1" applyBorder="1" applyAlignment="1">
      <alignment horizontal="center" vertical="center" shrinkToFit="1" readingOrder="2"/>
    </xf>
    <xf numFmtId="169" fontId="42" fillId="0" borderId="12" xfId="0" applyNumberFormat="1" applyFont="1" applyFill="1" applyBorder="1" applyAlignment="1">
      <alignment horizontal="center" vertical="center" shrinkToFit="1" readingOrder="2"/>
    </xf>
    <xf numFmtId="169" fontId="39" fillId="0" borderId="4" xfId="90" applyNumberFormat="1" applyFont="1" applyFill="1" applyBorder="1" applyAlignment="1">
      <alignment horizontal="center" vertical="center" shrinkToFit="1"/>
    </xf>
    <xf numFmtId="169" fontId="33" fillId="0" borderId="4" xfId="95" applyNumberFormat="1" applyFont="1" applyFill="1" applyBorder="1" applyAlignment="1">
      <alignment horizontal="center" vertical="center" shrinkToFit="1"/>
    </xf>
    <xf numFmtId="169" fontId="33" fillId="0" borderId="4" xfId="113" applyNumberFormat="1" applyFont="1" applyFill="1" applyBorder="1" applyAlignment="1">
      <alignment horizontal="center" vertical="center" shrinkToFit="1"/>
    </xf>
    <xf numFmtId="169" fontId="33" fillId="0" borderId="7" xfId="0" applyNumberFormat="1" applyFont="1" applyFill="1" applyBorder="1" applyAlignment="1">
      <alignment horizontal="center" vertical="center" shrinkToFit="1"/>
    </xf>
    <xf numFmtId="174" fontId="23" fillId="0" borderId="0" xfId="0" applyNumberFormat="1" applyFont="1" applyFill="1" applyAlignment="1">
      <alignment vertical="center" wrapText="1" shrinkToFit="1" readingOrder="2"/>
    </xf>
    <xf numFmtId="169" fontId="41" fillId="0" borderId="0" xfId="0" applyNumberFormat="1" applyFont="1" applyFill="1" applyAlignment="1">
      <alignment vertical="center" shrinkToFit="1" readingOrder="2"/>
    </xf>
    <xf numFmtId="49" fontId="37" fillId="0" borderId="15" xfId="0" applyNumberFormat="1" applyFont="1" applyFill="1" applyBorder="1" applyAlignment="1">
      <alignment horizontal="center" vertical="center"/>
    </xf>
    <xf numFmtId="170" fontId="110" fillId="0" borderId="15" xfId="165" applyNumberFormat="1" applyFont="1" applyFill="1" applyBorder="1" applyAlignment="1">
      <alignment horizontal="center"/>
    </xf>
    <xf numFmtId="170" fontId="39" fillId="0" borderId="15" xfId="0" applyNumberFormat="1" applyFont="1" applyFill="1" applyBorder="1" applyAlignment="1">
      <alignment horizontal="center" vertical="center" shrinkToFit="1"/>
    </xf>
    <xf numFmtId="3" fontId="37" fillId="0" borderId="0" xfId="0" applyNumberFormat="1" applyFont="1" applyFill="1" applyAlignment="1">
      <alignment horizontal="center" vertical="center" shrinkToFit="1"/>
    </xf>
    <xf numFmtId="2" fontId="41" fillId="0" borderId="0" xfId="0" applyNumberFormat="1" applyFont="1" applyFill="1" applyAlignment="1">
      <alignment horizontal="center" vertical="center" shrinkToFit="1"/>
    </xf>
    <xf numFmtId="170" fontId="38" fillId="0" borderId="0" xfId="0" applyNumberFormat="1" applyFont="1" applyFill="1" applyAlignment="1">
      <alignment horizontal="center" vertical="center" shrinkToFit="1"/>
    </xf>
    <xf numFmtId="174" fontId="110" fillId="0" borderId="15" xfId="167" applyNumberFormat="1" applyFont="1" applyFill="1" applyBorder="1" applyAlignment="1">
      <alignment horizontal="center"/>
    </xf>
    <xf numFmtId="49" fontId="39" fillId="0" borderId="15" xfId="75" applyNumberFormat="1" applyFont="1" applyFill="1" applyBorder="1" applyAlignment="1">
      <alignment horizontal="center" vertical="center" shrinkToFit="1"/>
    </xf>
    <xf numFmtId="49" fontId="39" fillId="0" borderId="15" xfId="0" applyNumberFormat="1" applyFont="1" applyFill="1" applyBorder="1" applyAlignment="1">
      <alignment horizontal="center" vertical="center" wrapText="1"/>
    </xf>
    <xf numFmtId="49" fontId="39" fillId="0" borderId="15" xfId="0" applyNumberFormat="1" applyFont="1" applyFill="1" applyBorder="1" applyAlignment="1">
      <alignment horizontal="center" vertical="center"/>
    </xf>
    <xf numFmtId="49" fontId="39" fillId="0" borderId="15" xfId="124" applyNumberFormat="1" applyFont="1" applyFill="1" applyBorder="1" applyAlignment="1">
      <alignment horizontal="center" vertical="center"/>
    </xf>
    <xf numFmtId="49" fontId="39" fillId="0" borderId="15" xfId="90" applyNumberFormat="1" applyFont="1" applyFill="1" applyBorder="1" applyAlignment="1">
      <alignment horizontal="center" vertical="center" shrinkToFit="1"/>
    </xf>
    <xf numFmtId="0" fontId="110" fillId="0" borderId="15" xfId="166" applyFont="1" applyFill="1" applyBorder="1"/>
    <xf numFmtId="0" fontId="110" fillId="0" borderId="24" xfId="145" applyFont="1" applyFill="1" applyBorder="1" applyAlignment="1">
      <alignment horizontal="right" shrinkToFit="1"/>
    </xf>
    <xf numFmtId="0" fontId="110" fillId="0" borderId="27" xfId="145" applyFont="1" applyFill="1" applyBorder="1" applyAlignment="1">
      <alignment horizontal="right" shrinkToFit="1"/>
    </xf>
    <xf numFmtId="49" fontId="39" fillId="0" borderId="15" xfId="80" applyNumberFormat="1" applyFont="1" applyFill="1" applyBorder="1" applyAlignment="1">
      <alignment horizontal="center" vertical="center" shrinkToFit="1"/>
    </xf>
    <xf numFmtId="174" fontId="23" fillId="0" borderId="15" xfId="0" applyNumberFormat="1" applyFont="1" applyFill="1" applyBorder="1" applyAlignment="1">
      <alignment horizontal="center" vertical="center" wrapText="1" shrinkToFit="1" readingOrder="2"/>
    </xf>
    <xf numFmtId="174" fontId="23" fillId="0" borderId="0" xfId="0" applyNumberFormat="1" applyFont="1" applyFill="1" applyAlignment="1">
      <alignment horizontal="right" vertical="center" wrapText="1" shrinkToFit="1" readingOrder="2"/>
    </xf>
    <xf numFmtId="49" fontId="37" fillId="0" borderId="16" xfId="0" applyNumberFormat="1" applyFont="1" applyFill="1" applyBorder="1" applyAlignment="1">
      <alignment horizontal="center" vertical="center" shrinkToFit="1"/>
    </xf>
    <xf numFmtId="49" fontId="37" fillId="0" borderId="15" xfId="75" applyNumberFormat="1" applyFont="1" applyFill="1" applyBorder="1" applyAlignment="1">
      <alignment horizontal="center" vertical="center" shrinkToFit="1"/>
    </xf>
    <xf numFmtId="169" fontId="38" fillId="0" borderId="34" xfId="0" applyNumberFormat="1" applyFont="1" applyFill="1" applyBorder="1" applyAlignment="1">
      <alignment horizontal="center" vertical="center" shrinkToFit="1"/>
    </xf>
    <xf numFmtId="1" fontId="41" fillId="0" borderId="0" xfId="0" applyNumberFormat="1" applyFont="1" applyFill="1" applyAlignment="1">
      <alignment horizontal="center" vertical="center" shrinkToFit="1"/>
    </xf>
    <xf numFmtId="169" fontId="78" fillId="0" borderId="0" xfId="0" applyNumberFormat="1" applyFont="1" applyFill="1" applyAlignment="1">
      <alignment vertical="center" shrinkToFit="1" readingOrder="2"/>
    </xf>
    <xf numFmtId="49" fontId="41" fillId="0" borderId="0" xfId="0" applyNumberFormat="1" applyFont="1" applyFill="1" applyAlignment="1">
      <alignment horizontal="center" vertical="center" shrinkToFit="1" readingOrder="2"/>
    </xf>
    <xf numFmtId="169" fontId="41" fillId="0" borderId="0" xfId="0" applyNumberFormat="1" applyFont="1" applyFill="1" applyAlignment="1">
      <alignment horizontal="center" vertical="center" shrinkToFit="1" readingOrder="2"/>
    </xf>
    <xf numFmtId="49" fontId="39" fillId="0" borderId="16" xfId="0" applyNumberFormat="1" applyFont="1" applyFill="1" applyBorder="1" applyAlignment="1">
      <alignment horizontal="center" vertical="center" shrinkToFit="1"/>
    </xf>
    <xf numFmtId="49" fontId="39" fillId="0" borderId="26" xfId="0" applyNumberFormat="1" applyFont="1" applyFill="1" applyBorder="1" applyAlignment="1">
      <alignment horizontal="center" vertical="center"/>
    </xf>
    <xf numFmtId="169" fontId="39" fillId="0" borderId="16" xfId="0" applyNumberFormat="1" applyFont="1" applyFill="1" applyBorder="1" applyAlignment="1">
      <alignment horizontal="center" vertical="center" shrinkToFit="1"/>
    </xf>
    <xf numFmtId="49" fontId="41" fillId="0" borderId="0" xfId="0" applyNumberFormat="1" applyFont="1" applyFill="1" applyAlignment="1">
      <alignment horizontal="center" vertical="center" shrinkToFit="1"/>
    </xf>
    <xf numFmtId="169" fontId="39" fillId="0" borderId="34" xfId="0" applyNumberFormat="1" applyFont="1" applyFill="1" applyBorder="1" applyAlignment="1">
      <alignment horizontal="center" vertical="center" shrinkToFit="1"/>
    </xf>
    <xf numFmtId="169" fontId="39" fillId="0" borderId="0" xfId="0" applyNumberFormat="1" applyFont="1" applyFill="1" applyAlignment="1">
      <alignment vertical="center"/>
    </xf>
    <xf numFmtId="171" fontId="39" fillId="0" borderId="0" xfId="1" applyNumberFormat="1" applyFont="1" applyFill="1" applyAlignment="1">
      <alignment vertical="center"/>
    </xf>
    <xf numFmtId="169" fontId="34" fillId="0" borderId="0" xfId="0" applyNumberFormat="1" applyFont="1" applyFill="1" applyAlignment="1">
      <alignment vertical="center" shrinkToFit="1"/>
    </xf>
    <xf numFmtId="169" fontId="40" fillId="0" borderId="0" xfId="0" applyNumberFormat="1" applyFont="1" applyFill="1" applyAlignment="1">
      <alignment horizontal="right" vertical="center" readingOrder="2"/>
    </xf>
    <xf numFmtId="169" fontId="34" fillId="0" borderId="0" xfId="0" applyNumberFormat="1" applyFont="1" applyFill="1" applyAlignment="1">
      <alignment horizontal="center" vertical="center" readingOrder="2"/>
    </xf>
    <xf numFmtId="49" fontId="39" fillId="0" borderId="0" xfId="0" applyNumberFormat="1" applyFont="1" applyFill="1" applyAlignment="1">
      <alignment horizontal="center" vertical="center"/>
    </xf>
    <xf numFmtId="169" fontId="39" fillId="0" borderId="0" xfId="0" applyNumberFormat="1" applyFont="1" applyFill="1" applyAlignment="1">
      <alignment horizontal="center" vertical="center"/>
    </xf>
    <xf numFmtId="49" fontId="34" fillId="0" borderId="0" xfId="0" applyNumberFormat="1" applyFont="1" applyFill="1" applyAlignment="1">
      <alignment horizontal="right" vertical="center" wrapText="1" readingOrder="2"/>
    </xf>
    <xf numFmtId="169" fontId="34" fillId="0" borderId="0" xfId="0" applyNumberFormat="1" applyFont="1" applyFill="1" applyAlignment="1">
      <alignment horizontal="right" vertical="center" wrapText="1" readingOrder="2"/>
    </xf>
    <xf numFmtId="49" fontId="39" fillId="0" borderId="1" xfId="0" applyNumberFormat="1" applyFont="1" applyFill="1" applyBorder="1" applyAlignment="1">
      <alignment vertical="center" readingOrder="2"/>
    </xf>
    <xf numFmtId="169" fontId="39" fillId="0" borderId="0" xfId="0" applyNumberFormat="1" applyFont="1" applyFill="1" applyAlignment="1">
      <alignment vertical="center" readingOrder="2"/>
    </xf>
    <xf numFmtId="169" fontId="39" fillId="0" borderId="1" xfId="0" applyNumberFormat="1" applyFont="1" applyFill="1" applyBorder="1" applyAlignment="1">
      <alignment vertical="center" readingOrder="2"/>
    </xf>
    <xf numFmtId="169" fontId="41" fillId="0" borderId="4" xfId="0" applyNumberFormat="1" applyFont="1" applyFill="1" applyBorder="1" applyAlignment="1">
      <alignment vertical="center" readingOrder="2"/>
    </xf>
    <xf numFmtId="169" fontId="41" fillId="0" borderId="14" xfId="0" applyNumberFormat="1" applyFont="1" applyFill="1" applyBorder="1" applyAlignment="1">
      <alignment horizontal="center" vertical="center" readingOrder="2"/>
    </xf>
    <xf numFmtId="49" fontId="37" fillId="0" borderId="4" xfId="0" applyNumberFormat="1" applyFont="1" applyFill="1" applyBorder="1" applyAlignment="1">
      <alignment horizontal="center" vertical="center"/>
    </xf>
    <xf numFmtId="169" fontId="37" fillId="0" borderId="4" xfId="0" applyNumberFormat="1" applyFont="1" applyFill="1" applyBorder="1" applyAlignment="1">
      <alignment horizontal="right" vertical="center" shrinkToFit="1"/>
    </xf>
    <xf numFmtId="49" fontId="37" fillId="0" borderId="4" xfId="0" applyNumberFormat="1" applyFont="1" applyFill="1" applyBorder="1" applyAlignment="1">
      <alignment horizontal="center" vertical="center" shrinkToFit="1"/>
    </xf>
    <xf numFmtId="169" fontId="37" fillId="0" borderId="4" xfId="0" applyNumberFormat="1" applyFont="1" applyFill="1" applyBorder="1" applyAlignment="1">
      <alignment vertical="center" shrinkToFit="1"/>
    </xf>
    <xf numFmtId="169" fontId="39" fillId="0" borderId="15" xfId="0" applyNumberFormat="1" applyFont="1" applyFill="1" applyBorder="1" applyAlignment="1">
      <alignment horizontal="center" vertical="center"/>
    </xf>
    <xf numFmtId="49" fontId="37" fillId="0" borderId="4" xfId="10" applyNumberFormat="1" applyFont="1" applyFill="1" applyBorder="1" applyAlignment="1">
      <alignment horizontal="center" vertical="center" shrinkToFit="1"/>
    </xf>
    <xf numFmtId="169" fontId="39" fillId="0" borderId="16" xfId="0" applyNumberFormat="1" applyFont="1" applyFill="1" applyBorder="1" applyAlignment="1">
      <alignment horizontal="center" vertical="center"/>
    </xf>
    <xf numFmtId="169" fontId="39" fillId="0" borderId="27" xfId="0" applyNumberFormat="1" applyFont="1" applyFill="1" applyBorder="1" applyAlignment="1">
      <alignment horizontal="center" vertical="center"/>
    </xf>
    <xf numFmtId="169" fontId="39" fillId="0" borderId="24" xfId="0" applyNumberFormat="1" applyFont="1" applyFill="1" applyBorder="1" applyAlignment="1">
      <alignment horizontal="center" vertical="center"/>
    </xf>
    <xf numFmtId="49" fontId="37" fillId="0" borderId="8" xfId="0" applyNumberFormat="1" applyFont="1" applyFill="1" applyBorder="1" applyAlignment="1">
      <alignment horizontal="center" vertical="center"/>
    </xf>
    <xf numFmtId="169" fontId="37" fillId="0" borderId="8" xfId="0" applyNumberFormat="1" applyFont="1" applyFill="1" applyBorder="1" applyAlignment="1">
      <alignment horizontal="right" vertical="center" shrinkToFit="1"/>
    </xf>
    <xf numFmtId="169" fontId="41" fillId="0" borderId="8" xfId="0" applyNumberFormat="1" applyFont="1" applyFill="1" applyBorder="1" applyAlignment="1">
      <alignment horizontal="center" vertical="center" readingOrder="2"/>
    </xf>
    <xf numFmtId="169" fontId="37" fillId="0" borderId="15" xfId="0" applyNumberFormat="1" applyFont="1" applyFill="1" applyBorder="1" applyAlignment="1">
      <alignment horizontal="right" vertical="center" shrinkToFit="1"/>
    </xf>
    <xf numFmtId="169" fontId="41" fillId="0" borderId="15" xfId="0" applyNumberFormat="1" applyFont="1" applyFill="1" applyBorder="1" applyAlignment="1">
      <alignment horizontal="center" vertical="center" readingOrder="2"/>
    </xf>
    <xf numFmtId="49" fontId="37" fillId="0" borderId="0" xfId="0" applyNumberFormat="1" applyFont="1" applyFill="1" applyAlignment="1">
      <alignment horizontal="center" vertical="center"/>
    </xf>
    <xf numFmtId="169" fontId="41" fillId="0" borderId="4" xfId="0" applyNumberFormat="1" applyFont="1" applyFill="1" applyBorder="1" applyAlignment="1">
      <alignment horizontal="center" vertical="center" readingOrder="2"/>
    </xf>
    <xf numFmtId="49" fontId="37" fillId="0" borderId="15" xfId="80" applyNumberFormat="1" applyFont="1" applyFill="1" applyBorder="1" applyAlignment="1">
      <alignment horizontal="center" vertical="center" shrinkToFit="1"/>
    </xf>
    <xf numFmtId="2" fontId="37" fillId="0" borderId="16" xfId="0" applyNumberFormat="1" applyFont="1" applyFill="1" applyBorder="1" applyAlignment="1">
      <alignment vertical="center" shrinkToFit="1"/>
    </xf>
    <xf numFmtId="49" fontId="37" fillId="0" borderId="4" xfId="0" applyNumberFormat="1" applyFont="1" applyFill="1" applyBorder="1" applyAlignment="1">
      <alignment horizontal="center" vertical="center" wrapText="1"/>
    </xf>
    <xf numFmtId="49" fontId="37" fillId="0" borderId="4" xfId="80" applyNumberFormat="1" applyFont="1" applyFill="1" applyBorder="1" applyAlignment="1">
      <alignment horizontal="center" vertical="center" shrinkToFit="1"/>
    </xf>
    <xf numFmtId="169" fontId="37" fillId="0" borderId="4" xfId="80" applyNumberFormat="1" applyFont="1" applyFill="1" applyBorder="1" applyAlignment="1">
      <alignment vertical="center" shrinkToFit="1"/>
    </xf>
    <xf numFmtId="169" fontId="41" fillId="0" borderId="1" xfId="0" applyNumberFormat="1" applyFont="1" applyFill="1" applyBorder="1" applyAlignment="1">
      <alignment horizontal="center" vertical="center" readingOrder="2"/>
    </xf>
    <xf numFmtId="49" fontId="37" fillId="0" borderId="4" xfId="90" applyNumberFormat="1" applyFont="1" applyFill="1" applyBorder="1" applyAlignment="1">
      <alignment horizontal="center" vertical="center" shrinkToFit="1"/>
    </xf>
    <xf numFmtId="169" fontId="37" fillId="0" borderId="4" xfId="90" applyNumberFormat="1" applyFont="1" applyFill="1" applyBorder="1" applyAlignment="1">
      <alignment vertical="center" shrinkToFit="1"/>
    </xf>
    <xf numFmtId="169" fontId="34" fillId="0" borderId="5" xfId="0" applyNumberFormat="1" applyFont="1" applyFill="1" applyBorder="1" applyAlignment="1">
      <alignment horizontal="center" vertical="center" readingOrder="2"/>
    </xf>
    <xf numFmtId="169" fontId="41" fillId="0" borderId="0" xfId="0" applyNumberFormat="1" applyFont="1" applyFill="1" applyAlignment="1">
      <alignment horizontal="center" vertical="center"/>
    </xf>
    <xf numFmtId="49" fontId="41" fillId="0" borderId="0" xfId="0" applyNumberFormat="1" applyFont="1" applyFill="1" applyAlignment="1">
      <alignment horizontal="center" vertical="center" readingOrder="2"/>
    </xf>
    <xf numFmtId="169" fontId="37" fillId="0" borderId="4" xfId="113" applyNumberFormat="1" applyFont="1" applyFill="1" applyBorder="1" applyAlignment="1">
      <alignment vertical="center" shrinkToFit="1"/>
    </xf>
    <xf numFmtId="169" fontId="37" fillId="0" borderId="4" xfId="95" applyNumberFormat="1" applyFont="1" applyFill="1" applyBorder="1" applyAlignment="1">
      <alignment vertical="center" shrinkToFit="1"/>
    </xf>
    <xf numFmtId="169" fontId="39" fillId="0" borderId="26" xfId="0" applyNumberFormat="1" applyFont="1" applyFill="1" applyBorder="1" applyAlignment="1">
      <alignment horizontal="center" vertical="center"/>
    </xf>
    <xf numFmtId="49" fontId="37" fillId="0" borderId="8" xfId="75" applyNumberFormat="1" applyFont="1" applyFill="1" applyBorder="1" applyAlignment="1">
      <alignment horizontal="center" vertical="center" shrinkToFit="1"/>
    </xf>
    <xf numFmtId="169" fontId="37" fillId="0" borderId="8" xfId="75" applyNumberFormat="1" applyFont="1" applyFill="1" applyBorder="1" applyAlignment="1">
      <alignment vertical="center" shrinkToFit="1"/>
    </xf>
    <xf numFmtId="49" fontId="37" fillId="0" borderId="4" xfId="75" applyNumberFormat="1" applyFont="1" applyFill="1" applyBorder="1" applyAlignment="1">
      <alignment horizontal="center" vertical="center"/>
    </xf>
    <xf numFmtId="169" fontId="37" fillId="0" borderId="4" xfId="75" applyNumberFormat="1" applyFont="1" applyFill="1" applyBorder="1" applyAlignment="1">
      <alignment vertical="center" shrinkToFit="1"/>
    </xf>
    <xf numFmtId="169" fontId="41" fillId="0" borderId="5" xfId="0" applyNumberFormat="1" applyFont="1" applyFill="1" applyBorder="1" applyAlignment="1">
      <alignment horizontal="center" vertical="center" readingOrder="2"/>
    </xf>
    <xf numFmtId="169" fontId="37" fillId="0" borderId="4" xfId="70" applyNumberFormat="1" applyFont="1" applyFill="1" applyBorder="1" applyAlignment="1">
      <alignment horizontal="right" vertical="center" shrinkToFit="1"/>
    </xf>
    <xf numFmtId="49" fontId="37" fillId="0" borderId="4" xfId="35" applyNumberFormat="1" applyFont="1" applyFill="1" applyBorder="1" applyAlignment="1">
      <alignment horizontal="center" vertical="center" shrinkToFit="1"/>
    </xf>
    <xf numFmtId="169" fontId="37" fillId="0" borderId="8" xfId="0" applyNumberFormat="1" applyFont="1" applyFill="1" applyBorder="1" applyAlignment="1">
      <alignment vertical="center" shrinkToFit="1"/>
    </xf>
    <xf numFmtId="49" fontId="37" fillId="0" borderId="5" xfId="0" applyNumberFormat="1" applyFont="1" applyFill="1" applyBorder="1" applyAlignment="1">
      <alignment horizontal="center" vertical="center" shrinkToFit="1"/>
    </xf>
    <xf numFmtId="170" fontId="39" fillId="0" borderId="27" xfId="0" applyNumberFormat="1" applyFont="1" applyFill="1" applyBorder="1" applyAlignment="1">
      <alignment horizontal="center" vertical="center"/>
    </xf>
    <xf numFmtId="169" fontId="37" fillId="0" borderId="15" xfId="0" applyNumberFormat="1" applyFont="1" applyFill="1" applyBorder="1" applyAlignment="1">
      <alignment vertical="center" shrinkToFit="1"/>
    </xf>
    <xf numFmtId="169" fontId="37" fillId="0" borderId="16" xfId="0" applyNumberFormat="1" applyFont="1" applyFill="1" applyBorder="1" applyAlignment="1">
      <alignment horizontal="center" vertical="center" shrinkToFit="1"/>
    </xf>
    <xf numFmtId="169" fontId="37" fillId="0" borderId="15" xfId="0" applyNumberFormat="1" applyFont="1" applyFill="1" applyBorder="1" applyAlignment="1">
      <alignment horizontal="center" vertical="center" shrinkToFit="1"/>
    </xf>
    <xf numFmtId="169" fontId="37" fillId="0" borderId="27" xfId="0" applyNumberFormat="1" applyFont="1" applyFill="1" applyBorder="1" applyAlignment="1">
      <alignment horizontal="center" vertical="center" shrinkToFit="1"/>
    </xf>
    <xf numFmtId="169" fontId="37" fillId="0" borderId="0" xfId="0" applyNumberFormat="1" applyFont="1" applyFill="1" applyAlignment="1">
      <alignment vertical="center" shrinkToFit="1"/>
    </xf>
    <xf numFmtId="175" fontId="110" fillId="0" borderId="0" xfId="137" applyNumberFormat="1" applyFont="1" applyFill="1"/>
    <xf numFmtId="49" fontId="37" fillId="0" borderId="26" xfId="0" applyNumberFormat="1" applyFont="1" applyFill="1" applyBorder="1" applyAlignment="1">
      <alignment horizontal="center" vertical="center" shrinkToFit="1"/>
    </xf>
    <xf numFmtId="0" fontId="37" fillId="0" borderId="26" xfId="98" applyFont="1" applyFill="1" applyBorder="1" applyAlignment="1">
      <alignment horizontal="right" vertical="center" shrinkToFit="1"/>
    </xf>
    <xf numFmtId="169" fontId="37" fillId="0" borderId="26" xfId="0" applyNumberFormat="1" applyFont="1" applyFill="1" applyBorder="1" applyAlignment="1">
      <alignment vertical="center" shrinkToFit="1"/>
    </xf>
    <xf numFmtId="170" fontId="39" fillId="0" borderId="31" xfId="0" applyNumberFormat="1" applyFont="1" applyFill="1" applyBorder="1" applyAlignment="1">
      <alignment horizontal="center" vertical="center"/>
    </xf>
    <xf numFmtId="169" fontId="37" fillId="0" borderId="16" xfId="0" applyNumberFormat="1" applyFont="1" applyFill="1" applyBorder="1" applyAlignment="1">
      <alignment horizontal="right" vertical="center" shrinkToFit="1"/>
    </xf>
    <xf numFmtId="169" fontId="37" fillId="0" borderId="16" xfId="0" applyNumberFormat="1" applyFont="1" applyFill="1" applyBorder="1" applyAlignment="1">
      <alignment vertical="center" shrinkToFit="1"/>
    </xf>
    <xf numFmtId="170" fontId="39" fillId="0" borderId="15" xfId="0" applyNumberFormat="1" applyFont="1" applyFill="1" applyBorder="1" applyAlignment="1">
      <alignment horizontal="center" vertical="center"/>
    </xf>
    <xf numFmtId="170" fontId="39" fillId="0" borderId="16" xfId="0" applyNumberFormat="1" applyFont="1" applyFill="1" applyBorder="1" applyAlignment="1">
      <alignment horizontal="center" vertical="center"/>
    </xf>
    <xf numFmtId="0" fontId="37" fillId="0" borderId="15" xfId="98" applyFont="1" applyFill="1" applyBorder="1" applyAlignment="1">
      <alignment horizontal="right" vertical="center" shrinkToFit="1"/>
    </xf>
    <xf numFmtId="0" fontId="37" fillId="0" borderId="15" xfId="98" applyFont="1" applyFill="1" applyBorder="1" applyAlignment="1">
      <alignment horizontal="right" vertical="center" wrapText="1" shrinkToFit="1"/>
    </xf>
    <xf numFmtId="0" fontId="37" fillId="0" borderId="15" xfId="98" applyFont="1" applyFill="1" applyBorder="1" applyAlignment="1">
      <alignment vertical="center" shrinkToFit="1"/>
    </xf>
    <xf numFmtId="0" fontId="39" fillId="0" borderId="15" xfId="69" applyFont="1" applyFill="1" applyBorder="1" applyAlignment="1">
      <alignment vertical="center"/>
    </xf>
    <xf numFmtId="0" fontId="33" fillId="0" borderId="15" xfId="0" applyFont="1" applyFill="1" applyBorder="1" applyAlignment="1">
      <alignment vertical="center" shrinkToFit="1"/>
    </xf>
    <xf numFmtId="169" fontId="41" fillId="0" borderId="0" xfId="0" applyNumberFormat="1" applyFont="1" applyFill="1" applyBorder="1" applyAlignment="1">
      <alignment horizontal="center" vertical="center" readingOrder="2"/>
    </xf>
    <xf numFmtId="0" fontId="39" fillId="0" borderId="0" xfId="69" applyFont="1" applyFill="1"/>
    <xf numFmtId="0" fontId="39" fillId="0" borderId="15" xfId="69" applyFont="1" applyFill="1" applyBorder="1" applyAlignment="1">
      <alignment vertical="center" shrinkToFit="1"/>
    </xf>
    <xf numFmtId="169" fontId="37" fillId="0" borderId="15" xfId="70" applyNumberFormat="1" applyFont="1" applyFill="1" applyBorder="1" applyAlignment="1">
      <alignment horizontal="right" vertical="center" shrinkToFit="1"/>
    </xf>
    <xf numFmtId="169" fontId="37" fillId="0" borderId="15" xfId="126" applyNumberFormat="1" applyFont="1" applyFill="1" applyBorder="1" applyAlignment="1">
      <alignment horizontal="right" vertical="center" shrinkToFit="1"/>
    </xf>
    <xf numFmtId="0" fontId="37" fillId="0" borderId="15" xfId="74" applyFont="1" applyFill="1" applyBorder="1" applyAlignment="1">
      <alignment horizontal="center" vertical="center" shrinkToFit="1"/>
    </xf>
    <xf numFmtId="0" fontId="37" fillId="0" borderId="15" xfId="74" applyFont="1" applyFill="1" applyBorder="1" applyAlignment="1">
      <alignment horizontal="right" vertical="center" wrapText="1" shrinkToFit="1"/>
    </xf>
    <xf numFmtId="169" fontId="39" fillId="0" borderId="15" xfId="10" applyNumberFormat="1" applyFont="1" applyFill="1" applyBorder="1" applyAlignment="1">
      <alignment vertical="center"/>
    </xf>
    <xf numFmtId="0" fontId="39" fillId="0" borderId="27" xfId="69" applyFont="1" applyFill="1" applyBorder="1" applyAlignment="1">
      <alignment vertical="center"/>
    </xf>
    <xf numFmtId="49" fontId="37" fillId="0" borderId="15" xfId="126" applyNumberFormat="1" applyFont="1" applyFill="1" applyBorder="1" applyAlignment="1">
      <alignment horizontal="right" vertical="center" shrinkToFit="1"/>
    </xf>
    <xf numFmtId="0" fontId="110" fillId="0" borderId="15" xfId="168" quotePrefix="1" applyFont="1" applyFill="1" applyBorder="1" applyAlignment="1">
      <alignment horizontal="center"/>
    </xf>
    <xf numFmtId="0" fontId="110" fillId="0" borderId="15" xfId="168" applyFont="1" applyFill="1" applyBorder="1" applyAlignment="1">
      <alignment horizontal="right"/>
    </xf>
    <xf numFmtId="0" fontId="110" fillId="0" borderId="15" xfId="168" applyFont="1" applyFill="1" applyBorder="1" applyAlignment="1">
      <alignment horizontal="center"/>
    </xf>
    <xf numFmtId="0" fontId="110" fillId="0" borderId="15" xfId="165" applyFont="1" applyFill="1" applyBorder="1" applyAlignment="1">
      <alignment horizontal="right"/>
    </xf>
    <xf numFmtId="169" fontId="37" fillId="0" borderId="15" xfId="95" applyNumberFormat="1" applyFont="1" applyFill="1" applyBorder="1" applyAlignment="1">
      <alignment vertical="center" shrinkToFit="1"/>
    </xf>
    <xf numFmtId="169" fontId="39" fillId="0" borderId="34" xfId="0" applyNumberFormat="1" applyFont="1" applyFill="1" applyBorder="1" applyAlignment="1">
      <alignment horizontal="center" vertical="center"/>
    </xf>
    <xf numFmtId="169" fontId="39" fillId="0" borderId="0" xfId="10" applyNumberFormat="1" applyFont="1" applyFill="1" applyAlignment="1">
      <alignment vertical="center"/>
    </xf>
    <xf numFmtId="170" fontId="37" fillId="0" borderId="56" xfId="70" applyNumberFormat="1" applyFont="1" applyFill="1" applyBorder="1" applyAlignment="1">
      <alignment horizontal="center" vertical="center" shrinkToFit="1"/>
    </xf>
    <xf numFmtId="49" fontId="37" fillId="0" borderId="15" xfId="124" applyNumberFormat="1" applyFont="1" applyFill="1" applyBorder="1" applyAlignment="1">
      <alignment horizontal="center" vertical="center"/>
    </xf>
    <xf numFmtId="0" fontId="37" fillId="0" borderId="15" xfId="98" applyFont="1" applyFill="1" applyBorder="1" applyAlignment="1">
      <alignment horizontal="right"/>
    </xf>
    <xf numFmtId="0" fontId="110" fillId="0" borderId="24" xfId="165" applyFont="1" applyFill="1" applyBorder="1" applyAlignment="1"/>
    <xf numFmtId="0" fontId="110" fillId="0" borderId="27" xfId="165" applyFont="1" applyFill="1" applyBorder="1" applyAlignment="1"/>
    <xf numFmtId="169" fontId="29" fillId="0" borderId="0" xfId="0" applyNumberFormat="1" applyFont="1" applyFill="1" applyAlignment="1">
      <alignment horizontal="center" vertical="center" shrinkToFit="1" readingOrder="2"/>
    </xf>
    <xf numFmtId="169" fontId="24" fillId="0" borderId="0" xfId="0" applyNumberFormat="1" applyFont="1" applyFill="1" applyAlignment="1">
      <alignment vertical="center" shrinkToFit="1" readingOrder="2"/>
    </xf>
    <xf numFmtId="169" fontId="25" fillId="0" borderId="0" xfId="0" applyNumberFormat="1" applyFont="1" applyFill="1" applyAlignment="1">
      <alignment vertical="center" shrinkToFit="1" readingOrder="2"/>
    </xf>
    <xf numFmtId="169" fontId="29" fillId="0" borderId="0" xfId="0" applyNumberFormat="1" applyFont="1" applyFill="1" applyAlignment="1">
      <alignment horizontal="center" vertical="center" readingOrder="2"/>
    </xf>
    <xf numFmtId="169" fontId="23" fillId="0" borderId="0" xfId="0" applyNumberFormat="1" applyFont="1" applyFill="1" applyAlignment="1">
      <alignment vertical="center" shrinkToFit="1" readingOrder="2"/>
    </xf>
    <xf numFmtId="169" fontId="69" fillId="0" borderId="0" xfId="0" applyNumberFormat="1" applyFont="1" applyFill="1" applyAlignment="1">
      <alignment vertical="center" shrinkToFit="1" readingOrder="2"/>
    </xf>
    <xf numFmtId="49" fontId="69" fillId="0" borderId="0" xfId="0" applyNumberFormat="1" applyFont="1" applyFill="1" applyAlignment="1">
      <alignment horizontal="right" vertical="center" shrinkToFit="1" readingOrder="2"/>
    </xf>
    <xf numFmtId="169" fontId="23" fillId="0" borderId="0" xfId="0" applyNumberFormat="1" applyFont="1" applyFill="1" applyAlignment="1">
      <alignment horizontal="center" vertical="center" shrinkToFit="1" readingOrder="2"/>
    </xf>
    <xf numFmtId="169" fontId="23" fillId="0" borderId="0" xfId="0" applyNumberFormat="1" applyFont="1" applyFill="1" applyAlignment="1">
      <alignment horizontal="right" vertical="center" shrinkToFit="1" readingOrder="2"/>
    </xf>
    <xf numFmtId="169" fontId="24" fillId="0" borderId="0" xfId="0" applyNumberFormat="1" applyFont="1" applyFill="1" applyAlignment="1">
      <alignment horizontal="center" vertical="center" shrinkToFit="1" readingOrder="2"/>
    </xf>
    <xf numFmtId="169" fontId="63" fillId="0" borderId="15" xfId="0" applyNumberFormat="1" applyFont="1" applyFill="1" applyBorder="1" applyAlignment="1">
      <alignment vertical="center" wrapText="1" readingOrder="2"/>
    </xf>
    <xf numFmtId="169" fontId="63" fillId="0" borderId="13" xfId="0" applyNumberFormat="1" applyFont="1" applyFill="1" applyBorder="1" applyAlignment="1">
      <alignment vertical="center" wrapText="1" readingOrder="2"/>
    </xf>
    <xf numFmtId="169" fontId="63" fillId="0" borderId="17" xfId="0" applyNumberFormat="1" applyFont="1" applyFill="1" applyBorder="1" applyAlignment="1">
      <alignment vertical="center" wrapText="1" readingOrder="2"/>
    </xf>
    <xf numFmtId="169" fontId="63" fillId="0" borderId="4" xfId="0" applyNumberFormat="1" applyFont="1" applyFill="1" applyBorder="1" applyAlignment="1">
      <alignment vertical="center" wrapText="1" readingOrder="2"/>
    </xf>
    <xf numFmtId="169" fontId="23" fillId="0" borderId="0" xfId="0" applyNumberFormat="1" applyFont="1" applyFill="1" applyAlignment="1">
      <alignment horizontal="center" vertical="center" wrapText="1" readingOrder="2"/>
    </xf>
    <xf numFmtId="169" fontId="63" fillId="0" borderId="15" xfId="0" applyNumberFormat="1" applyFont="1" applyFill="1" applyBorder="1" applyAlignment="1">
      <alignment horizontal="center" vertical="center" wrapText="1" readingOrder="2"/>
    </xf>
    <xf numFmtId="169" fontId="63" fillId="0" borderId="1" xfId="0" applyNumberFormat="1" applyFont="1" applyFill="1" applyBorder="1" applyAlignment="1">
      <alignment vertical="center" wrapText="1" readingOrder="2"/>
    </xf>
    <xf numFmtId="169" fontId="63" fillId="0" borderId="14" xfId="0" applyNumberFormat="1" applyFont="1" applyFill="1" applyBorder="1" applyAlignment="1">
      <alignment vertical="center" wrapText="1" readingOrder="2"/>
    </xf>
    <xf numFmtId="169" fontId="63" fillId="0" borderId="4" xfId="0" applyNumberFormat="1" applyFont="1" applyFill="1" applyBorder="1" applyAlignment="1">
      <alignment horizontal="center" vertical="center" wrapText="1" readingOrder="2"/>
    </xf>
    <xf numFmtId="169" fontId="25" fillId="0" borderId="4" xfId="0" applyNumberFormat="1" applyFont="1" applyFill="1" applyBorder="1" applyAlignment="1">
      <alignment horizontal="right" vertical="center" wrapText="1" shrinkToFit="1"/>
    </xf>
    <xf numFmtId="169" fontId="25" fillId="0" borderId="5" xfId="0" applyNumberFormat="1" applyFont="1" applyFill="1" applyBorder="1" applyAlignment="1">
      <alignment horizontal="center" vertical="center" shrinkToFit="1" readingOrder="2"/>
    </xf>
    <xf numFmtId="169" fontId="25" fillId="0" borderId="15" xfId="0" applyNumberFormat="1" applyFont="1" applyFill="1" applyBorder="1" applyAlignment="1">
      <alignment horizontal="center" vertical="center" shrinkToFit="1" readingOrder="2"/>
    </xf>
    <xf numFmtId="169" fontId="25" fillId="0" borderId="14" xfId="0" applyNumberFormat="1" applyFont="1" applyFill="1" applyBorder="1" applyAlignment="1">
      <alignment horizontal="center" vertical="center" shrinkToFit="1" readingOrder="2"/>
    </xf>
    <xf numFmtId="169" fontId="25" fillId="0" borderId="7" xfId="0" applyNumberFormat="1" applyFont="1" applyFill="1" applyBorder="1" applyAlignment="1">
      <alignment horizontal="center" vertical="center" shrinkToFit="1" readingOrder="2"/>
    </xf>
    <xf numFmtId="169" fontId="25" fillId="0" borderId="4" xfId="0" applyNumberFormat="1" applyFont="1" applyFill="1" applyBorder="1" applyAlignment="1">
      <alignment horizontal="center" vertical="center" shrinkToFit="1" readingOrder="2"/>
    </xf>
    <xf numFmtId="169" fontId="25" fillId="0" borderId="0" xfId="0" applyNumberFormat="1" applyFont="1" applyFill="1" applyAlignment="1">
      <alignment horizontal="center" vertical="center" shrinkToFit="1" readingOrder="2"/>
    </xf>
    <xf numFmtId="169" fontId="70" fillId="0" borderId="0" xfId="0" applyNumberFormat="1" applyFont="1" applyFill="1" applyAlignment="1">
      <alignment vertical="center" shrinkToFit="1" readingOrder="2"/>
    </xf>
    <xf numFmtId="169" fontId="25" fillId="0" borderId="6" xfId="0" applyNumberFormat="1" applyFont="1" applyFill="1" applyBorder="1" applyAlignment="1">
      <alignment horizontal="center" vertical="center" shrinkToFit="1" readingOrder="2"/>
    </xf>
    <xf numFmtId="169" fontId="70" fillId="0" borderId="0" xfId="0" applyNumberFormat="1" applyFont="1" applyFill="1" applyAlignment="1">
      <alignment horizontal="center" vertical="center" shrinkToFit="1" readingOrder="2"/>
    </xf>
    <xf numFmtId="169" fontId="25" fillId="0" borderId="4" xfId="0" applyNumberFormat="1" applyFont="1" applyFill="1" applyBorder="1" applyAlignment="1">
      <alignment horizontal="center" vertical="center" shrinkToFit="1"/>
    </xf>
    <xf numFmtId="169" fontId="117" fillId="0" borderId="0" xfId="0" applyNumberFormat="1" applyFont="1" applyFill="1" applyAlignment="1">
      <alignment vertical="center" shrinkToFit="1" readingOrder="2"/>
    </xf>
    <xf numFmtId="169" fontId="25" fillId="0" borderId="4" xfId="116" applyNumberFormat="1" applyFont="1" applyFill="1" applyBorder="1" applyAlignment="1">
      <alignment horizontal="right" vertical="center" wrapText="1" shrinkToFit="1"/>
    </xf>
    <xf numFmtId="169" fontId="25" fillId="0" borderId="5" xfId="116" applyNumberFormat="1" applyFont="1" applyFill="1" applyBorder="1" applyAlignment="1">
      <alignment horizontal="center" vertical="center" shrinkToFit="1"/>
    </xf>
    <xf numFmtId="169" fontId="25" fillId="0" borderId="6" xfId="116" applyNumberFormat="1" applyFont="1" applyFill="1" applyBorder="1" applyAlignment="1">
      <alignment horizontal="center" vertical="center" shrinkToFit="1"/>
    </xf>
    <xf numFmtId="169" fontId="25" fillId="0" borderId="4" xfId="118" applyNumberFormat="1" applyFont="1" applyFill="1" applyBorder="1" applyAlignment="1">
      <alignment horizontal="right" vertical="center" wrapText="1" shrinkToFit="1"/>
    </xf>
    <xf numFmtId="169" fontId="25" fillId="0" borderId="5" xfId="118" applyNumberFormat="1" applyFont="1" applyFill="1" applyBorder="1" applyAlignment="1">
      <alignment horizontal="center" vertical="center" shrinkToFit="1"/>
    </xf>
    <xf numFmtId="169" fontId="25" fillId="0" borderId="6" xfId="118" applyNumberFormat="1" applyFont="1" applyFill="1" applyBorder="1" applyAlignment="1">
      <alignment horizontal="center" vertical="center" shrinkToFit="1"/>
    </xf>
    <xf numFmtId="169" fontId="25" fillId="0" borderId="4" xfId="118" applyNumberFormat="1" applyFont="1" applyFill="1" applyBorder="1" applyAlignment="1">
      <alignment horizontal="center" vertical="center" shrinkToFit="1"/>
    </xf>
    <xf numFmtId="169" fontId="25" fillId="0" borderId="0" xfId="118" applyNumberFormat="1" applyFont="1" applyFill="1" applyBorder="1" applyAlignment="1">
      <alignment horizontal="center" vertical="center" shrinkToFit="1"/>
    </xf>
    <xf numFmtId="169" fontId="25" fillId="0" borderId="15" xfId="118" applyNumberFormat="1" applyFont="1" applyFill="1" applyBorder="1" applyAlignment="1">
      <alignment horizontal="center" vertical="center" shrinkToFit="1"/>
    </xf>
    <xf numFmtId="169" fontId="25" fillId="0" borderId="4" xfId="131" applyNumberFormat="1" applyFont="1" applyFill="1" applyBorder="1" applyAlignment="1">
      <alignment horizontal="right" vertical="center" wrapText="1" shrinkToFit="1"/>
    </xf>
    <xf numFmtId="169" fontId="25" fillId="0" borderId="8" xfId="0" applyNumberFormat="1" applyFont="1" applyFill="1" applyBorder="1" applyAlignment="1">
      <alignment horizontal="center" vertical="center" shrinkToFit="1" readingOrder="2"/>
    </xf>
    <xf numFmtId="49" fontId="25" fillId="0" borderId="4" xfId="0" applyNumberFormat="1" applyFont="1" applyFill="1" applyBorder="1" applyAlignment="1">
      <alignment horizontal="center" vertical="center" shrinkToFit="1"/>
    </xf>
    <xf numFmtId="49" fontId="25" fillId="0" borderId="4" xfId="70" applyNumberFormat="1" applyFont="1" applyFill="1" applyBorder="1" applyAlignment="1">
      <alignment horizontal="center" vertical="center"/>
    </xf>
    <xf numFmtId="169" fontId="25" fillId="0" borderId="4" xfId="70" applyNumberFormat="1" applyFont="1" applyFill="1" applyBorder="1" applyAlignment="1">
      <alignment horizontal="right" vertical="center" wrapText="1" shrinkToFit="1"/>
    </xf>
    <xf numFmtId="49" fontId="25" fillId="0" borderId="4" xfId="0" applyNumberFormat="1" applyFont="1" applyFill="1" applyBorder="1" applyAlignment="1">
      <alignment horizontal="center" vertical="center"/>
    </xf>
    <xf numFmtId="49" fontId="25" fillId="0" borderId="4" xfId="70" applyNumberFormat="1" applyFont="1" applyFill="1" applyBorder="1" applyAlignment="1">
      <alignment horizontal="center" vertical="center" shrinkToFit="1"/>
    </xf>
    <xf numFmtId="169" fontId="25" fillId="0" borderId="4" xfId="0" applyNumberFormat="1" applyFont="1" applyFill="1" applyBorder="1" applyAlignment="1">
      <alignment horizontal="right" vertical="center" shrinkToFit="1"/>
    </xf>
    <xf numFmtId="169" fontId="25" fillId="0" borderId="4" xfId="70" applyNumberFormat="1" applyFont="1" applyFill="1" applyBorder="1" applyAlignment="1">
      <alignment horizontal="right" vertical="center" wrapText="1"/>
    </xf>
    <xf numFmtId="0" fontId="25" fillId="0" borderId="15" xfId="98" applyFont="1" applyFill="1" applyBorder="1" applyAlignment="1">
      <alignment horizontal="right" vertical="center" shrinkToFit="1"/>
    </xf>
    <xf numFmtId="0" fontId="25" fillId="0" borderId="15" xfId="98" applyFont="1" applyFill="1" applyBorder="1" applyAlignment="1">
      <alignment horizontal="right" vertical="center"/>
    </xf>
    <xf numFmtId="0" fontId="25" fillId="0" borderId="15" xfId="98" applyFont="1" applyFill="1" applyBorder="1" applyAlignment="1">
      <alignment horizontal="right" vertical="center" wrapText="1" shrinkToFit="1"/>
    </xf>
    <xf numFmtId="49" fontId="25" fillId="0" borderId="26" xfId="0" applyNumberFormat="1" applyFont="1" applyFill="1" applyBorder="1" applyAlignment="1">
      <alignment horizontal="center" vertical="center" shrinkToFit="1"/>
    </xf>
    <xf numFmtId="0" fontId="25" fillId="0" borderId="26" xfId="98" applyFont="1" applyFill="1" applyBorder="1" applyAlignment="1">
      <alignment horizontal="right" vertical="center" shrinkToFit="1"/>
    </xf>
    <xf numFmtId="169" fontId="25" fillId="0" borderId="20" xfId="0" applyNumberFormat="1" applyFont="1" applyFill="1" applyBorder="1" applyAlignment="1">
      <alignment horizontal="center" vertical="center" shrinkToFit="1" readingOrder="2"/>
    </xf>
    <xf numFmtId="169" fontId="25" fillId="0" borderId="8" xfId="0" applyNumberFormat="1" applyFont="1" applyFill="1" applyBorder="1" applyAlignment="1">
      <alignment horizontal="center" vertical="center" shrinkToFit="1"/>
    </xf>
    <xf numFmtId="169" fontId="25" fillId="0" borderId="16" xfId="0" applyNumberFormat="1" applyFont="1" applyFill="1" applyBorder="1" applyAlignment="1">
      <alignment horizontal="center" vertical="center" shrinkToFit="1" readingOrder="2"/>
    </xf>
    <xf numFmtId="169" fontId="25" fillId="0" borderId="15" xfId="0" applyNumberFormat="1" applyFont="1" applyFill="1" applyBorder="1" applyAlignment="1">
      <alignment horizontal="center" vertical="center" shrinkToFit="1"/>
    </xf>
    <xf numFmtId="169" fontId="25" fillId="0" borderId="17" xfId="118" applyNumberFormat="1" applyFont="1" applyFill="1" applyBorder="1" applyAlignment="1">
      <alignment horizontal="center" vertical="center" shrinkToFit="1"/>
    </xf>
    <xf numFmtId="169" fontId="25" fillId="0" borderId="8" xfId="118" applyNumberFormat="1" applyFont="1" applyFill="1" applyBorder="1" applyAlignment="1">
      <alignment horizontal="center" vertical="center" shrinkToFit="1"/>
    </xf>
    <xf numFmtId="169" fontId="25" fillId="0" borderId="30" xfId="0" applyNumberFormat="1" applyFont="1" applyFill="1" applyBorder="1" applyAlignment="1">
      <alignment horizontal="center" vertical="center" shrinkToFit="1" readingOrder="2"/>
    </xf>
    <xf numFmtId="169" fontId="25" fillId="0" borderId="27" xfId="118" applyNumberFormat="1" applyFont="1" applyFill="1" applyBorder="1" applyAlignment="1">
      <alignment horizontal="center" vertical="center" shrinkToFit="1"/>
    </xf>
    <xf numFmtId="169" fontId="25" fillId="0" borderId="26" xfId="0" applyNumberFormat="1" applyFont="1" applyFill="1" applyBorder="1" applyAlignment="1">
      <alignment horizontal="center" vertical="center" shrinkToFit="1"/>
    </xf>
    <xf numFmtId="169" fontId="25" fillId="0" borderId="26" xfId="0" applyNumberFormat="1" applyFont="1" applyFill="1" applyBorder="1" applyAlignment="1">
      <alignment horizontal="center" vertical="center" shrinkToFit="1" readingOrder="2"/>
    </xf>
    <xf numFmtId="49" fontId="25" fillId="0" borderId="15" xfId="75" applyNumberFormat="1" applyFont="1" applyFill="1" applyBorder="1" applyAlignment="1">
      <alignment horizontal="center" vertical="center" shrinkToFit="1"/>
    </xf>
    <xf numFmtId="0" fontId="25" fillId="0" borderId="15" xfId="69" applyFont="1" applyFill="1" applyBorder="1" applyAlignment="1">
      <alignment horizontal="right" vertical="center"/>
    </xf>
    <xf numFmtId="0" fontId="25" fillId="0" borderId="15" xfId="0" applyFont="1" applyFill="1" applyBorder="1" applyAlignment="1">
      <alignment horizontal="right" vertical="center" shrinkToFit="1"/>
    </xf>
    <xf numFmtId="0" fontId="25" fillId="0" borderId="15" xfId="69" applyFont="1" applyFill="1" applyBorder="1" applyAlignment="1">
      <alignment horizontal="right" vertical="center" shrinkToFit="1"/>
    </xf>
    <xf numFmtId="169" fontId="25" fillId="0" borderId="15" xfId="0" applyNumberFormat="1" applyFont="1" applyFill="1" applyBorder="1" applyAlignment="1">
      <alignment horizontal="center" vertical="center"/>
    </xf>
    <xf numFmtId="169" fontId="25" fillId="0" borderId="26" xfId="0" applyNumberFormat="1" applyFont="1" applyFill="1" applyBorder="1" applyAlignment="1">
      <alignment horizontal="right" vertical="center" shrinkToFit="1"/>
    </xf>
    <xf numFmtId="0" fontId="41" fillId="0" borderId="15" xfId="74" applyFont="1" applyFill="1" applyBorder="1" applyAlignment="1">
      <alignment horizontal="center" vertical="center" shrinkToFit="1"/>
    </xf>
    <xf numFmtId="0" fontId="37" fillId="0" borderId="15" xfId="74" applyFont="1" applyFill="1" applyBorder="1" applyAlignment="1">
      <alignment vertical="center" wrapText="1" shrinkToFit="1"/>
    </xf>
    <xf numFmtId="0" fontId="110" fillId="0" borderId="29" xfId="168" applyFont="1" applyFill="1" applyBorder="1" applyAlignment="1">
      <alignment horizontal="right"/>
    </xf>
    <xf numFmtId="169" fontId="25" fillId="0" borderId="41" xfId="0" applyNumberFormat="1" applyFont="1" applyFill="1" applyBorder="1" applyAlignment="1">
      <alignment horizontal="center" vertical="center" shrinkToFit="1" readingOrder="2"/>
    </xf>
    <xf numFmtId="169" fontId="25" fillId="0" borderId="41" xfId="0" applyNumberFormat="1" applyFont="1" applyFill="1" applyBorder="1" applyAlignment="1">
      <alignment horizontal="center" vertical="center"/>
    </xf>
    <xf numFmtId="169" fontId="25" fillId="0" borderId="41" xfId="0" applyNumberFormat="1" applyFont="1" applyFill="1" applyBorder="1" applyAlignment="1">
      <alignment horizontal="center" vertical="center" shrinkToFit="1"/>
    </xf>
    <xf numFmtId="169" fontId="25" fillId="0" borderId="48" xfId="0" applyNumberFormat="1" applyFont="1" applyFill="1" applyBorder="1" applyAlignment="1">
      <alignment horizontal="center" vertical="center" shrinkToFit="1" readingOrder="2"/>
    </xf>
    <xf numFmtId="169" fontId="25" fillId="0" borderId="7" xfId="0" applyNumberFormat="1" applyFont="1" applyFill="1" applyBorder="1" applyAlignment="1">
      <alignment horizontal="right" vertical="center" shrinkToFit="1"/>
    </xf>
    <xf numFmtId="169" fontId="25" fillId="0" borderId="4" xfId="0" applyNumberFormat="1" applyFont="1" applyFill="1" applyBorder="1" applyAlignment="1">
      <alignment horizontal="center" vertical="center"/>
    </xf>
    <xf numFmtId="49" fontId="25" fillId="0" borderId="27" xfId="0" applyNumberFormat="1" applyFont="1" applyFill="1" applyBorder="1" applyAlignment="1">
      <alignment horizontal="center" vertical="center" shrinkToFit="1"/>
    </xf>
    <xf numFmtId="169" fontId="25" fillId="0" borderId="8" xfId="0" applyNumberFormat="1" applyFont="1" applyFill="1" applyBorder="1" applyAlignment="1">
      <alignment horizontal="center" vertical="center"/>
    </xf>
    <xf numFmtId="49" fontId="25" fillId="0" borderId="6" xfId="0" applyNumberFormat="1" applyFont="1" applyFill="1" applyBorder="1" applyAlignment="1">
      <alignment horizontal="center" vertical="center"/>
    </xf>
    <xf numFmtId="169" fontId="25" fillId="0" borderId="5" xfId="0" applyNumberFormat="1" applyFont="1" applyFill="1" applyBorder="1" applyAlignment="1">
      <alignment horizontal="right" vertical="center" wrapText="1" shrinkToFit="1"/>
    </xf>
    <xf numFmtId="49" fontId="25" fillId="0" borderId="31" xfId="0" applyNumberFormat="1" applyFont="1" applyFill="1" applyBorder="1" applyAlignment="1">
      <alignment horizontal="center" vertical="center" shrinkToFit="1"/>
    </xf>
    <xf numFmtId="0" fontId="25" fillId="0" borderId="30" xfId="98" applyFont="1" applyFill="1" applyBorder="1" applyAlignment="1">
      <alignment horizontal="right" vertical="center" shrinkToFit="1"/>
    </xf>
    <xf numFmtId="0" fontId="25" fillId="0" borderId="16" xfId="98" applyFont="1" applyFill="1" applyBorder="1" applyAlignment="1">
      <alignment horizontal="right" vertical="center" wrapText="1" shrinkToFit="1"/>
    </xf>
    <xf numFmtId="169" fontId="70" fillId="0" borderId="15" xfId="0" applyNumberFormat="1" applyFont="1" applyFill="1" applyBorder="1" applyAlignment="1">
      <alignment horizontal="center" vertical="center" shrinkToFit="1" readingOrder="2"/>
    </xf>
    <xf numFmtId="169" fontId="25" fillId="0" borderId="10" xfId="0" applyNumberFormat="1" applyFont="1" applyFill="1" applyBorder="1" applyAlignment="1">
      <alignment horizontal="center" vertical="center" shrinkToFit="1" readingOrder="2"/>
    </xf>
    <xf numFmtId="169" fontId="70" fillId="0" borderId="9" xfId="0" applyNumberFormat="1" applyFont="1" applyFill="1" applyBorder="1" applyAlignment="1">
      <alignment horizontal="center" vertical="center" shrinkToFit="1" readingOrder="2"/>
    </xf>
    <xf numFmtId="3" fontId="70" fillId="0" borderId="9" xfId="0" applyNumberFormat="1" applyFont="1" applyFill="1" applyBorder="1" applyAlignment="1">
      <alignment horizontal="center" vertical="center" shrinkToFit="1" readingOrder="2"/>
    </xf>
    <xf numFmtId="169" fontId="70" fillId="0" borderId="0" xfId="0" applyNumberFormat="1" applyFont="1" applyFill="1" applyAlignment="1">
      <alignment vertical="center" wrapText="1" shrinkToFit="1" readingOrder="2"/>
    </xf>
    <xf numFmtId="169" fontId="63" fillId="0" borderId="0" xfId="0" applyNumberFormat="1" applyFont="1" applyFill="1" applyAlignment="1">
      <alignment horizontal="right" vertical="center" wrapText="1" readingOrder="2"/>
    </xf>
    <xf numFmtId="49" fontId="23" fillId="0" borderId="0" xfId="0" applyNumberFormat="1" applyFont="1" applyFill="1" applyAlignment="1">
      <alignment horizontal="center" vertical="center" shrinkToFit="1" readingOrder="2"/>
    </xf>
    <xf numFmtId="0" fontId="5" fillId="0" borderId="0" xfId="168" quotePrefix="1" applyFill="1"/>
    <xf numFmtId="0" fontId="5" fillId="0" borderId="0" xfId="168" applyFill="1"/>
    <xf numFmtId="0" fontId="33" fillId="0" borderId="0" xfId="0" applyFont="1" applyFill="1" applyAlignment="1">
      <alignment shrinkToFit="1"/>
    </xf>
    <xf numFmtId="169" fontId="33" fillId="0" borderId="0" xfId="0" applyNumberFormat="1" applyFont="1" applyFill="1"/>
    <xf numFmtId="169" fontId="34" fillId="0" borderId="0" xfId="70" applyNumberFormat="1" applyFont="1" applyFill="1" applyAlignment="1">
      <alignment vertical="center" shrinkToFit="1" readingOrder="2"/>
    </xf>
    <xf numFmtId="169" fontId="34" fillId="0" borderId="0" xfId="70" applyNumberFormat="1" applyFont="1" applyFill="1" applyAlignment="1">
      <alignment horizontal="right" vertical="center" shrinkToFit="1" readingOrder="2"/>
    </xf>
    <xf numFmtId="171" fontId="33" fillId="0" borderId="0" xfId="0" applyNumberFormat="1" applyFont="1" applyFill="1"/>
    <xf numFmtId="169" fontId="42" fillId="0" borderId="20" xfId="70" applyNumberFormat="1" applyFont="1" applyFill="1" applyBorder="1" applyAlignment="1">
      <alignment horizontal="center" vertical="center" wrapText="1" shrinkToFit="1" readingOrder="2"/>
    </xf>
    <xf numFmtId="169" fontId="42" fillId="0" borderId="19" xfId="70" applyNumberFormat="1" applyFont="1" applyFill="1" applyBorder="1" applyAlignment="1">
      <alignment horizontal="center" vertical="center" wrapText="1" shrinkToFit="1" readingOrder="2"/>
    </xf>
    <xf numFmtId="169" fontId="42" fillId="0" borderId="15" xfId="70" applyNumberFormat="1" applyFont="1" applyFill="1" applyBorder="1" applyAlignment="1">
      <alignment horizontal="center" vertical="center" wrapText="1" shrinkToFit="1" readingOrder="2"/>
    </xf>
    <xf numFmtId="169" fontId="42" fillId="0" borderId="15" xfId="70" applyNumberFormat="1" applyFont="1" applyFill="1" applyBorder="1" applyAlignment="1">
      <alignment vertical="center" wrapText="1" shrinkToFit="1" readingOrder="2"/>
    </xf>
    <xf numFmtId="49" fontId="37" fillId="0" borderId="4" xfId="122" applyNumberFormat="1" applyFont="1" applyFill="1" applyBorder="1" applyAlignment="1">
      <alignment horizontal="center" vertical="center" shrinkToFit="1"/>
    </xf>
    <xf numFmtId="169" fontId="37" fillId="0" borderId="4" xfId="122" applyNumberFormat="1" applyFont="1" applyFill="1" applyBorder="1" applyAlignment="1">
      <alignment horizontal="right" vertical="center" shrinkToFit="1"/>
    </xf>
    <xf numFmtId="169" fontId="37" fillId="0" borderId="4" xfId="122" applyNumberFormat="1" applyFont="1" applyFill="1" applyBorder="1" applyAlignment="1">
      <alignment horizontal="center" vertical="center" shrinkToFit="1"/>
    </xf>
    <xf numFmtId="169" fontId="37" fillId="0" borderId="4" xfId="70" applyNumberFormat="1" applyFont="1" applyFill="1" applyBorder="1" applyAlignment="1">
      <alignment horizontal="center" vertical="center" shrinkToFit="1" readingOrder="2"/>
    </xf>
    <xf numFmtId="169" fontId="37" fillId="0" borderId="4" xfId="34" applyNumberFormat="1" applyFont="1" applyFill="1" applyBorder="1" applyAlignment="1">
      <alignment horizontal="center" vertical="center" shrinkToFit="1" readingOrder="2"/>
    </xf>
    <xf numFmtId="49" fontId="37" fillId="0" borderId="6" xfId="124" applyNumberFormat="1" applyFont="1" applyFill="1" applyBorder="1" applyAlignment="1">
      <alignment horizontal="center" vertical="center"/>
    </xf>
    <xf numFmtId="169" fontId="37" fillId="0" borderId="4" xfId="124" applyNumberFormat="1" applyFont="1" applyFill="1" applyBorder="1" applyAlignment="1">
      <alignment horizontal="right" vertical="center" shrinkToFit="1"/>
    </xf>
    <xf numFmtId="169" fontId="37" fillId="0" borderId="4" xfId="124" applyNumberFormat="1" applyFont="1" applyFill="1" applyBorder="1" applyAlignment="1">
      <alignment horizontal="center" vertical="center" shrinkToFit="1"/>
    </xf>
    <xf numFmtId="0" fontId="33" fillId="0" borderId="5" xfId="0" applyFont="1" applyFill="1" applyBorder="1"/>
    <xf numFmtId="0" fontId="33" fillId="0" borderId="6" xfId="0" applyFont="1" applyFill="1" applyBorder="1"/>
    <xf numFmtId="169" fontId="41" fillId="0" borderId="0" xfId="70" applyNumberFormat="1" applyFont="1" applyFill="1" applyBorder="1" applyAlignment="1">
      <alignment horizontal="center" vertical="center" shrinkToFit="1" readingOrder="2"/>
    </xf>
    <xf numFmtId="169" fontId="37" fillId="0" borderId="0" xfId="70" applyNumberFormat="1" applyFont="1" applyFill="1" applyBorder="1" applyAlignment="1">
      <alignment horizontal="center" vertical="center" shrinkToFit="1" readingOrder="2"/>
    </xf>
    <xf numFmtId="169" fontId="34" fillId="0" borderId="0" xfId="70" applyNumberFormat="1" applyFont="1" applyFill="1" applyAlignment="1">
      <alignment horizontal="center" vertical="center" shrinkToFit="1" readingOrder="2"/>
    </xf>
    <xf numFmtId="169" fontId="39" fillId="0" borderId="0" xfId="70" applyNumberFormat="1" applyFont="1" applyFill="1" applyAlignment="1">
      <alignment horizontal="center" vertical="center" wrapText="1" shrinkToFit="1" readingOrder="2"/>
    </xf>
    <xf numFmtId="49" fontId="34" fillId="0" borderId="0" xfId="70" applyNumberFormat="1" applyFont="1" applyFill="1" applyAlignment="1">
      <alignment horizontal="right" vertical="center" shrinkToFit="1" readingOrder="2"/>
    </xf>
    <xf numFmtId="169" fontId="34" fillId="0" borderId="1" xfId="70" applyNumberFormat="1" applyFont="1" applyFill="1" applyBorder="1" applyAlignment="1">
      <alignment horizontal="center" vertical="center" shrinkToFit="1" readingOrder="2"/>
    </xf>
    <xf numFmtId="169" fontId="42" fillId="0" borderId="0" xfId="70" applyNumberFormat="1" applyFont="1" applyFill="1" applyAlignment="1">
      <alignment horizontal="center" vertical="center" shrinkToFit="1" readingOrder="2"/>
    </xf>
    <xf numFmtId="169" fontId="37" fillId="0" borderId="7" xfId="70" applyNumberFormat="1" applyFont="1" applyFill="1" applyBorder="1" applyAlignment="1">
      <alignment horizontal="center" vertical="center" shrinkToFit="1" readingOrder="2"/>
    </xf>
    <xf numFmtId="169" fontId="37" fillId="0" borderId="14" xfId="70" applyNumberFormat="1" applyFont="1" applyFill="1" applyBorder="1" applyAlignment="1">
      <alignment horizontal="center" vertical="center" shrinkToFit="1" readingOrder="2"/>
    </xf>
    <xf numFmtId="169" fontId="37" fillId="0" borderId="6" xfId="70" applyNumberFormat="1" applyFont="1" applyFill="1" applyBorder="1" applyAlignment="1">
      <alignment horizontal="center" vertical="center" shrinkToFit="1" readingOrder="2"/>
    </xf>
    <xf numFmtId="49" fontId="37" fillId="0" borderId="6" xfId="126" applyNumberFormat="1" applyFont="1" applyFill="1" applyBorder="1" applyAlignment="1">
      <alignment horizontal="center" vertical="center" shrinkToFit="1"/>
    </xf>
    <xf numFmtId="169" fontId="37" fillId="0" borderId="4" xfId="126" applyNumberFormat="1" applyFont="1" applyFill="1" applyBorder="1" applyAlignment="1">
      <alignment horizontal="right" vertical="center" shrinkToFit="1"/>
    </xf>
    <xf numFmtId="169" fontId="37" fillId="0" borderId="4" xfId="126" applyNumberFormat="1" applyFont="1" applyFill="1" applyBorder="1" applyAlignment="1">
      <alignment horizontal="center" vertical="center" shrinkToFit="1"/>
    </xf>
    <xf numFmtId="169" fontId="37" fillId="0" borderId="5" xfId="34" applyNumberFormat="1" applyFont="1" applyFill="1" applyBorder="1" applyAlignment="1">
      <alignment horizontal="center" vertical="center" shrinkToFit="1" readingOrder="2"/>
    </xf>
    <xf numFmtId="0" fontId="33" fillId="0" borderId="4" xfId="0" applyFont="1" applyFill="1" applyBorder="1"/>
    <xf numFmtId="169" fontId="37" fillId="0" borderId="8" xfId="126" applyNumberFormat="1" applyFont="1" applyFill="1" applyBorder="1" applyAlignment="1">
      <alignment horizontal="center" vertical="center" shrinkToFit="1"/>
    </xf>
    <xf numFmtId="169" fontId="39" fillId="0" borderId="15" xfId="0" applyNumberFormat="1" applyFont="1" applyFill="1" applyBorder="1" applyAlignment="1">
      <alignment horizontal="center"/>
    </xf>
    <xf numFmtId="169" fontId="37" fillId="0" borderId="15" xfId="126" applyNumberFormat="1" applyFont="1" applyFill="1" applyBorder="1" applyAlignment="1">
      <alignment horizontal="center" vertical="center" shrinkToFit="1"/>
    </xf>
    <xf numFmtId="169" fontId="37" fillId="0" borderId="7" xfId="126" applyNumberFormat="1" applyFont="1" applyFill="1" applyBorder="1" applyAlignment="1">
      <alignment horizontal="center" vertical="center" shrinkToFit="1"/>
    </xf>
    <xf numFmtId="49" fontId="37" fillId="0" borderId="6" xfId="70" applyNumberFormat="1" applyFont="1" applyFill="1" applyBorder="1" applyAlignment="1">
      <alignment horizontal="center" vertical="center" shrinkToFit="1"/>
    </xf>
    <xf numFmtId="49" fontId="37" fillId="0" borderId="6" xfId="0" applyNumberFormat="1" applyFont="1" applyFill="1" applyBorder="1" applyAlignment="1">
      <alignment horizontal="center"/>
    </xf>
    <xf numFmtId="169" fontId="37" fillId="0" borderId="4" xfId="0" applyNumberFormat="1" applyFont="1" applyFill="1" applyBorder="1" applyAlignment="1">
      <alignment horizontal="right" shrinkToFit="1"/>
    </xf>
    <xf numFmtId="49" fontId="37" fillId="0" borderId="6" xfId="0" applyNumberFormat="1" applyFont="1" applyFill="1" applyBorder="1" applyAlignment="1">
      <alignment horizontal="center" vertical="center" shrinkToFit="1"/>
    </xf>
    <xf numFmtId="169" fontId="47" fillId="0" borderId="4" xfId="0" applyNumberFormat="1" applyFont="1" applyFill="1" applyBorder="1" applyAlignment="1">
      <alignment horizontal="right" vertical="center" wrapText="1" shrinkToFit="1"/>
    </xf>
    <xf numFmtId="169" fontId="37" fillId="0" borderId="8" xfId="34" applyNumberFormat="1" applyFont="1" applyFill="1" applyBorder="1" applyAlignment="1">
      <alignment horizontal="center" vertical="center" shrinkToFit="1" readingOrder="2"/>
    </xf>
    <xf numFmtId="169" fontId="47" fillId="0" borderId="15" xfId="0" applyNumberFormat="1" applyFont="1" applyFill="1" applyBorder="1" applyAlignment="1">
      <alignment horizontal="right" vertical="center" wrapText="1" shrinkToFit="1"/>
    </xf>
    <xf numFmtId="169" fontId="37" fillId="0" borderId="8" xfId="70" applyNumberFormat="1" applyFont="1" applyFill="1" applyBorder="1" applyAlignment="1">
      <alignment horizontal="center" vertical="center" shrinkToFit="1" readingOrder="2"/>
    </xf>
    <xf numFmtId="169" fontId="25" fillId="0" borderId="29" xfId="118" applyNumberFormat="1" applyFont="1" applyFill="1" applyBorder="1" applyAlignment="1">
      <alignment horizontal="center" vertical="center" shrinkToFit="1"/>
    </xf>
    <xf numFmtId="169" fontId="37" fillId="0" borderId="42" xfId="34" applyNumberFormat="1" applyFont="1" applyFill="1" applyBorder="1" applyAlignment="1">
      <alignment horizontal="center" vertical="center" shrinkToFit="1"/>
    </xf>
    <xf numFmtId="174" fontId="37" fillId="0" borderId="15" xfId="0" applyNumberFormat="1" applyFont="1" applyFill="1" applyBorder="1" applyAlignment="1">
      <alignment horizontal="center" vertical="center"/>
    </xf>
    <xf numFmtId="169" fontId="37" fillId="0" borderId="6" xfId="126" applyNumberFormat="1" applyFont="1" applyFill="1" applyBorder="1" applyAlignment="1">
      <alignment horizontal="center" vertical="center" shrinkToFit="1"/>
    </xf>
    <xf numFmtId="169" fontId="37" fillId="0" borderId="11" xfId="70" applyNumberFormat="1" applyFont="1" applyFill="1" applyBorder="1" applyAlignment="1">
      <alignment horizontal="center" vertical="center" shrinkToFit="1" readingOrder="2"/>
    </xf>
    <xf numFmtId="169" fontId="37" fillId="0" borderId="29" xfId="70" applyNumberFormat="1" applyFont="1" applyFill="1" applyBorder="1" applyAlignment="1">
      <alignment horizontal="center" vertical="center" shrinkToFit="1" readingOrder="2"/>
    </xf>
    <xf numFmtId="169" fontId="37" fillId="0" borderId="46" xfId="70" applyNumberFormat="1" applyFont="1" applyFill="1" applyBorder="1" applyAlignment="1">
      <alignment horizontal="center" vertical="center" shrinkToFit="1" readingOrder="2"/>
    </xf>
    <xf numFmtId="169" fontId="37" fillId="0" borderId="41" xfId="34" applyNumberFormat="1" applyFont="1" applyFill="1" applyBorder="1" applyAlignment="1">
      <alignment horizontal="center" vertical="center" shrinkToFit="1" readingOrder="2"/>
    </xf>
    <xf numFmtId="169" fontId="37" fillId="0" borderId="26" xfId="34" applyNumberFormat="1" applyFont="1" applyFill="1" applyBorder="1" applyAlignment="1">
      <alignment horizontal="center" vertical="center" shrinkToFit="1" readingOrder="2"/>
    </xf>
    <xf numFmtId="169" fontId="37" fillId="0" borderId="17" xfId="70" applyNumberFormat="1" applyFont="1" applyFill="1" applyBorder="1" applyAlignment="1">
      <alignment horizontal="center" vertical="center" shrinkToFit="1" readingOrder="2"/>
    </xf>
    <xf numFmtId="0" fontId="33" fillId="0" borderId="15" xfId="0" applyFont="1" applyFill="1" applyBorder="1" applyAlignment="1">
      <alignment horizontal="right" vertical="center" shrinkToFit="1"/>
    </xf>
    <xf numFmtId="174" fontId="37" fillId="0" borderId="15" xfId="126" applyNumberFormat="1" applyFont="1" applyFill="1" applyBorder="1" applyAlignment="1">
      <alignment horizontal="center" vertical="center" shrinkToFit="1"/>
    </xf>
    <xf numFmtId="0" fontId="39" fillId="0" borderId="15" xfId="69" applyFont="1" applyFill="1" applyBorder="1" applyAlignment="1">
      <alignment horizontal="right" vertical="center" shrinkToFit="1"/>
    </xf>
    <xf numFmtId="174" fontId="37" fillId="0" borderId="29" xfId="126" applyNumberFormat="1" applyFont="1" applyFill="1" applyBorder="1" applyAlignment="1">
      <alignment horizontal="center" vertical="center" shrinkToFit="1"/>
    </xf>
    <xf numFmtId="0" fontId="38" fillId="0" borderId="16" xfId="98" applyFont="1" applyFill="1" applyBorder="1" applyAlignment="1">
      <alignment horizontal="right" vertical="center" shrinkToFit="1"/>
    </xf>
    <xf numFmtId="0" fontId="37" fillId="0" borderId="16" xfId="98" applyFont="1" applyFill="1" applyBorder="1" applyAlignment="1">
      <alignment horizontal="right" vertical="center" shrinkToFit="1"/>
    </xf>
    <xf numFmtId="0" fontId="37" fillId="0" borderId="30" xfId="98" applyFont="1" applyFill="1" applyBorder="1" applyAlignment="1">
      <alignment horizontal="right" vertical="center" shrinkToFit="1"/>
    </xf>
    <xf numFmtId="0" fontId="39" fillId="0" borderId="16" xfId="69" applyFont="1" applyFill="1" applyBorder="1" applyAlignment="1">
      <alignment horizontal="right" vertical="center" shrinkToFit="1"/>
    </xf>
    <xf numFmtId="169" fontId="37" fillId="0" borderId="20" xfId="0" applyNumberFormat="1" applyFont="1" applyFill="1" applyBorder="1" applyAlignment="1">
      <alignment horizontal="right" vertical="center" shrinkToFit="1"/>
    </xf>
    <xf numFmtId="0" fontId="42" fillId="0" borderId="15" xfId="74" applyFont="1" applyFill="1" applyBorder="1" applyAlignment="1">
      <alignment horizontal="center" vertical="center" shrinkToFit="1"/>
    </xf>
    <xf numFmtId="0" fontId="44" fillId="0" borderId="15" xfId="74" applyFont="1" applyFill="1" applyBorder="1" applyAlignment="1">
      <alignment horizontal="right" vertical="center" wrapText="1" shrinkToFit="1"/>
    </xf>
    <xf numFmtId="0" fontId="110" fillId="0" borderId="26" xfId="168" applyFont="1" applyFill="1" applyBorder="1" applyAlignment="1">
      <alignment horizontal="center" shrinkToFit="1"/>
    </xf>
    <xf numFmtId="0" fontId="110" fillId="0" borderId="26" xfId="168" applyFont="1" applyFill="1" applyBorder="1" applyAlignment="1">
      <alignment horizontal="right" shrinkToFit="1"/>
    </xf>
    <xf numFmtId="0" fontId="110" fillId="0" borderId="15" xfId="168" quotePrefix="1" applyFont="1" applyFill="1" applyBorder="1" applyAlignment="1">
      <alignment horizontal="center" shrinkToFit="1"/>
    </xf>
    <xf numFmtId="169" fontId="35" fillId="0" borderId="0" xfId="70" applyNumberFormat="1" applyFont="1" applyFill="1" applyAlignment="1">
      <alignment horizontal="center" vertical="center" readingOrder="2"/>
    </xf>
    <xf numFmtId="49" fontId="37" fillId="0" borderId="23" xfId="122" applyNumberFormat="1" applyFont="1" applyFill="1" applyBorder="1" applyAlignment="1">
      <alignment horizontal="center" vertical="center"/>
    </xf>
    <xf numFmtId="169" fontId="37" fillId="0" borderId="29" xfId="122" applyNumberFormat="1" applyFont="1" applyFill="1" applyBorder="1" applyAlignment="1">
      <alignment horizontal="right" vertical="center" shrinkToFit="1"/>
    </xf>
    <xf numFmtId="49" fontId="37" fillId="0" borderId="2" xfId="122" applyNumberFormat="1" applyFont="1" applyFill="1" applyBorder="1" applyAlignment="1">
      <alignment horizontal="center" vertical="center" shrinkToFit="1"/>
    </xf>
    <xf numFmtId="169" fontId="37" fillId="0" borderId="15" xfId="122" applyNumberFormat="1" applyFont="1" applyFill="1" applyBorder="1" applyAlignment="1">
      <alignment horizontal="right" vertical="center" shrinkToFit="1"/>
    </xf>
    <xf numFmtId="49" fontId="37" fillId="0" borderId="1" xfId="126" applyNumberFormat="1" applyFont="1" applyFill="1" applyBorder="1" applyAlignment="1">
      <alignment horizontal="center" vertical="center" shrinkToFit="1"/>
    </xf>
    <xf numFmtId="49" fontId="37" fillId="0" borderId="24" xfId="0" applyNumberFormat="1" applyFont="1" applyFill="1" applyBorder="1" applyAlignment="1">
      <alignment horizontal="center" vertical="center" shrinkToFit="1"/>
    </xf>
    <xf numFmtId="49" fontId="37" fillId="0" borderId="27" xfId="0" applyNumberFormat="1" applyFont="1" applyFill="1" applyBorder="1" applyAlignment="1">
      <alignment horizontal="center" vertical="center" shrinkToFit="1"/>
    </xf>
    <xf numFmtId="169" fontId="37" fillId="0" borderId="16" xfId="70" applyNumberFormat="1" applyFont="1" applyFill="1" applyBorder="1" applyAlignment="1">
      <alignment horizontal="center" vertical="center" shrinkToFit="1" readingOrder="2"/>
    </xf>
    <xf numFmtId="0" fontId="37" fillId="0" borderId="15" xfId="98" applyFont="1" applyFill="1" applyBorder="1" applyAlignment="1">
      <alignment horizontal="right" shrinkToFit="1"/>
    </xf>
    <xf numFmtId="169" fontId="37" fillId="0" borderId="21" xfId="70" applyNumberFormat="1" applyFont="1" applyFill="1" applyBorder="1" applyAlignment="1">
      <alignment horizontal="center" vertical="center" shrinkToFit="1" readingOrder="2"/>
    </xf>
    <xf numFmtId="169" fontId="37" fillId="0" borderId="21" xfId="34" applyNumberFormat="1" applyFont="1" applyFill="1" applyBorder="1" applyAlignment="1">
      <alignment horizontal="center" vertical="center" shrinkToFit="1" readingOrder="2"/>
    </xf>
    <xf numFmtId="49" fontId="42" fillId="0" borderId="0" xfId="70" applyNumberFormat="1" applyFont="1" applyFill="1" applyAlignment="1">
      <alignment horizontal="center" vertical="center" shrinkToFit="1" readingOrder="2"/>
    </xf>
    <xf numFmtId="169" fontId="42" fillId="0" borderId="0" xfId="70" applyNumberFormat="1" applyFont="1" applyFill="1" applyAlignment="1">
      <alignment horizontal="right" vertical="center" shrinkToFit="1" readingOrder="2"/>
    </xf>
    <xf numFmtId="3" fontId="33" fillId="0" borderId="0" xfId="0" applyNumberFormat="1" applyFont="1" applyFill="1"/>
    <xf numFmtId="0" fontId="37" fillId="0" borderId="0" xfId="0" applyFont="1" applyFill="1"/>
    <xf numFmtId="169" fontId="47" fillId="0" borderId="0" xfId="70" applyNumberFormat="1" applyFont="1" applyFill="1" applyAlignment="1">
      <alignment horizontal="right" vertical="center" shrinkToFit="1" readingOrder="2"/>
    </xf>
    <xf numFmtId="169" fontId="33" fillId="0" borderId="0" xfId="0" applyNumberFormat="1" applyFont="1" applyFill="1" applyAlignment="1">
      <alignment shrinkToFit="1"/>
    </xf>
    <xf numFmtId="171" fontId="33" fillId="0" borderId="0" xfId="0" applyNumberFormat="1" applyFont="1" applyFill="1" applyAlignment="1">
      <alignment shrinkToFit="1"/>
    </xf>
    <xf numFmtId="169" fontId="39" fillId="0" borderId="0" xfId="70" applyNumberFormat="1" applyFont="1" applyFill="1" applyAlignment="1">
      <alignment horizontal="center" vertical="center" shrinkToFit="1"/>
    </xf>
    <xf numFmtId="3" fontId="39" fillId="0" borderId="0" xfId="70" applyNumberFormat="1" applyFont="1" applyFill="1" applyAlignment="1">
      <alignment horizontal="center" vertical="center" shrinkToFit="1"/>
    </xf>
    <xf numFmtId="49" fontId="39" fillId="0" borderId="0" xfId="70" applyNumberFormat="1" applyFont="1" applyFill="1" applyAlignment="1">
      <alignment horizontal="center" vertical="center" shrinkToFit="1"/>
    </xf>
    <xf numFmtId="170" fontId="39" fillId="0" borderId="0" xfId="70" applyNumberFormat="1" applyFont="1" applyFill="1" applyAlignment="1">
      <alignment horizontal="center" vertical="center" shrinkToFit="1"/>
    </xf>
    <xf numFmtId="170" fontId="24" fillId="0" borderId="0" xfId="70" applyNumberFormat="1" applyFont="1" applyFill="1" applyAlignment="1">
      <alignment horizontal="center" vertical="center" shrinkToFit="1"/>
    </xf>
    <xf numFmtId="170" fontId="116" fillId="0" borderId="0" xfId="70" applyNumberFormat="1" applyFont="1" applyFill="1" applyAlignment="1">
      <alignment horizontal="center" vertical="center" shrinkToFit="1" readingOrder="2"/>
    </xf>
    <xf numFmtId="49" fontId="34" fillId="0" borderId="0" xfId="70" applyNumberFormat="1" applyFont="1" applyFill="1" applyAlignment="1">
      <alignment horizontal="center" vertical="center" shrinkToFit="1" readingOrder="2"/>
    </xf>
    <xf numFmtId="170" fontId="34" fillId="0" borderId="0" xfId="70" applyNumberFormat="1" applyFont="1" applyFill="1" applyAlignment="1">
      <alignment horizontal="center" vertical="center" shrinkToFit="1" readingOrder="2"/>
    </xf>
    <xf numFmtId="170" fontId="23" fillId="0" borderId="0" xfId="70" applyNumberFormat="1" applyFont="1" applyFill="1" applyAlignment="1">
      <alignment horizontal="center" vertical="center" shrinkToFit="1" readingOrder="2"/>
    </xf>
    <xf numFmtId="49" fontId="39" fillId="0" borderId="0" xfId="70" applyNumberFormat="1" applyFont="1" applyFill="1" applyAlignment="1">
      <alignment horizontal="right" vertical="center" shrinkToFit="1" readingOrder="2"/>
    </xf>
    <xf numFmtId="170" fontId="39" fillId="0" borderId="0" xfId="70" applyNumberFormat="1" applyFont="1" applyFill="1" applyAlignment="1">
      <alignment horizontal="center" vertical="center" shrinkToFit="1" readingOrder="2"/>
    </xf>
    <xf numFmtId="170" fontId="24" fillId="0" borderId="0" xfId="70" applyNumberFormat="1" applyFont="1" applyFill="1" applyAlignment="1">
      <alignment horizontal="center" vertical="center" shrinkToFit="1" readingOrder="2"/>
    </xf>
    <xf numFmtId="170" fontId="46" fillId="0" borderId="15" xfId="70" applyNumberFormat="1" applyFont="1" applyFill="1" applyBorder="1" applyAlignment="1">
      <alignment horizontal="center" vertical="center" wrapText="1" shrinkToFit="1"/>
    </xf>
    <xf numFmtId="170" fontId="46" fillId="0" borderId="15" xfId="70" applyNumberFormat="1" applyFont="1" applyFill="1" applyBorder="1" applyAlignment="1">
      <alignment horizontal="center" vertical="center" shrinkToFit="1"/>
    </xf>
    <xf numFmtId="169" fontId="34" fillId="0" borderId="0" xfId="70" applyNumberFormat="1" applyFont="1" applyFill="1" applyAlignment="1">
      <alignment horizontal="center" vertical="center" wrapText="1" shrinkToFit="1"/>
    </xf>
    <xf numFmtId="3" fontId="34" fillId="0" borderId="0" xfId="70" applyNumberFormat="1" applyFont="1" applyFill="1" applyAlignment="1">
      <alignment horizontal="center" vertical="center" wrapText="1" shrinkToFit="1"/>
    </xf>
    <xf numFmtId="170" fontId="46" fillId="0" borderId="15" xfId="70" applyNumberFormat="1" applyFont="1" applyFill="1" applyBorder="1" applyAlignment="1">
      <alignment horizontal="center" vertical="center" wrapText="1" shrinkToFit="1" readingOrder="2"/>
    </xf>
    <xf numFmtId="169" fontId="46" fillId="0" borderId="15" xfId="70" applyNumberFormat="1" applyFont="1" applyFill="1" applyBorder="1" applyAlignment="1">
      <alignment horizontal="center" vertical="center" wrapText="1" shrinkToFit="1"/>
    </xf>
    <xf numFmtId="170" fontId="42" fillId="0" borderId="0" xfId="70" applyNumberFormat="1" applyFont="1" applyFill="1" applyAlignment="1">
      <alignment horizontal="center" vertical="center" shrinkToFit="1"/>
    </xf>
    <xf numFmtId="169" fontId="42" fillId="0" borderId="4" xfId="70" applyNumberFormat="1" applyFont="1" applyFill="1" applyBorder="1" applyAlignment="1">
      <alignment horizontal="center" vertical="center" shrinkToFit="1"/>
    </xf>
    <xf numFmtId="169" fontId="42" fillId="0" borderId="0" xfId="70" applyNumberFormat="1" applyFont="1" applyFill="1" applyAlignment="1">
      <alignment horizontal="center" vertical="center" shrinkToFit="1"/>
    </xf>
    <xf numFmtId="3" fontId="42" fillId="0" borderId="0" xfId="70" applyNumberFormat="1" applyFont="1" applyFill="1" applyAlignment="1">
      <alignment horizontal="center" vertical="center" shrinkToFit="1"/>
    </xf>
    <xf numFmtId="170" fontId="42" fillId="0" borderId="15" xfId="70" applyNumberFormat="1" applyFont="1" applyFill="1" applyBorder="1" applyAlignment="1">
      <alignment horizontal="center" vertical="center" shrinkToFit="1"/>
    </xf>
    <xf numFmtId="169" fontId="37" fillId="0" borderId="4" xfId="70" applyNumberFormat="1" applyFont="1" applyFill="1" applyBorder="1" applyAlignment="1">
      <alignment horizontal="center" vertical="center" shrinkToFit="1"/>
    </xf>
    <xf numFmtId="170" fontId="25" fillId="0" borderId="8" xfId="70" applyNumberFormat="1" applyFont="1" applyFill="1" applyBorder="1" applyAlignment="1">
      <alignment horizontal="center" vertical="center" shrinkToFit="1"/>
    </xf>
    <xf numFmtId="170" fontId="37" fillId="0" borderId="7" xfId="34" applyNumberFormat="1" applyFont="1" applyFill="1" applyBorder="1" applyAlignment="1">
      <alignment horizontal="center" vertical="center" shrinkToFit="1"/>
    </xf>
    <xf numFmtId="170" fontId="37" fillId="0" borderId="4" xfId="70" applyNumberFormat="1" applyFont="1" applyFill="1" applyBorder="1" applyAlignment="1">
      <alignment horizontal="center" vertical="center" shrinkToFit="1" readingOrder="2"/>
    </xf>
    <xf numFmtId="169" fontId="42" fillId="0" borderId="6" xfId="70" applyNumberFormat="1" applyFont="1" applyFill="1" applyBorder="1" applyAlignment="1">
      <alignment horizontal="center" vertical="center" shrinkToFit="1"/>
    </xf>
    <xf numFmtId="169" fontId="42" fillId="0" borderId="8" xfId="70" applyNumberFormat="1" applyFont="1" applyFill="1" applyBorder="1" applyAlignment="1">
      <alignment horizontal="center" vertical="center" shrinkToFit="1"/>
    </xf>
    <xf numFmtId="49" fontId="41" fillId="0" borderId="4" xfId="70" applyNumberFormat="1" applyFont="1" applyFill="1" applyBorder="1" applyAlignment="1">
      <alignment horizontal="center" vertical="center" shrinkToFit="1" readingOrder="2"/>
    </xf>
    <xf numFmtId="49" fontId="34" fillId="0" borderId="0" xfId="70" applyNumberFormat="1" applyFont="1" applyFill="1" applyBorder="1" applyAlignment="1">
      <alignment horizontal="center" vertical="center" textRotation="90" shrinkToFit="1"/>
    </xf>
    <xf numFmtId="49" fontId="41" fillId="0" borderId="0" xfId="70" applyNumberFormat="1" applyFont="1" applyFill="1" applyBorder="1" applyAlignment="1">
      <alignment horizontal="center" vertical="center" shrinkToFit="1" readingOrder="2"/>
    </xf>
    <xf numFmtId="169" fontId="42" fillId="0" borderId="0" xfId="70" applyNumberFormat="1" applyFont="1" applyFill="1" applyBorder="1" applyAlignment="1">
      <alignment horizontal="center" vertical="center" shrinkToFit="1"/>
    </xf>
    <xf numFmtId="49" fontId="42" fillId="0" borderId="0" xfId="70" applyNumberFormat="1" applyFont="1" applyFill="1" applyAlignment="1">
      <alignment vertical="center" textRotation="90" shrinkToFit="1"/>
    </xf>
    <xf numFmtId="169" fontId="42" fillId="0" borderId="14" xfId="70" applyNumberFormat="1" applyFont="1" applyFill="1" applyBorder="1" applyAlignment="1">
      <alignment horizontal="center" vertical="center" shrinkToFit="1"/>
    </xf>
    <xf numFmtId="170" fontId="41" fillId="0" borderId="0" xfId="70" applyNumberFormat="1" applyFont="1" applyFill="1" applyAlignment="1">
      <alignment horizontal="center" vertical="center" readingOrder="2"/>
    </xf>
    <xf numFmtId="169" fontId="41" fillId="0" borderId="0" xfId="70" applyNumberFormat="1" applyFont="1" applyFill="1" applyAlignment="1">
      <alignment horizontal="center" vertical="center" readingOrder="2"/>
    </xf>
    <xf numFmtId="170" fontId="37" fillId="0" borderId="4" xfId="70" applyNumberFormat="1" applyFont="1" applyFill="1" applyBorder="1" applyAlignment="1">
      <alignment horizontal="center" vertical="center" shrinkToFit="1"/>
    </xf>
    <xf numFmtId="49" fontId="41" fillId="0" borderId="13" xfId="70" applyNumberFormat="1" applyFont="1" applyFill="1" applyBorder="1" applyAlignment="1">
      <alignment horizontal="center" vertical="center" textRotation="90" readingOrder="2"/>
    </xf>
    <xf numFmtId="49" fontId="41" fillId="0" borderId="13" xfId="70" applyNumberFormat="1" applyFont="1" applyFill="1" applyBorder="1" applyAlignment="1">
      <alignment horizontal="center" vertical="center" shrinkToFit="1" readingOrder="2"/>
    </xf>
    <xf numFmtId="49" fontId="41" fillId="0" borderId="0" xfId="70" applyNumberFormat="1" applyFont="1" applyFill="1" applyBorder="1" applyAlignment="1">
      <alignment horizontal="center" vertical="center" textRotation="90" readingOrder="2"/>
    </xf>
    <xf numFmtId="170" fontId="35" fillId="0" borderId="0" xfId="70" applyNumberFormat="1" applyFont="1" applyFill="1" applyAlignment="1">
      <alignment horizontal="center" vertical="center" readingOrder="2"/>
    </xf>
    <xf numFmtId="170" fontId="69" fillId="0" borderId="0" xfId="70" applyNumberFormat="1" applyFont="1" applyFill="1" applyAlignment="1">
      <alignment horizontal="center" vertical="center" readingOrder="2"/>
    </xf>
    <xf numFmtId="170" fontId="46" fillId="0" borderId="0" xfId="70" applyNumberFormat="1" applyFont="1" applyFill="1" applyAlignment="1">
      <alignment horizontal="center" vertical="center" readingOrder="2"/>
    </xf>
    <xf numFmtId="170" fontId="37" fillId="0" borderId="7" xfId="70" applyNumberFormat="1" applyFont="1" applyFill="1" applyBorder="1" applyAlignment="1">
      <alignment horizontal="center" vertical="center" shrinkToFit="1"/>
    </xf>
    <xf numFmtId="170" fontId="37" fillId="0" borderId="8" xfId="70" applyNumberFormat="1" applyFont="1" applyFill="1" applyBorder="1" applyAlignment="1">
      <alignment horizontal="center" vertical="center" shrinkToFit="1"/>
    </xf>
    <xf numFmtId="49" fontId="39" fillId="0" borderId="4" xfId="70" applyNumberFormat="1" applyFont="1" applyFill="1" applyBorder="1" applyAlignment="1">
      <alignment horizontal="center" vertical="center" shrinkToFit="1"/>
    </xf>
    <xf numFmtId="170" fontId="39" fillId="0" borderId="7" xfId="70" applyNumberFormat="1" applyFont="1" applyFill="1" applyBorder="1" applyAlignment="1">
      <alignment horizontal="center" vertical="center" shrinkToFit="1"/>
    </xf>
    <xf numFmtId="170" fontId="39" fillId="0" borderId="4" xfId="70" applyNumberFormat="1" applyFont="1" applyFill="1" applyBorder="1" applyAlignment="1">
      <alignment horizontal="center" vertical="center" shrinkToFit="1"/>
    </xf>
    <xf numFmtId="170" fontId="39" fillId="0" borderId="5" xfId="70" applyNumberFormat="1" applyFont="1" applyFill="1" applyBorder="1" applyAlignment="1">
      <alignment horizontal="center" vertical="center" shrinkToFit="1"/>
    </xf>
    <xf numFmtId="170" fontId="39" fillId="0" borderId="0" xfId="70" applyNumberFormat="1" applyFont="1" applyFill="1" applyBorder="1" applyAlignment="1">
      <alignment horizontal="center" vertical="center" shrinkToFit="1"/>
    </xf>
    <xf numFmtId="170" fontId="37" fillId="0" borderId="5" xfId="70" applyNumberFormat="1" applyFont="1" applyFill="1" applyBorder="1" applyAlignment="1">
      <alignment horizontal="center" vertical="center" shrinkToFit="1"/>
    </xf>
    <xf numFmtId="170" fontId="37" fillId="0" borderId="16" xfId="70" applyNumberFormat="1" applyFont="1" applyFill="1" applyBorder="1" applyAlignment="1">
      <alignment horizontal="center" vertical="center" shrinkToFit="1"/>
    </xf>
    <xf numFmtId="170" fontId="37" fillId="0" borderId="4" xfId="70" applyNumberFormat="1" applyFont="1" applyFill="1" applyBorder="1" applyAlignment="1">
      <alignment horizontal="center" vertical="center" wrapText="1" shrinkToFit="1"/>
    </xf>
    <xf numFmtId="170" fontId="37" fillId="0" borderId="6" xfId="70" applyNumberFormat="1" applyFont="1" applyFill="1" applyBorder="1" applyAlignment="1">
      <alignment horizontal="center" vertical="center" shrinkToFit="1"/>
    </xf>
    <xf numFmtId="170" fontId="37" fillId="0" borderId="27" xfId="70" applyNumberFormat="1" applyFont="1" applyFill="1" applyBorder="1" applyAlignment="1">
      <alignment horizontal="center" vertical="center" shrinkToFit="1"/>
    </xf>
    <xf numFmtId="170" fontId="39" fillId="0" borderId="27" xfId="70" applyNumberFormat="1" applyFont="1" applyFill="1" applyBorder="1" applyAlignment="1">
      <alignment horizontal="center" vertical="center" shrinkToFit="1"/>
    </xf>
    <xf numFmtId="49" fontId="25" fillId="0" borderId="6" xfId="0" applyNumberFormat="1" applyFont="1" applyFill="1" applyBorder="1" applyAlignment="1">
      <alignment horizontal="center" vertical="center" shrinkToFit="1"/>
    </xf>
    <xf numFmtId="0" fontId="25" fillId="0" borderId="27" xfId="81" applyNumberFormat="1" applyFont="1" applyFill="1" applyBorder="1" applyAlignment="1" applyProtection="1">
      <alignment horizontal="center" vertical="center" shrinkToFit="1"/>
    </xf>
    <xf numFmtId="0" fontId="37" fillId="0" borderId="6" xfId="0" applyFont="1" applyFill="1" applyBorder="1" applyAlignment="1">
      <alignment horizontal="center" vertical="center" shrinkToFit="1"/>
    </xf>
    <xf numFmtId="49" fontId="37" fillId="0" borderId="13" xfId="0" applyNumberFormat="1" applyFont="1" applyFill="1" applyBorder="1" applyAlignment="1">
      <alignment horizontal="center" vertical="center" shrinkToFit="1"/>
    </xf>
    <xf numFmtId="169" fontId="29" fillId="0" borderId="0" xfId="70" applyNumberFormat="1" applyFont="1" applyFill="1" applyAlignment="1">
      <alignment horizontal="center" vertical="center" readingOrder="2"/>
    </xf>
    <xf numFmtId="169" fontId="24" fillId="0" borderId="0" xfId="70" applyNumberFormat="1" applyFont="1" applyFill="1" applyAlignment="1">
      <alignment horizontal="center" vertical="center" shrinkToFit="1"/>
    </xf>
    <xf numFmtId="3" fontId="24" fillId="0" borderId="0" xfId="70" applyNumberFormat="1" applyFont="1" applyFill="1" applyAlignment="1">
      <alignment horizontal="center" vertical="center" shrinkToFit="1"/>
    </xf>
    <xf numFmtId="170" fontId="37" fillId="0" borderId="6" xfId="70" applyNumberFormat="1" applyFont="1" applyFill="1" applyBorder="1" applyAlignment="1">
      <alignment horizontal="center" vertical="center" shrinkToFit="1" readingOrder="2"/>
    </xf>
    <xf numFmtId="169" fontId="37" fillId="0" borderId="6" xfId="70" applyNumberFormat="1" applyFont="1" applyFill="1" applyBorder="1" applyAlignment="1">
      <alignment vertical="center" shrinkToFit="1" readingOrder="2"/>
    </xf>
    <xf numFmtId="170" fontId="37" fillId="0" borderId="20" xfId="70" applyNumberFormat="1" applyFont="1" applyFill="1" applyBorder="1" applyAlignment="1">
      <alignment horizontal="center" vertical="center" shrinkToFit="1"/>
    </xf>
    <xf numFmtId="170" fontId="37" fillId="0" borderId="6" xfId="34" applyNumberFormat="1" applyFont="1" applyFill="1" applyBorder="1" applyAlignment="1">
      <alignment horizontal="center" vertical="center" shrinkToFit="1"/>
    </xf>
    <xf numFmtId="169" fontId="38" fillId="0" borderId="0" xfId="70" applyNumberFormat="1" applyFont="1" applyFill="1" applyBorder="1" applyAlignment="1">
      <alignment horizontal="center" vertical="center" shrinkToFit="1"/>
    </xf>
    <xf numFmtId="49" fontId="41" fillId="0" borderId="0" xfId="70" applyNumberFormat="1" applyFont="1" applyFill="1" applyBorder="1" applyAlignment="1">
      <alignment vertical="center" textRotation="90" readingOrder="2"/>
    </xf>
    <xf numFmtId="169" fontId="42" fillId="0" borderId="7" xfId="70" applyNumberFormat="1" applyFont="1" applyFill="1" applyBorder="1" applyAlignment="1">
      <alignment horizontal="center" vertical="center" shrinkToFit="1"/>
    </xf>
    <xf numFmtId="170" fontId="37" fillId="0" borderId="14" xfId="70" applyNumberFormat="1" applyFont="1" applyFill="1" applyBorder="1" applyAlignment="1">
      <alignment horizontal="center" vertical="center" shrinkToFit="1" readingOrder="2"/>
    </xf>
    <xf numFmtId="170" fontId="25" fillId="0" borderId="14" xfId="70" applyNumberFormat="1" applyFont="1" applyFill="1" applyBorder="1" applyAlignment="1">
      <alignment horizontal="center" vertical="center" shrinkToFit="1" readingOrder="2"/>
    </xf>
    <xf numFmtId="170" fontId="37" fillId="0" borderId="10" xfId="70" applyNumberFormat="1" applyFont="1" applyFill="1" applyBorder="1" applyAlignment="1">
      <alignment horizontal="center" vertical="center" shrinkToFit="1"/>
    </xf>
    <xf numFmtId="170" fontId="37" fillId="0" borderId="17" xfId="70" applyNumberFormat="1" applyFont="1" applyFill="1" applyBorder="1" applyAlignment="1">
      <alignment horizontal="center" vertical="center" shrinkToFit="1"/>
    </xf>
    <xf numFmtId="169" fontId="34" fillId="0" borderId="0" xfId="70" applyNumberFormat="1" applyFont="1" applyFill="1" applyAlignment="1">
      <alignment horizontal="center" vertical="center" shrinkToFit="1"/>
    </xf>
    <xf numFmtId="170" fontId="37" fillId="0" borderId="46" xfId="70" applyNumberFormat="1" applyFont="1" applyFill="1" applyBorder="1" applyAlignment="1">
      <alignment horizontal="center" vertical="center" shrinkToFit="1" readingOrder="2"/>
    </xf>
    <xf numFmtId="170" fontId="37" fillId="0" borderId="0" xfId="70" applyNumberFormat="1" applyFont="1" applyFill="1" applyBorder="1" applyAlignment="1">
      <alignment horizontal="center" vertical="center" shrinkToFit="1" readingOrder="2"/>
    </xf>
    <xf numFmtId="170" fontId="37" fillId="0" borderId="27" xfId="70" applyNumberFormat="1" applyFont="1" applyFill="1" applyBorder="1" applyAlignment="1">
      <alignment horizontal="center" vertical="center" shrinkToFit="1" readingOrder="2"/>
    </xf>
    <xf numFmtId="170" fontId="25" fillId="0" borderId="46" xfId="70" applyNumberFormat="1" applyFont="1" applyFill="1" applyBorder="1" applyAlignment="1">
      <alignment horizontal="center" vertical="center" shrinkToFit="1" readingOrder="2"/>
    </xf>
    <xf numFmtId="170" fontId="37" fillId="0" borderId="2" xfId="70" applyNumberFormat="1" applyFont="1" applyFill="1" applyBorder="1" applyAlignment="1">
      <alignment horizontal="center" vertical="center" shrinkToFit="1" readingOrder="2"/>
    </xf>
    <xf numFmtId="169" fontId="37" fillId="0" borderId="0" xfId="70" applyNumberFormat="1" applyFont="1" applyFill="1" applyBorder="1" applyAlignment="1">
      <alignment horizontal="center" vertical="center" shrinkToFit="1"/>
    </xf>
    <xf numFmtId="170" fontId="37" fillId="0" borderId="2" xfId="70" applyNumberFormat="1" applyFont="1" applyFill="1" applyBorder="1" applyAlignment="1">
      <alignment horizontal="center" vertical="center" shrinkToFit="1"/>
    </xf>
    <xf numFmtId="170" fontId="37" fillId="0" borderId="13" xfId="70" applyNumberFormat="1" applyFont="1" applyFill="1" applyBorder="1" applyAlignment="1">
      <alignment horizontal="center" vertical="center" shrinkToFit="1"/>
    </xf>
    <xf numFmtId="170" fontId="37" fillId="0" borderId="19" xfId="37" applyNumberFormat="1" applyFont="1" applyFill="1" applyBorder="1" applyAlignment="1">
      <alignment horizontal="center" vertical="center" shrinkToFit="1"/>
    </xf>
    <xf numFmtId="170" fontId="37" fillId="0" borderId="14" xfId="37" applyNumberFormat="1" applyFont="1" applyFill="1" applyBorder="1" applyAlignment="1">
      <alignment horizontal="center" vertical="center" shrinkToFit="1"/>
    </xf>
    <xf numFmtId="170" fontId="37" fillId="0" borderId="27" xfId="37" applyNumberFormat="1" applyFont="1" applyFill="1" applyBorder="1" applyAlignment="1">
      <alignment horizontal="center" vertical="center" shrinkToFit="1"/>
    </xf>
    <xf numFmtId="170" fontId="37" fillId="0" borderId="15" xfId="70" applyNumberFormat="1" applyFont="1" applyFill="1" applyBorder="1" applyAlignment="1">
      <alignment horizontal="center" vertical="center" wrapText="1" shrinkToFit="1"/>
    </xf>
    <xf numFmtId="170" fontId="37" fillId="0" borderId="23" xfId="37" applyNumberFormat="1" applyFont="1" applyFill="1" applyBorder="1" applyAlignment="1">
      <alignment horizontal="center" vertical="center" shrinkToFit="1"/>
    </xf>
    <xf numFmtId="170" fontId="37" fillId="0" borderId="42" xfId="70" applyNumberFormat="1" applyFont="1" applyFill="1" applyBorder="1" applyAlignment="1">
      <alignment horizontal="center" vertical="center" wrapText="1" shrinkToFit="1"/>
    </xf>
    <xf numFmtId="174" fontId="39" fillId="0" borderId="29" xfId="70" applyNumberFormat="1" applyFont="1" applyFill="1" applyBorder="1" applyAlignment="1">
      <alignment horizontal="center" vertical="center" shrinkToFit="1"/>
    </xf>
    <xf numFmtId="170" fontId="37" fillId="0" borderId="17" xfId="37" applyNumberFormat="1" applyFont="1" applyFill="1" applyBorder="1" applyAlignment="1">
      <alignment horizontal="center" vertical="center" shrinkToFit="1"/>
    </xf>
    <xf numFmtId="0" fontId="33" fillId="0" borderId="15" xfId="0" applyFont="1" applyFill="1" applyBorder="1" applyAlignment="1">
      <alignment horizontal="center" vertical="center" shrinkToFit="1"/>
    </xf>
    <xf numFmtId="170" fontId="39" fillId="0" borderId="16" xfId="70" applyNumberFormat="1" applyFont="1" applyFill="1" applyBorder="1" applyAlignment="1">
      <alignment horizontal="center" vertical="center" shrinkToFit="1"/>
    </xf>
    <xf numFmtId="49" fontId="33" fillId="0" borderId="15" xfId="75" applyNumberFormat="1" applyFont="1" applyFill="1" applyBorder="1" applyAlignment="1">
      <alignment horizontal="center" vertical="center" shrinkToFit="1"/>
    </xf>
    <xf numFmtId="170" fontId="37" fillId="0" borderId="31" xfId="70" applyNumberFormat="1" applyFont="1" applyFill="1" applyBorder="1" applyAlignment="1">
      <alignment horizontal="center" vertical="center" shrinkToFit="1"/>
    </xf>
    <xf numFmtId="170" fontId="39" fillId="0" borderId="26" xfId="70" applyNumberFormat="1" applyFont="1" applyFill="1" applyBorder="1" applyAlignment="1">
      <alignment horizontal="center" vertical="center" shrinkToFit="1"/>
    </xf>
    <xf numFmtId="170" fontId="39" fillId="0" borderId="30" xfId="70" applyNumberFormat="1" applyFont="1" applyFill="1" applyBorder="1" applyAlignment="1">
      <alignment horizontal="center" vertical="center" shrinkToFit="1"/>
    </xf>
    <xf numFmtId="170" fontId="37" fillId="0" borderId="22" xfId="70" applyNumberFormat="1" applyFont="1" applyFill="1" applyBorder="1" applyAlignment="1">
      <alignment horizontal="center" vertical="center" shrinkToFit="1"/>
    </xf>
    <xf numFmtId="170" fontId="39" fillId="0" borderId="41" xfId="70" applyNumberFormat="1" applyFont="1" applyFill="1" applyBorder="1" applyAlignment="1">
      <alignment horizontal="center" vertical="center" shrinkToFit="1"/>
    </xf>
    <xf numFmtId="0" fontId="110" fillId="0" borderId="0" xfId="165" applyFont="1" applyFill="1" applyBorder="1" applyAlignment="1"/>
    <xf numFmtId="0" fontId="110" fillId="0" borderId="16" xfId="165" applyFont="1" applyFill="1" applyBorder="1" applyAlignment="1"/>
    <xf numFmtId="0" fontId="110" fillId="0" borderId="22" xfId="165" applyFont="1" applyFill="1" applyBorder="1" applyAlignment="1"/>
    <xf numFmtId="0" fontId="110" fillId="0" borderId="15" xfId="165" applyFont="1" applyFill="1" applyBorder="1" applyAlignment="1"/>
    <xf numFmtId="169" fontId="37" fillId="0" borderId="58" xfId="70" applyNumberFormat="1" applyFont="1" applyFill="1" applyBorder="1" applyAlignment="1">
      <alignment horizontal="center" vertical="center" shrinkToFit="1"/>
    </xf>
    <xf numFmtId="169" fontId="37" fillId="0" borderId="41" xfId="70" applyNumberFormat="1" applyFont="1" applyFill="1" applyBorder="1" applyAlignment="1">
      <alignment horizontal="center" vertical="center" shrinkToFit="1"/>
    </xf>
    <xf numFmtId="170" fontId="34" fillId="0" borderId="29" xfId="70" applyNumberFormat="1" applyFont="1" applyFill="1" applyBorder="1" applyAlignment="1">
      <alignment horizontal="center" vertical="center" readingOrder="2"/>
    </xf>
    <xf numFmtId="169" fontId="39" fillId="0" borderId="29" xfId="70" applyNumberFormat="1" applyFont="1" applyFill="1" applyBorder="1" applyAlignment="1">
      <alignment horizontal="center" vertical="center" shrinkToFit="1"/>
    </xf>
    <xf numFmtId="170" fontId="33" fillId="0" borderId="15" xfId="70" applyNumberFormat="1" applyFont="1" applyFill="1" applyBorder="1" applyAlignment="1">
      <alignment horizontal="center" vertical="center" readingOrder="2"/>
    </xf>
    <xf numFmtId="170" fontId="39" fillId="0" borderId="15" xfId="70" applyNumberFormat="1" applyFont="1" applyFill="1" applyBorder="1" applyAlignment="1">
      <alignment horizontal="center" vertical="center" readingOrder="2"/>
    </xf>
    <xf numFmtId="170" fontId="38" fillId="0" borderId="21" xfId="70" applyNumberFormat="1" applyFont="1" applyFill="1" applyBorder="1" applyAlignment="1">
      <alignment horizontal="center" vertical="center" shrinkToFit="1"/>
    </xf>
    <xf numFmtId="170" fontId="70" fillId="0" borderId="47" xfId="70" applyNumberFormat="1" applyFont="1" applyFill="1" applyBorder="1" applyAlignment="1">
      <alignment horizontal="center" vertical="center" shrinkToFit="1"/>
    </xf>
    <xf numFmtId="170" fontId="45" fillId="0" borderId="50" xfId="70" applyNumberFormat="1" applyFont="1" applyFill="1" applyBorder="1" applyAlignment="1">
      <alignment horizontal="center" vertical="center" shrinkToFit="1"/>
    </xf>
    <xf numFmtId="170" fontId="39" fillId="0" borderId="50" xfId="70" applyNumberFormat="1" applyFont="1" applyFill="1" applyBorder="1" applyAlignment="1">
      <alignment vertical="center" shrinkToFit="1"/>
    </xf>
    <xf numFmtId="170" fontId="45" fillId="0" borderId="0" xfId="70" applyNumberFormat="1" applyFont="1" applyFill="1" applyBorder="1" applyAlignment="1">
      <alignment horizontal="center" vertical="center" shrinkToFit="1"/>
    </xf>
    <xf numFmtId="170" fontId="39" fillId="0" borderId="0" xfId="70" applyNumberFormat="1" applyFont="1" applyFill="1" applyBorder="1" applyAlignment="1">
      <alignment vertical="center" shrinkToFit="1"/>
    </xf>
    <xf numFmtId="3" fontId="39" fillId="0" borderId="0" xfId="70" applyNumberFormat="1" applyFont="1" applyFill="1" applyBorder="1" applyAlignment="1">
      <alignment horizontal="center" vertical="center" shrinkToFit="1"/>
    </xf>
    <xf numFmtId="49" fontId="33" fillId="0" borderId="0" xfId="70" applyNumberFormat="1" applyFont="1" applyFill="1" applyAlignment="1">
      <alignment horizontal="center" vertical="center" shrinkToFit="1"/>
    </xf>
    <xf numFmtId="169" fontId="39" fillId="0" borderId="0" xfId="70" applyNumberFormat="1" applyFont="1" applyFill="1" applyBorder="1" applyAlignment="1">
      <alignment horizontal="center" vertical="center" shrinkToFit="1"/>
    </xf>
    <xf numFmtId="169" fontId="47" fillId="0" borderId="0" xfId="70" applyNumberFormat="1" applyFont="1" applyFill="1" applyAlignment="1">
      <alignment horizontal="center" vertical="center" wrapText="1" shrinkToFit="1"/>
    </xf>
    <xf numFmtId="3" fontId="47" fillId="0" borderId="0" xfId="70" applyNumberFormat="1" applyFont="1" applyFill="1" applyAlignment="1">
      <alignment horizontal="center" vertical="center" wrapText="1" shrinkToFit="1"/>
    </xf>
    <xf numFmtId="169" fontId="47" fillId="0" borderId="0" xfId="70" applyNumberFormat="1" applyFont="1" applyFill="1" applyBorder="1" applyAlignment="1">
      <alignment horizontal="center" vertical="center" wrapText="1" shrinkToFit="1"/>
    </xf>
    <xf numFmtId="169" fontId="47" fillId="0" borderId="0" xfId="70" applyNumberFormat="1" applyFont="1" applyFill="1" applyAlignment="1">
      <alignment horizontal="center" vertical="center" shrinkToFit="1"/>
    </xf>
    <xf numFmtId="3" fontId="47" fillId="0" borderId="0" xfId="70" applyNumberFormat="1" applyFont="1" applyFill="1" applyAlignment="1">
      <alignment horizontal="center" vertical="center" shrinkToFit="1"/>
    </xf>
    <xf numFmtId="3" fontId="33" fillId="0" borderId="0" xfId="70" applyNumberFormat="1" applyFont="1" applyFill="1" applyAlignment="1">
      <alignment horizontal="center" vertical="center" shrinkToFit="1"/>
    </xf>
    <xf numFmtId="0" fontId="26" fillId="0" borderId="0" xfId="0" applyFont="1" applyFill="1" applyAlignment="1">
      <alignment vertical="center" wrapText="1" readingOrder="2"/>
    </xf>
    <xf numFmtId="3" fontId="26" fillId="0" borderId="0" xfId="0" applyNumberFormat="1" applyFont="1" applyFill="1" applyAlignment="1">
      <alignment vertical="center" wrapText="1" readingOrder="2"/>
    </xf>
    <xf numFmtId="49" fontId="34" fillId="0" borderId="0" xfId="70" applyNumberFormat="1" applyFont="1" applyFill="1" applyAlignment="1">
      <alignment horizontal="center" vertical="center" shrinkToFit="1"/>
    </xf>
    <xf numFmtId="171" fontId="47" fillId="0" borderId="24" xfId="1" applyNumberFormat="1" applyFont="1" applyFill="1" applyBorder="1" applyAlignment="1">
      <alignment horizontal="right" vertical="center" shrinkToFit="1"/>
    </xf>
    <xf numFmtId="171" fontId="37" fillId="0" borderId="0" xfId="1" applyNumberFormat="1" applyFont="1" applyFill="1" applyBorder="1" applyAlignment="1">
      <alignment horizontal="right" vertical="center" shrinkToFit="1"/>
    </xf>
    <xf numFmtId="0" fontId="110" fillId="0" borderId="27" xfId="174" applyFont="1" applyFill="1" applyBorder="1" applyAlignment="1">
      <alignment horizontal="right" shrinkToFit="1"/>
    </xf>
    <xf numFmtId="0" fontId="37" fillId="0" borderId="27" xfId="69" applyFont="1" applyFill="1" applyBorder="1" applyAlignment="1">
      <alignment vertical="center" shrinkToFit="1"/>
    </xf>
    <xf numFmtId="0" fontId="110" fillId="0" borderId="24" xfId="174" applyFont="1" applyFill="1" applyBorder="1" applyAlignment="1">
      <alignment horizontal="right" shrinkToFit="1"/>
    </xf>
    <xf numFmtId="169" fontId="41" fillId="0" borderId="0" xfId="0" applyNumberFormat="1" applyFont="1" applyFill="1" applyBorder="1" applyAlignment="1">
      <alignment horizontal="center" vertical="center" shrinkToFit="1"/>
    </xf>
    <xf numFmtId="49" fontId="33" fillId="0" borderId="23" xfId="70" applyNumberFormat="1" applyFont="1" applyFill="1" applyBorder="1" applyAlignment="1">
      <alignment horizontal="center" vertical="center" shrinkToFit="1"/>
    </xf>
    <xf numFmtId="49" fontId="33" fillId="0" borderId="27" xfId="0" applyNumberFormat="1" applyFont="1" applyFill="1" applyBorder="1" applyAlignment="1">
      <alignment horizontal="center" vertical="center" shrinkToFit="1"/>
    </xf>
    <xf numFmtId="0" fontId="110" fillId="0" borderId="27" xfId="168" applyFont="1" applyFill="1" applyBorder="1" applyAlignment="1">
      <alignment horizontal="center" shrinkToFit="1"/>
    </xf>
    <xf numFmtId="49" fontId="37" fillId="0" borderId="27" xfId="70" applyNumberFormat="1" applyFont="1" applyFill="1" applyBorder="1" applyAlignment="1">
      <alignment horizontal="center" vertical="center" shrinkToFit="1"/>
    </xf>
    <xf numFmtId="49" fontId="37" fillId="0" borderId="23" xfId="0" applyNumberFormat="1" applyFont="1" applyFill="1" applyBorder="1" applyAlignment="1">
      <alignment horizontal="center" vertical="center" shrinkToFit="1"/>
    </xf>
    <xf numFmtId="49" fontId="41" fillId="0" borderId="0" xfId="0" applyNumberFormat="1" applyFont="1" applyFill="1" applyBorder="1" applyAlignment="1">
      <alignment horizontal="center" vertical="center" textRotation="90" shrinkToFit="1"/>
    </xf>
    <xf numFmtId="49" fontId="37" fillId="0" borderId="27" xfId="126" applyNumberFormat="1" applyFont="1" applyFill="1" applyBorder="1" applyAlignment="1">
      <alignment horizontal="center" vertical="center" shrinkToFit="1"/>
    </xf>
    <xf numFmtId="0" fontId="47" fillId="0" borderId="27" xfId="74" applyFont="1" applyFill="1" applyBorder="1" applyAlignment="1">
      <alignment horizontal="center" vertical="center" shrinkToFit="1"/>
    </xf>
    <xf numFmtId="49" fontId="37" fillId="0" borderId="27" xfId="124" applyNumberFormat="1" applyFont="1" applyFill="1" applyBorder="1" applyAlignment="1">
      <alignment horizontal="center" vertical="center" shrinkToFit="1"/>
    </xf>
    <xf numFmtId="0" fontId="110" fillId="0" borderId="27" xfId="174" quotePrefix="1" applyFont="1" applyFill="1" applyBorder="1" applyAlignment="1">
      <alignment horizontal="center" shrinkToFit="1"/>
    </xf>
    <xf numFmtId="49" fontId="37" fillId="0" borderId="27" xfId="76" applyNumberFormat="1" applyFont="1" applyFill="1" applyBorder="1" applyAlignment="1">
      <alignment horizontal="center" vertical="center" shrinkToFit="1"/>
    </xf>
    <xf numFmtId="0" fontId="110" fillId="0" borderId="27" xfId="174" applyFont="1" applyFill="1" applyBorder="1" applyAlignment="1">
      <alignment horizontal="center" shrinkToFit="1"/>
    </xf>
    <xf numFmtId="0" fontId="110" fillId="0" borderId="27" xfId="165" quotePrefix="1" applyFont="1" applyFill="1" applyBorder="1" applyAlignment="1">
      <alignment horizontal="center"/>
    </xf>
    <xf numFmtId="0" fontId="110" fillId="0" borderId="27" xfId="165" applyFont="1" applyFill="1" applyBorder="1" applyAlignment="1">
      <alignment horizontal="center" shrinkToFit="1"/>
    </xf>
    <xf numFmtId="169" fontId="39" fillId="0" borderId="27" xfId="70" applyNumberFormat="1" applyFont="1" applyFill="1" applyBorder="1" applyAlignment="1">
      <alignment horizontal="center" vertical="center" shrinkToFit="1"/>
    </xf>
    <xf numFmtId="0" fontId="110" fillId="0" borderId="27" xfId="165" applyFont="1" applyFill="1" applyBorder="1" applyAlignment="1">
      <alignment horizontal="center"/>
    </xf>
    <xf numFmtId="0" fontId="110" fillId="0" borderId="31" xfId="165" applyFont="1" applyFill="1" applyBorder="1" applyAlignment="1">
      <alignment horizontal="center" shrinkToFit="1"/>
    </xf>
    <xf numFmtId="170" fontId="37" fillId="0" borderId="37" xfId="70" applyNumberFormat="1" applyFont="1" applyFill="1" applyBorder="1" applyAlignment="1">
      <alignment horizontal="center" vertical="center" shrinkToFit="1"/>
    </xf>
    <xf numFmtId="49" fontId="41" fillId="0" borderId="15" xfId="0" applyNumberFormat="1" applyFont="1" applyFill="1" applyBorder="1" applyAlignment="1">
      <alignment horizontal="center" vertical="center" textRotation="90" shrinkToFit="1"/>
    </xf>
    <xf numFmtId="0" fontId="37" fillId="0" borderId="27" xfId="0" applyFont="1" applyFill="1" applyBorder="1" applyAlignment="1">
      <alignment horizontal="center" vertical="center" shrinkToFit="1"/>
    </xf>
    <xf numFmtId="49" fontId="33" fillId="0" borderId="31" xfId="0" applyNumberFormat="1" applyFont="1" applyFill="1" applyBorder="1" applyAlignment="1">
      <alignment horizontal="center" vertical="center" shrinkToFit="1"/>
    </xf>
    <xf numFmtId="170" fontId="35" fillId="0" borderId="0" xfId="0" applyNumberFormat="1" applyFont="1" applyFill="1" applyAlignment="1">
      <alignment horizontal="center" vertical="center" readingOrder="2"/>
    </xf>
    <xf numFmtId="170" fontId="38" fillId="0" borderId="0" xfId="70" applyNumberFormat="1" applyFont="1" applyFill="1" applyAlignment="1">
      <alignment horizontal="center" vertical="center" shrinkToFit="1" readingOrder="2"/>
    </xf>
    <xf numFmtId="170" fontId="41" fillId="0" borderId="17" xfId="70" applyNumberFormat="1" applyFont="1" applyFill="1" applyBorder="1" applyAlignment="1">
      <alignment horizontal="center" vertical="center" shrinkToFit="1" readingOrder="2"/>
    </xf>
    <xf numFmtId="0" fontId="110" fillId="0" borderId="15" xfId="165" applyFont="1" applyFill="1" applyBorder="1" applyAlignment="1">
      <alignment horizontal="right" shrinkToFit="1"/>
    </xf>
    <xf numFmtId="169" fontId="42" fillId="0" borderId="15" xfId="70" applyNumberFormat="1" applyFont="1" applyFill="1" applyBorder="1" applyAlignment="1">
      <alignment horizontal="right" vertical="center" shrinkToFit="1"/>
    </xf>
    <xf numFmtId="169" fontId="35" fillId="0" borderId="0" xfId="70" applyNumberFormat="1" applyFont="1" applyFill="1" applyAlignment="1">
      <alignment horizontal="center" vertical="center" shrinkToFit="1" readingOrder="2"/>
    </xf>
    <xf numFmtId="169" fontId="39" fillId="0" borderId="0" xfId="70" applyNumberFormat="1" applyFont="1" applyFill="1" applyAlignment="1">
      <alignment vertical="center" shrinkToFit="1"/>
    </xf>
    <xf numFmtId="0" fontId="120" fillId="0" borderId="0" xfId="0" applyFont="1" applyFill="1" applyAlignment="1">
      <alignment vertical="center"/>
    </xf>
    <xf numFmtId="49" fontId="39" fillId="0" borderId="0" xfId="70" applyNumberFormat="1" applyFont="1" applyFill="1" applyAlignment="1">
      <alignment vertical="center" shrinkToFit="1"/>
    </xf>
    <xf numFmtId="49" fontId="39" fillId="0" borderId="0" xfId="70" applyNumberFormat="1" applyFont="1" applyFill="1" applyAlignment="1">
      <alignment horizontal="right" vertical="center" shrinkToFit="1"/>
    </xf>
    <xf numFmtId="170" fontId="41" fillId="0" borderId="0" xfId="70" applyNumberFormat="1" applyFont="1" applyFill="1" applyAlignment="1">
      <alignment vertical="center" readingOrder="2"/>
    </xf>
    <xf numFmtId="169" fontId="40" fillId="0" borderId="0" xfId="70" applyNumberFormat="1" applyFont="1" applyFill="1" applyAlignment="1">
      <alignment horizontal="right" vertical="center" shrinkToFit="1" readingOrder="2"/>
    </xf>
    <xf numFmtId="169" fontId="40" fillId="0" borderId="0" xfId="70" applyNumberFormat="1" applyFont="1" applyFill="1" applyAlignment="1">
      <alignment horizontal="center" vertical="center" shrinkToFit="1" readingOrder="2"/>
    </xf>
    <xf numFmtId="3" fontId="41" fillId="0" borderId="1" xfId="0" applyNumberFormat="1" applyFont="1" applyFill="1" applyBorder="1" applyAlignment="1">
      <alignment horizontal="center" vertical="center" shrinkToFit="1" readingOrder="2"/>
    </xf>
    <xf numFmtId="3" fontId="41" fillId="0" borderId="0" xfId="0" applyNumberFormat="1" applyFont="1" applyFill="1" applyAlignment="1">
      <alignment horizontal="center" vertical="center" shrinkToFit="1" readingOrder="2"/>
    </xf>
    <xf numFmtId="49" fontId="37" fillId="0" borderId="0" xfId="0" applyNumberFormat="1" applyFont="1" applyFill="1" applyAlignment="1">
      <alignment horizontal="center" vertical="center" shrinkToFit="1" readingOrder="2"/>
    </xf>
    <xf numFmtId="169" fontId="36" fillId="0" borderId="0" xfId="70" applyNumberFormat="1" applyFont="1" applyFill="1" applyAlignment="1">
      <alignment horizontal="center" vertical="center" shrinkToFit="1" readingOrder="2"/>
    </xf>
    <xf numFmtId="169" fontId="36" fillId="0" borderId="33" xfId="70" applyNumberFormat="1" applyFont="1" applyFill="1" applyBorder="1" applyAlignment="1">
      <alignment horizontal="center" vertical="center" shrinkToFit="1" readingOrder="2"/>
    </xf>
    <xf numFmtId="169" fontId="39" fillId="0" borderId="33" xfId="70" applyNumberFormat="1" applyFont="1" applyFill="1" applyBorder="1" applyAlignment="1">
      <alignment horizontal="center" vertical="center" shrinkToFit="1"/>
    </xf>
    <xf numFmtId="49" fontId="41" fillId="0" borderId="0" xfId="0" applyNumberFormat="1" applyFont="1" applyFill="1" applyAlignment="1">
      <alignment horizontal="right" vertical="center" shrinkToFit="1" readingOrder="2"/>
    </xf>
    <xf numFmtId="172" fontId="37" fillId="0" borderId="0" xfId="0" applyNumberFormat="1" applyFont="1" applyFill="1" applyAlignment="1">
      <alignment horizontal="center" vertical="center" shrinkToFit="1" readingOrder="2"/>
    </xf>
    <xf numFmtId="49" fontId="38" fillId="0" borderId="0" xfId="0" applyNumberFormat="1" applyFont="1" applyFill="1" applyAlignment="1">
      <alignment horizontal="right" vertical="center" shrinkToFit="1" readingOrder="2"/>
    </xf>
    <xf numFmtId="169" fontId="41" fillId="0" borderId="0" xfId="70" applyNumberFormat="1" applyFont="1" applyFill="1" applyAlignment="1">
      <alignment horizontal="center" vertical="center" shrinkToFit="1"/>
    </xf>
    <xf numFmtId="169" fontId="120" fillId="0" borderId="0" xfId="0" applyNumberFormat="1" applyFont="1" applyFill="1" applyAlignment="1">
      <alignment vertical="center"/>
    </xf>
    <xf numFmtId="169" fontId="41" fillId="0" borderId="0" xfId="70" applyNumberFormat="1" applyFont="1" applyFill="1" applyAlignment="1">
      <alignment horizontal="center" vertical="center" shrinkToFit="1" readingOrder="2"/>
    </xf>
    <xf numFmtId="170" fontId="40" fillId="0" borderId="0" xfId="70" applyNumberFormat="1" applyFont="1" applyFill="1" applyBorder="1" applyAlignment="1">
      <alignment horizontal="center" vertical="center" shrinkToFit="1" readingOrder="2"/>
    </xf>
    <xf numFmtId="169" fontId="42" fillId="0" borderId="15" xfId="70" applyNumberFormat="1" applyFont="1" applyFill="1" applyBorder="1" applyAlignment="1">
      <alignment horizontal="center" vertical="center" wrapText="1" shrinkToFit="1"/>
    </xf>
    <xf numFmtId="170" fontId="41" fillId="0" borderId="0" xfId="70" applyNumberFormat="1" applyFont="1" applyFill="1" applyBorder="1" applyAlignment="1">
      <alignment horizontal="center" vertical="center" shrinkToFit="1"/>
    </xf>
    <xf numFmtId="169" fontId="33" fillId="0" borderId="16" xfId="0" applyNumberFormat="1" applyFont="1" applyFill="1" applyBorder="1" applyAlignment="1">
      <alignment horizontal="right" vertical="center" wrapText="1" shrinkToFit="1"/>
    </xf>
    <xf numFmtId="169" fontId="33" fillId="0" borderId="16" xfId="70" applyNumberFormat="1" applyFont="1" applyFill="1" applyBorder="1" applyAlignment="1">
      <alignment horizontal="right" vertical="center" wrapText="1" shrinkToFit="1"/>
    </xf>
    <xf numFmtId="0" fontId="33" fillId="0" borderId="16" xfId="98" applyFont="1" applyFill="1" applyBorder="1" applyAlignment="1">
      <alignment horizontal="right" vertical="center" wrapText="1" shrinkToFit="1"/>
    </xf>
    <xf numFmtId="170" fontId="39" fillId="0" borderId="0" xfId="77" applyNumberFormat="1" applyFont="1" applyFill="1" applyAlignment="1">
      <alignment vertical="center"/>
    </xf>
    <xf numFmtId="49" fontId="33" fillId="0" borderId="15" xfId="122" applyNumberFormat="1" applyFont="1" applyFill="1" applyBorder="1" applyAlignment="1">
      <alignment horizontal="center" vertical="center" shrinkToFit="1"/>
    </xf>
    <xf numFmtId="169" fontId="33" fillId="0" borderId="15" xfId="122" applyNumberFormat="1" applyFont="1" applyFill="1" applyBorder="1" applyAlignment="1">
      <alignment horizontal="right" vertical="center" wrapText="1" shrinkToFit="1"/>
    </xf>
    <xf numFmtId="170" fontId="37" fillId="0" borderId="0" xfId="0" applyNumberFormat="1" applyFont="1" applyFill="1" applyAlignment="1">
      <alignment vertical="center"/>
    </xf>
    <xf numFmtId="0" fontId="119" fillId="0" borderId="16" xfId="77" applyFont="1" applyFill="1" applyBorder="1" applyAlignment="1">
      <alignment vertical="center" shrinkToFit="1"/>
    </xf>
    <xf numFmtId="169" fontId="39" fillId="0" borderId="15" xfId="70" applyNumberFormat="1" applyFont="1" applyFill="1" applyBorder="1" applyAlignment="1">
      <alignment vertical="center" shrinkToFit="1"/>
    </xf>
    <xf numFmtId="169" fontId="36" fillId="0" borderId="15" xfId="70" applyNumberFormat="1" applyFont="1" applyFill="1" applyBorder="1" applyAlignment="1">
      <alignment horizontal="center" vertical="center" shrinkToFit="1"/>
    </xf>
    <xf numFmtId="3" fontId="39" fillId="0" borderId="0" xfId="70" applyNumberFormat="1" applyFont="1" applyFill="1" applyAlignment="1">
      <alignment vertical="center" shrinkToFit="1"/>
    </xf>
    <xf numFmtId="49" fontId="37" fillId="0" borderId="16" xfId="70" applyNumberFormat="1" applyFont="1" applyFill="1" applyBorder="1" applyAlignment="1">
      <alignment horizontal="center" vertical="center" shrinkToFit="1"/>
    </xf>
    <xf numFmtId="169" fontId="39" fillId="0" borderId="0" xfId="70" applyNumberFormat="1" applyFont="1" applyFill="1" applyBorder="1" applyAlignment="1">
      <alignment vertical="center" textRotation="90" shrinkToFit="1"/>
    </xf>
    <xf numFmtId="170" fontId="34" fillId="0" borderId="0" xfId="70" applyNumberFormat="1" applyFont="1" applyFill="1" applyBorder="1" applyAlignment="1">
      <alignment horizontal="center" vertical="center" shrinkToFit="1"/>
    </xf>
    <xf numFmtId="169" fontId="33" fillId="0" borderId="15" xfId="70" applyNumberFormat="1" applyFont="1" applyFill="1" applyBorder="1" applyAlignment="1">
      <alignment horizontal="center" vertical="center" wrapText="1" shrinkToFit="1"/>
    </xf>
    <xf numFmtId="0" fontId="33" fillId="0" borderId="16" xfId="77" applyFont="1" applyFill="1" applyBorder="1" applyAlignment="1">
      <alignment vertical="center" wrapText="1" shrinkToFit="1"/>
    </xf>
    <xf numFmtId="0" fontId="33" fillId="0" borderId="16" xfId="98" applyFont="1" applyFill="1" applyBorder="1" applyAlignment="1">
      <alignment horizontal="right" vertical="center" wrapText="1"/>
    </xf>
    <xf numFmtId="0" fontId="33" fillId="0" borderId="16" xfId="77" applyFont="1" applyFill="1" applyBorder="1" applyAlignment="1">
      <alignment vertical="center" shrinkToFit="1"/>
    </xf>
    <xf numFmtId="0" fontId="33" fillId="0" borderId="16" xfId="98" applyFont="1" applyFill="1" applyBorder="1" applyAlignment="1">
      <alignment vertical="center" wrapText="1" shrinkToFit="1"/>
    </xf>
    <xf numFmtId="49" fontId="38" fillId="0" borderId="0" xfId="70" applyNumberFormat="1" applyFont="1" applyFill="1" applyBorder="1" applyAlignment="1">
      <alignment horizontal="center" vertical="center" shrinkToFit="1"/>
    </xf>
    <xf numFmtId="169" fontId="42" fillId="0" borderId="0" xfId="70" applyNumberFormat="1" applyFont="1" applyFill="1" applyBorder="1" applyAlignment="1">
      <alignment horizontal="center" vertical="center" wrapText="1" shrinkToFit="1"/>
    </xf>
    <xf numFmtId="169" fontId="42" fillId="0" borderId="16" xfId="70" applyNumberFormat="1" applyFont="1" applyFill="1" applyBorder="1" applyAlignment="1">
      <alignment horizontal="center" vertical="center" shrinkToFit="1"/>
    </xf>
    <xf numFmtId="0" fontId="33" fillId="0" borderId="16" xfId="98" applyFont="1" applyFill="1" applyBorder="1" applyAlignment="1">
      <alignment horizontal="right" vertical="center" shrinkToFit="1"/>
    </xf>
    <xf numFmtId="49" fontId="33" fillId="0" borderId="16" xfId="70" applyNumberFormat="1" applyFont="1" applyFill="1" applyBorder="1" applyAlignment="1">
      <alignment horizontal="center" vertical="center" shrinkToFit="1"/>
    </xf>
    <xf numFmtId="0" fontId="33" fillId="0" borderId="16" xfId="69" applyFont="1" applyFill="1" applyBorder="1" applyAlignment="1">
      <alignment vertical="center"/>
    </xf>
    <xf numFmtId="0" fontId="33" fillId="0" borderId="16" xfId="77" applyFont="1" applyFill="1" applyBorder="1" applyAlignment="1">
      <alignment vertical="center" wrapText="1"/>
    </xf>
    <xf numFmtId="0" fontId="33" fillId="0" borderId="16" xfId="69" applyFont="1" applyFill="1" applyBorder="1" applyAlignment="1">
      <alignment vertical="center" wrapText="1"/>
    </xf>
    <xf numFmtId="170" fontId="38" fillId="0" borderId="0" xfId="70" applyNumberFormat="1" applyFont="1" applyFill="1" applyBorder="1" applyAlignment="1">
      <alignment horizontal="center" vertical="center" shrinkToFit="1"/>
    </xf>
    <xf numFmtId="169" fontId="39" fillId="0" borderId="0" xfId="70" applyNumberFormat="1" applyFont="1" applyFill="1" applyBorder="1" applyAlignment="1">
      <alignment vertical="center" shrinkToFit="1"/>
    </xf>
    <xf numFmtId="49" fontId="37" fillId="0" borderId="0" xfId="70" applyNumberFormat="1" applyFont="1" applyFill="1" applyBorder="1" applyAlignment="1">
      <alignment horizontal="center" vertical="center" shrinkToFit="1"/>
    </xf>
    <xf numFmtId="0" fontId="39" fillId="0" borderId="16" xfId="77" applyFont="1" applyFill="1" applyBorder="1" applyAlignment="1">
      <alignment vertical="center" wrapText="1" shrinkToFit="1"/>
    </xf>
    <xf numFmtId="0" fontId="33" fillId="0" borderId="15" xfId="77" applyFont="1" applyFill="1" applyBorder="1" applyAlignment="1">
      <alignment vertical="center"/>
    </xf>
    <xf numFmtId="0" fontId="39" fillId="0" borderId="15" xfId="77" applyFont="1" applyFill="1" applyBorder="1" applyAlignment="1">
      <alignment vertical="center" wrapText="1" shrinkToFit="1"/>
    </xf>
    <xf numFmtId="0" fontId="33" fillId="0" borderId="15" xfId="98" applyFont="1" applyFill="1" applyBorder="1" applyAlignment="1">
      <alignment horizontal="right" vertical="center" wrapText="1"/>
    </xf>
    <xf numFmtId="49" fontId="39" fillId="0" borderId="0" xfId="0" applyNumberFormat="1" applyFont="1" applyFill="1" applyBorder="1" applyAlignment="1">
      <alignment horizontal="center" vertical="center" shrinkToFit="1"/>
    </xf>
    <xf numFmtId="0" fontId="39" fillId="0" borderId="0" xfId="77" applyFont="1" applyFill="1" applyBorder="1" applyAlignment="1">
      <alignment vertical="center" wrapText="1" shrinkToFit="1"/>
    </xf>
    <xf numFmtId="0" fontId="33" fillId="0" borderId="15" xfId="98" applyFont="1" applyFill="1" applyBorder="1" applyAlignment="1">
      <alignment horizontal="right" vertical="center" wrapText="1" shrinkToFit="1"/>
    </xf>
    <xf numFmtId="0" fontId="39" fillId="0" borderId="15" xfId="0" applyFont="1" applyFill="1" applyBorder="1" applyAlignment="1">
      <alignment horizontal="center" vertical="center" shrinkToFit="1"/>
    </xf>
    <xf numFmtId="0" fontId="39" fillId="0" borderId="15" xfId="0" applyFont="1" applyFill="1" applyBorder="1" applyAlignment="1">
      <alignment horizontal="right" vertical="center" wrapText="1" shrinkToFit="1"/>
    </xf>
    <xf numFmtId="49" fontId="39" fillId="0" borderId="15" xfId="70" applyNumberFormat="1" applyFont="1" applyFill="1" applyBorder="1" applyAlignment="1">
      <alignment horizontal="center" vertical="center" shrinkToFit="1"/>
    </xf>
    <xf numFmtId="169" fontId="39" fillId="0" borderId="15" xfId="70" applyNumberFormat="1" applyFont="1" applyFill="1" applyBorder="1" applyAlignment="1">
      <alignment horizontal="right" vertical="center" shrinkToFit="1"/>
    </xf>
    <xf numFmtId="169" fontId="39" fillId="0" borderId="15" xfId="70" applyNumberFormat="1" applyFont="1" applyFill="1" applyBorder="1" applyAlignment="1">
      <alignment horizontal="right" vertical="center" wrapText="1" shrinkToFit="1"/>
    </xf>
    <xf numFmtId="0" fontId="33" fillId="0" borderId="16" xfId="0" applyFont="1" applyFill="1" applyBorder="1" applyAlignment="1">
      <alignment vertical="center" wrapText="1" shrinkToFit="1"/>
    </xf>
    <xf numFmtId="49" fontId="39" fillId="0" borderId="5" xfId="70" applyNumberFormat="1" applyFont="1" applyFill="1" applyBorder="1" applyAlignment="1">
      <alignment horizontal="center" vertical="center" shrinkToFit="1"/>
    </xf>
    <xf numFmtId="169" fontId="39" fillId="0" borderId="15" xfId="70" applyNumberFormat="1" applyFont="1" applyFill="1" applyBorder="1" applyAlignment="1">
      <alignment horizontal="right" vertical="center" shrinkToFit="1" readingOrder="2"/>
    </xf>
    <xf numFmtId="0" fontId="39" fillId="0" borderId="15" xfId="77" applyFont="1" applyFill="1" applyBorder="1" applyAlignment="1">
      <alignment vertical="center" shrinkToFit="1"/>
    </xf>
    <xf numFmtId="170" fontId="39" fillId="0" borderId="0" xfId="77" applyNumberFormat="1" applyFont="1" applyFill="1" applyAlignment="1">
      <alignment vertical="center" shrinkToFit="1"/>
    </xf>
    <xf numFmtId="169" fontId="39" fillId="0" borderId="15" xfId="0" applyNumberFormat="1" applyFont="1" applyFill="1" applyBorder="1" applyAlignment="1">
      <alignment horizontal="right" vertical="center" shrinkToFit="1"/>
    </xf>
    <xf numFmtId="0" fontId="39" fillId="0" borderId="15" xfId="77" applyFont="1" applyFill="1" applyBorder="1" applyAlignment="1">
      <alignment horizontal="right" vertical="center" wrapText="1" shrinkToFit="1"/>
    </xf>
    <xf numFmtId="169" fontId="39" fillId="0" borderId="15" xfId="70" applyNumberFormat="1" applyFont="1" applyFill="1" applyBorder="1" applyAlignment="1">
      <alignment horizontal="center" vertical="center" shrinkToFit="1" readingOrder="2"/>
    </xf>
    <xf numFmtId="0" fontId="39" fillId="0" borderId="15" xfId="98" applyFont="1" applyFill="1" applyBorder="1" applyAlignment="1">
      <alignment horizontal="right" vertical="center" shrinkToFit="1"/>
    </xf>
    <xf numFmtId="170" fontId="39" fillId="0" borderId="0" xfId="70" applyNumberFormat="1" applyFont="1" applyFill="1" applyAlignment="1">
      <alignment vertical="center" shrinkToFit="1"/>
    </xf>
    <xf numFmtId="49" fontId="39" fillId="0" borderId="15" xfId="70" applyNumberFormat="1" applyFont="1" applyFill="1" applyBorder="1" applyAlignment="1">
      <alignment horizontal="center" vertical="center"/>
    </xf>
    <xf numFmtId="0" fontId="39" fillId="0" borderId="16" xfId="0" applyFont="1" applyFill="1" applyBorder="1" applyAlignment="1">
      <alignment vertical="center" wrapText="1" shrinkToFit="1"/>
    </xf>
    <xf numFmtId="169" fontId="42" fillId="0" borderId="16" xfId="70" applyNumberFormat="1" applyFont="1" applyFill="1" applyBorder="1" applyAlignment="1">
      <alignment horizontal="center" vertical="center" wrapText="1" shrinkToFit="1"/>
    </xf>
    <xf numFmtId="49" fontId="39" fillId="0" borderId="15" xfId="126" applyNumberFormat="1" applyFont="1" applyFill="1" applyBorder="1" applyAlignment="1">
      <alignment horizontal="center" vertical="center" shrinkToFit="1"/>
    </xf>
    <xf numFmtId="49" fontId="39" fillId="0" borderId="15" xfId="126" applyNumberFormat="1" applyFont="1" applyFill="1" applyBorder="1" applyAlignment="1">
      <alignment horizontal="right" vertical="center" shrinkToFit="1"/>
    </xf>
    <xf numFmtId="170" fontId="42" fillId="0" borderId="15" xfId="70" applyNumberFormat="1" applyFont="1" applyFill="1" applyBorder="1" applyAlignment="1">
      <alignment horizontal="center" vertical="center" wrapText="1" shrinkToFit="1"/>
    </xf>
    <xf numFmtId="169" fontId="35" fillId="0" borderId="0" xfId="70" applyNumberFormat="1" applyFont="1" applyFill="1" applyBorder="1" applyAlignment="1">
      <alignment horizontal="center" vertical="center" shrinkToFit="1" readingOrder="2"/>
    </xf>
    <xf numFmtId="170" fontId="34" fillId="0" borderId="28" xfId="70" applyNumberFormat="1" applyFont="1" applyFill="1" applyBorder="1" applyAlignment="1">
      <alignment horizontal="center" vertical="center" shrinkToFit="1"/>
    </xf>
    <xf numFmtId="169" fontId="42" fillId="0" borderId="29" xfId="70" applyNumberFormat="1" applyFont="1" applyFill="1" applyBorder="1" applyAlignment="1">
      <alignment horizontal="center" vertical="center" shrinkToFit="1"/>
    </xf>
    <xf numFmtId="169" fontId="39" fillId="0" borderId="16" xfId="70" applyNumberFormat="1" applyFont="1" applyFill="1" applyBorder="1" applyAlignment="1">
      <alignment horizontal="right" vertical="center" wrapText="1" shrinkToFit="1"/>
    </xf>
    <xf numFmtId="0" fontId="39" fillId="0" borderId="15" xfId="98" applyFont="1" applyFill="1" applyBorder="1" applyAlignment="1">
      <alignment horizontal="right" vertical="center" wrapText="1" shrinkToFit="1"/>
    </xf>
    <xf numFmtId="49" fontId="24" fillId="0" borderId="15" xfId="70" applyNumberFormat="1" applyFont="1" applyFill="1" applyBorder="1" applyAlignment="1">
      <alignment horizontal="center" vertical="center" shrinkToFit="1"/>
    </xf>
    <xf numFmtId="169" fontId="24" fillId="0" borderId="15" xfId="70" applyNumberFormat="1" applyFont="1" applyFill="1" applyBorder="1" applyAlignment="1">
      <alignment horizontal="right" vertical="center" wrapText="1" shrinkToFit="1"/>
    </xf>
    <xf numFmtId="169" fontId="24" fillId="0" borderId="0" xfId="70" applyNumberFormat="1" applyFont="1" applyFill="1" applyAlignment="1">
      <alignment vertical="center" shrinkToFit="1"/>
    </xf>
    <xf numFmtId="0" fontId="39" fillId="0" borderId="15" xfId="98" applyFont="1" applyFill="1" applyBorder="1" applyAlignment="1">
      <alignment horizontal="right" vertical="center" wrapText="1"/>
    </xf>
    <xf numFmtId="0" fontId="39" fillId="0" borderId="15" xfId="0" applyFont="1" applyFill="1" applyBorder="1" applyAlignment="1">
      <alignment horizontal="right" vertical="center" shrinkToFit="1"/>
    </xf>
    <xf numFmtId="169" fontId="39" fillId="0" borderId="15" xfId="0" applyNumberFormat="1" applyFont="1" applyFill="1" applyBorder="1" applyAlignment="1">
      <alignment horizontal="right" vertical="center" wrapText="1" shrinkToFit="1"/>
    </xf>
    <xf numFmtId="169" fontId="39" fillId="0" borderId="16" xfId="0" applyNumberFormat="1" applyFont="1" applyFill="1" applyBorder="1" applyAlignment="1">
      <alignment horizontal="right" vertical="center" wrapText="1" shrinkToFit="1"/>
    </xf>
    <xf numFmtId="0" fontId="39" fillId="0" borderId="16" xfId="98" applyFont="1" applyFill="1" applyBorder="1" applyAlignment="1">
      <alignment horizontal="right" vertical="center" wrapText="1" shrinkToFit="1"/>
    </xf>
    <xf numFmtId="49" fontId="39" fillId="0" borderId="15" xfId="76" applyNumberFormat="1" applyFont="1" applyFill="1" applyBorder="1" applyAlignment="1">
      <alignment horizontal="center" vertical="center" shrinkToFit="1"/>
    </xf>
    <xf numFmtId="0" fontId="39" fillId="0" borderId="16" xfId="69" applyFont="1" applyFill="1" applyBorder="1" applyAlignment="1">
      <alignment vertical="center"/>
    </xf>
    <xf numFmtId="0" fontId="39" fillId="0" borderId="16" xfId="98" applyFont="1" applyFill="1" applyBorder="1" applyAlignment="1">
      <alignment vertical="center" wrapText="1" shrinkToFit="1"/>
    </xf>
    <xf numFmtId="170" fontId="37" fillId="0" borderId="15" xfId="0" applyNumberFormat="1" applyFont="1" applyFill="1" applyBorder="1" applyAlignment="1">
      <alignment horizontal="center" vertical="center" shrinkToFit="1"/>
    </xf>
    <xf numFmtId="169" fontId="42" fillId="0" borderId="34" xfId="70" applyNumberFormat="1" applyFont="1" applyFill="1" applyBorder="1" applyAlignment="1">
      <alignment horizontal="center" vertical="center" shrinkToFit="1"/>
    </xf>
    <xf numFmtId="169" fontId="34" fillId="0" borderId="0" xfId="70" applyNumberFormat="1" applyFont="1" applyFill="1" applyBorder="1" applyAlignment="1">
      <alignment horizontal="center" vertical="center" shrinkToFit="1"/>
    </xf>
    <xf numFmtId="0" fontId="39" fillId="0" borderId="15" xfId="77" applyFont="1" applyFill="1" applyBorder="1" applyAlignment="1">
      <alignment vertical="center"/>
    </xf>
    <xf numFmtId="169" fontId="37" fillId="0" borderId="15" xfId="0" applyNumberFormat="1" applyFont="1" applyFill="1" applyBorder="1" applyAlignment="1">
      <alignment horizontal="right" vertical="center" wrapText="1" shrinkToFit="1"/>
    </xf>
    <xf numFmtId="170" fontId="38" fillId="0" borderId="15" xfId="0" applyNumberFormat="1" applyFont="1" applyFill="1" applyBorder="1" applyAlignment="1">
      <alignment vertical="center" shrinkToFit="1"/>
    </xf>
    <xf numFmtId="0" fontId="37" fillId="0" borderId="15" xfId="77" applyFont="1" applyFill="1" applyBorder="1" applyAlignment="1">
      <alignment vertical="center" wrapText="1" shrinkToFit="1"/>
    </xf>
    <xf numFmtId="0" fontId="37" fillId="0" borderId="15" xfId="77" applyFont="1" applyFill="1" applyBorder="1" applyAlignment="1">
      <alignment vertical="center" shrinkToFit="1"/>
    </xf>
    <xf numFmtId="170" fontId="39" fillId="0" borderId="0" xfId="70" applyNumberFormat="1" applyFont="1" applyFill="1" applyAlignment="1">
      <alignment horizontal="right" vertical="center" shrinkToFit="1"/>
    </xf>
    <xf numFmtId="2" fontId="39" fillId="0" borderId="0" xfId="70" applyNumberFormat="1" applyFont="1" applyFill="1" applyAlignment="1">
      <alignment horizontal="center" vertical="center" shrinkToFit="1"/>
    </xf>
    <xf numFmtId="1" fontId="39" fillId="0" borderId="0" xfId="70" applyNumberFormat="1" applyFont="1" applyFill="1" applyAlignment="1">
      <alignment horizontal="right" vertical="center" shrinkToFit="1"/>
    </xf>
    <xf numFmtId="3" fontId="39" fillId="0" borderId="0" xfId="70" applyNumberFormat="1" applyFont="1" applyFill="1" applyAlignment="1">
      <alignment horizontal="right" vertical="center" shrinkToFit="1"/>
    </xf>
    <xf numFmtId="169" fontId="113" fillId="0" borderId="0" xfId="70" applyNumberFormat="1" applyFont="1" applyFill="1" applyAlignment="1">
      <alignment horizontal="center" vertical="center" shrinkToFit="1"/>
    </xf>
    <xf numFmtId="49" fontId="39" fillId="0" borderId="5" xfId="0" applyNumberFormat="1" applyFont="1" applyFill="1" applyBorder="1" applyAlignment="1">
      <alignment horizontal="center" vertical="center" shrinkToFit="1"/>
    </xf>
    <xf numFmtId="0" fontId="39" fillId="0" borderId="15" xfId="74" applyFont="1" applyFill="1" applyBorder="1" applyAlignment="1">
      <alignment horizontal="center" vertical="center" shrinkToFit="1"/>
    </xf>
    <xf numFmtId="0" fontId="39" fillId="0" borderId="15" xfId="74" applyFont="1" applyFill="1" applyBorder="1" applyAlignment="1">
      <alignment horizontal="right" vertical="center" shrinkToFit="1"/>
    </xf>
    <xf numFmtId="0" fontId="24" fillId="0" borderId="27" xfId="81" applyNumberFormat="1" applyFont="1" applyFill="1" applyBorder="1" applyAlignment="1" applyProtection="1">
      <alignment horizontal="right" vertical="center" shrinkToFit="1"/>
    </xf>
    <xf numFmtId="0" fontId="24" fillId="0" borderId="15" xfId="81" applyNumberFormat="1" applyFont="1" applyFill="1" applyBorder="1" applyAlignment="1" applyProtection="1">
      <alignment horizontal="right" vertical="center" shrinkToFit="1"/>
    </xf>
    <xf numFmtId="49" fontId="39" fillId="0" borderId="7" xfId="70" applyNumberFormat="1" applyFont="1" applyFill="1" applyBorder="1" applyAlignment="1">
      <alignment horizontal="center" vertical="center" shrinkToFit="1"/>
    </xf>
    <xf numFmtId="169" fontId="39" fillId="0" borderId="7" xfId="70" applyNumberFormat="1" applyFont="1" applyFill="1" applyBorder="1" applyAlignment="1">
      <alignment horizontal="right" vertical="center" shrinkToFit="1"/>
    </xf>
    <xf numFmtId="49" fontId="39" fillId="0" borderId="26" xfId="70" applyNumberFormat="1" applyFont="1" applyFill="1" applyBorder="1" applyAlignment="1">
      <alignment vertical="center" shrinkToFit="1"/>
    </xf>
    <xf numFmtId="169" fontId="39" fillId="0" borderId="26" xfId="70" applyNumberFormat="1" applyFont="1" applyFill="1" applyBorder="1" applyAlignment="1">
      <alignment horizontal="right" vertical="center" shrinkToFit="1"/>
    </xf>
    <xf numFmtId="169" fontId="42" fillId="0" borderId="27" xfId="70" applyNumberFormat="1" applyFont="1" applyFill="1" applyBorder="1" applyAlignment="1">
      <alignment horizontal="center" vertical="center" shrinkToFit="1"/>
    </xf>
    <xf numFmtId="0" fontId="39" fillId="0" borderId="30" xfId="77" applyFont="1" applyFill="1" applyBorder="1" applyAlignment="1">
      <alignment vertical="center" wrapText="1" shrinkToFit="1"/>
    </xf>
    <xf numFmtId="169" fontId="42" fillId="0" borderId="26" xfId="70" applyNumberFormat="1" applyFont="1" applyFill="1" applyBorder="1" applyAlignment="1">
      <alignment horizontal="center" vertical="center" shrinkToFit="1"/>
    </xf>
    <xf numFmtId="169" fontId="42" fillId="0" borderId="31" xfId="70" applyNumberFormat="1" applyFont="1" applyFill="1" applyBorder="1" applyAlignment="1">
      <alignment horizontal="center" vertical="center" shrinkToFit="1"/>
    </xf>
    <xf numFmtId="49" fontId="39" fillId="0" borderId="4" xfId="0" applyNumberFormat="1" applyFont="1" applyFill="1" applyBorder="1" applyAlignment="1">
      <alignment horizontal="center" vertical="center" shrinkToFit="1"/>
    </xf>
    <xf numFmtId="169" fontId="39" fillId="0" borderId="5" xfId="0" applyNumberFormat="1" applyFont="1" applyFill="1" applyBorder="1" applyAlignment="1">
      <alignment horizontal="right" vertical="center" wrapText="1" shrinkToFit="1"/>
    </xf>
    <xf numFmtId="169" fontId="39" fillId="0" borderId="5" xfId="70" applyNumberFormat="1" applyFont="1" applyFill="1" applyBorder="1" applyAlignment="1">
      <alignment horizontal="right" vertical="center" shrinkToFit="1"/>
    </xf>
    <xf numFmtId="49" fontId="39" fillId="0" borderId="6" xfId="0" applyNumberFormat="1" applyFont="1" applyFill="1" applyBorder="1" applyAlignment="1">
      <alignment horizontal="center" vertical="center" shrinkToFit="1"/>
    </xf>
    <xf numFmtId="169" fontId="39" fillId="0" borderId="5" xfId="0" applyNumberFormat="1" applyFont="1" applyFill="1" applyBorder="1" applyAlignment="1">
      <alignment horizontal="right" vertical="center" shrinkToFit="1"/>
    </xf>
    <xf numFmtId="0" fontId="39" fillId="0" borderId="16" xfId="0" applyFont="1" applyFill="1" applyBorder="1" applyAlignment="1">
      <alignment horizontal="right" vertical="center" shrinkToFit="1"/>
    </xf>
    <xf numFmtId="49" fontId="39" fillId="0" borderId="26" xfId="76" applyNumberFormat="1" applyFont="1" applyFill="1" applyBorder="1" applyAlignment="1">
      <alignment horizontal="center" vertical="center" shrinkToFit="1"/>
    </xf>
    <xf numFmtId="0" fontId="39" fillId="0" borderId="30" xfId="69" applyFont="1" applyFill="1" applyBorder="1" applyAlignment="1">
      <alignment vertical="center" wrapText="1"/>
    </xf>
    <xf numFmtId="0" fontId="110" fillId="0" borderId="15" xfId="77" applyFont="1" applyFill="1" applyBorder="1" applyAlignment="1">
      <alignment vertical="center" shrinkToFit="1"/>
    </xf>
    <xf numFmtId="169" fontId="34" fillId="0" borderId="0" xfId="70" applyNumberFormat="1" applyFont="1" applyFill="1" applyAlignment="1">
      <alignment shrinkToFit="1" readingOrder="2"/>
    </xf>
    <xf numFmtId="169" fontId="42" fillId="0" borderId="0" xfId="70" applyNumberFormat="1" applyFont="1" applyFill="1" applyBorder="1" applyAlignment="1">
      <alignment horizontal="right" shrinkToFit="1" readingOrder="2"/>
    </xf>
    <xf numFmtId="169" fontId="42" fillId="0" borderId="0" xfId="0" applyNumberFormat="1" applyFont="1" applyFill="1" applyAlignment="1">
      <alignment vertical="center" shrinkToFit="1" readingOrder="2"/>
    </xf>
    <xf numFmtId="169" fontId="34" fillId="0" borderId="22" xfId="70" applyNumberFormat="1" applyFont="1" applyFill="1" applyBorder="1" applyAlignment="1">
      <alignment vertical="center" shrinkToFit="1"/>
    </xf>
    <xf numFmtId="169" fontId="34" fillId="0" borderId="23" xfId="70" applyNumberFormat="1" applyFont="1" applyFill="1" applyBorder="1" applyAlignment="1">
      <alignment vertical="center" shrinkToFit="1"/>
    </xf>
    <xf numFmtId="170" fontId="39" fillId="0" borderId="15" xfId="70" applyNumberFormat="1" applyFont="1" applyFill="1" applyBorder="1" applyAlignment="1">
      <alignment horizontal="center" vertical="center" shrinkToFit="1" readingOrder="2"/>
    </xf>
    <xf numFmtId="170" fontId="39" fillId="0" borderId="15" xfId="0" applyNumberFormat="1" applyFont="1" applyFill="1" applyBorder="1" applyAlignment="1">
      <alignment horizontal="center" shrinkToFit="1"/>
    </xf>
    <xf numFmtId="170" fontId="33" fillId="0" borderId="15" xfId="0" applyNumberFormat="1" applyFont="1" applyFill="1" applyBorder="1" applyAlignment="1">
      <alignment horizontal="center" shrinkToFit="1"/>
    </xf>
    <xf numFmtId="170" fontId="33" fillId="0" borderId="15" xfId="0" applyNumberFormat="1" applyFont="1" applyFill="1" applyBorder="1" applyAlignment="1">
      <alignment horizontal="center"/>
    </xf>
    <xf numFmtId="49" fontId="39" fillId="0" borderId="15" xfId="122" applyNumberFormat="1" applyFont="1" applyFill="1" applyBorder="1" applyAlignment="1">
      <alignment horizontal="center" vertical="center" shrinkToFit="1"/>
    </xf>
    <xf numFmtId="169" fontId="39" fillId="0" borderId="15" xfId="122" applyNumberFormat="1" applyFont="1" applyFill="1" applyBorder="1" applyAlignment="1">
      <alignment horizontal="right" vertical="center" shrinkToFit="1"/>
    </xf>
    <xf numFmtId="0" fontId="39" fillId="0" borderId="15" xfId="98" applyFont="1" applyFill="1" applyBorder="1" applyAlignment="1">
      <alignment horizontal="right" shrinkToFit="1"/>
    </xf>
    <xf numFmtId="0" fontId="33" fillId="0" borderId="15" xfId="0" applyFont="1" applyFill="1" applyBorder="1"/>
    <xf numFmtId="0" fontId="33" fillId="0" borderId="0" xfId="0" applyFont="1" applyFill="1" applyAlignment="1">
      <alignment horizontal="right" shrinkToFit="1"/>
    </xf>
    <xf numFmtId="0" fontId="33" fillId="0" borderId="0" xfId="0" applyFont="1" applyFill="1" applyAlignment="1">
      <alignment horizontal="center"/>
    </xf>
    <xf numFmtId="0" fontId="42" fillId="0" borderId="26" xfId="0" applyFont="1" applyFill="1" applyBorder="1" applyAlignment="1">
      <alignment horizontal="center" vertical="center"/>
    </xf>
    <xf numFmtId="0" fontId="42" fillId="0" borderId="29" xfId="0" applyFont="1" applyFill="1" applyBorder="1" applyAlignment="1">
      <alignment horizontal="center" vertical="center" wrapText="1"/>
    </xf>
    <xf numFmtId="170" fontId="37" fillId="0" borderId="27" xfId="0" applyNumberFormat="1" applyFont="1" applyFill="1" applyBorder="1" applyAlignment="1">
      <alignment horizontal="center" vertical="center" shrinkToFit="1"/>
    </xf>
    <xf numFmtId="0" fontId="110" fillId="0" borderId="15" xfId="77" applyFont="1" applyFill="1" applyBorder="1" applyAlignment="1">
      <alignment shrinkToFit="1"/>
    </xf>
    <xf numFmtId="170" fontId="33" fillId="0" borderId="0" xfId="0" applyNumberFormat="1" applyFont="1" applyFill="1" applyBorder="1" applyAlignment="1">
      <alignment horizontal="center" shrinkToFit="1"/>
    </xf>
    <xf numFmtId="170" fontId="33" fillId="0" borderId="27" xfId="0" applyNumberFormat="1" applyFont="1" applyFill="1" applyBorder="1" applyAlignment="1">
      <alignment horizontal="center" vertical="center" shrinkToFit="1"/>
    </xf>
    <xf numFmtId="0" fontId="39" fillId="0" borderId="15" xfId="69" applyFont="1" applyFill="1" applyBorder="1" applyAlignment="1">
      <alignment shrinkToFit="1"/>
    </xf>
    <xf numFmtId="170" fontId="37" fillId="0" borderId="15" xfId="61" applyNumberFormat="1" applyFont="1" applyFill="1" applyBorder="1" applyAlignment="1">
      <alignment horizontal="center" vertical="center" shrinkToFit="1"/>
    </xf>
    <xf numFmtId="174" fontId="37" fillId="0" borderId="15" xfId="0" applyNumberFormat="1" applyFont="1" applyFill="1" applyBorder="1" applyAlignment="1">
      <alignment horizontal="center" shrinkToFit="1"/>
    </xf>
    <xf numFmtId="174" fontId="37" fillId="0" borderId="15" xfId="0" applyNumberFormat="1" applyFont="1" applyFill="1" applyBorder="1" applyAlignment="1">
      <alignment shrinkToFit="1"/>
    </xf>
    <xf numFmtId="170" fontId="37" fillId="0" borderId="15" xfId="0" applyNumberFormat="1" applyFont="1" applyFill="1" applyBorder="1" applyAlignment="1">
      <alignment horizontal="right" vertical="center" shrinkToFit="1"/>
    </xf>
    <xf numFmtId="169" fontId="42" fillId="0" borderId="0" xfId="0" applyNumberFormat="1" applyFont="1" applyFill="1" applyAlignment="1">
      <alignment horizontal="center"/>
    </xf>
    <xf numFmtId="170" fontId="33" fillId="0" borderId="0" xfId="0" applyNumberFormat="1" applyFont="1" applyFill="1"/>
    <xf numFmtId="170" fontId="37" fillId="0" borderId="86" xfId="70" applyNumberFormat="1" applyFont="1" applyFill="1" applyBorder="1" applyAlignment="1">
      <alignment horizontal="center" vertical="center" shrinkToFit="1"/>
    </xf>
    <xf numFmtId="170" fontId="37" fillId="0" borderId="39" xfId="70" applyNumberFormat="1" applyFont="1" applyFill="1" applyBorder="1" applyAlignment="1">
      <alignment horizontal="center" vertical="center" shrinkToFit="1"/>
    </xf>
    <xf numFmtId="0" fontId="42" fillId="0" borderId="0" xfId="0" applyFont="1" applyFill="1" applyAlignment="1">
      <alignment horizontal="center"/>
    </xf>
    <xf numFmtId="0" fontId="42" fillId="0" borderId="0" xfId="0" applyFont="1" applyFill="1" applyAlignment="1">
      <alignment horizontal="center" shrinkToFit="1"/>
    </xf>
    <xf numFmtId="170" fontId="42" fillId="0" borderId="0" xfId="0" applyNumberFormat="1" applyFont="1" applyFill="1" applyAlignment="1">
      <alignment horizontal="center"/>
    </xf>
    <xf numFmtId="171" fontId="42" fillId="0" borderId="0" xfId="0" applyNumberFormat="1" applyFont="1" applyFill="1" applyAlignment="1">
      <alignment horizontal="center" shrinkToFit="1"/>
    </xf>
    <xf numFmtId="170" fontId="42" fillId="0" borderId="0" xfId="0" applyNumberFormat="1" applyFont="1" applyFill="1" applyAlignment="1">
      <alignment horizontal="center" shrinkToFit="1"/>
    </xf>
    <xf numFmtId="170" fontId="33" fillId="0" borderId="0" xfId="0" applyNumberFormat="1" applyFont="1" applyFill="1" applyAlignment="1">
      <alignment horizontal="right" shrinkToFit="1"/>
    </xf>
    <xf numFmtId="170" fontId="33" fillId="0" borderId="0" xfId="0" applyNumberFormat="1" applyFont="1" applyFill="1" applyAlignment="1">
      <alignment horizontal="center"/>
    </xf>
    <xf numFmtId="171" fontId="33" fillId="0" borderId="0" xfId="0" applyNumberFormat="1" applyFont="1" applyFill="1" applyAlignment="1">
      <alignment horizontal="right" shrinkToFit="1"/>
    </xf>
    <xf numFmtId="0" fontId="110" fillId="0" borderId="0" xfId="149" applyFont="1" applyFill="1" applyAlignment="1">
      <alignment shrinkToFit="1"/>
    </xf>
    <xf numFmtId="0" fontId="110" fillId="0" borderId="0" xfId="149" quotePrefix="1" applyFont="1" applyFill="1" applyAlignment="1">
      <alignment shrinkToFit="1"/>
    </xf>
    <xf numFmtId="177" fontId="33" fillId="0" borderId="0" xfId="0" applyNumberFormat="1" applyFont="1" applyFill="1"/>
    <xf numFmtId="177" fontId="33" fillId="0" borderId="0" xfId="0" applyNumberFormat="1" applyFont="1" applyFill="1" applyAlignment="1">
      <alignment horizontal="center"/>
    </xf>
    <xf numFmtId="0" fontId="33" fillId="0" borderId="0" xfId="0" applyFont="1" applyFill="1" applyAlignment="1">
      <alignment horizontal="center" shrinkToFit="1"/>
    </xf>
    <xf numFmtId="0" fontId="26" fillId="0" borderId="0" xfId="0" applyFont="1" applyFill="1" applyAlignment="1">
      <alignment vertical="center"/>
    </xf>
    <xf numFmtId="169" fontId="24" fillId="0" borderId="0" xfId="0" applyNumberFormat="1" applyFont="1" applyFill="1" applyAlignment="1">
      <alignment vertical="center" shrinkToFit="1"/>
    </xf>
    <xf numFmtId="169" fontId="116" fillId="0" borderId="0" xfId="70" applyNumberFormat="1" applyFont="1" applyFill="1" applyAlignment="1">
      <alignment horizontal="right" vertical="center" shrinkToFit="1" readingOrder="2"/>
    </xf>
    <xf numFmtId="172" fontId="29" fillId="0" borderId="0" xfId="0" applyNumberFormat="1" applyFont="1" applyFill="1" applyAlignment="1">
      <alignment horizontal="center" vertical="center" shrinkToFit="1" readingOrder="2"/>
    </xf>
    <xf numFmtId="169" fontId="116" fillId="0" borderId="0" xfId="70" applyNumberFormat="1" applyFont="1" applyFill="1" applyAlignment="1">
      <alignment vertical="center" shrinkToFit="1" readingOrder="2"/>
    </xf>
    <xf numFmtId="3" fontId="29" fillId="0" borderId="1" xfId="0" applyNumberFormat="1" applyFont="1" applyFill="1" applyBorder="1" applyAlignment="1">
      <alignment horizontal="center" vertical="center" shrinkToFit="1" readingOrder="2"/>
    </xf>
    <xf numFmtId="169" fontId="29" fillId="0" borderId="0" xfId="70" applyNumberFormat="1" applyFont="1" applyFill="1" applyAlignment="1">
      <alignment vertical="center" shrinkToFit="1"/>
    </xf>
    <xf numFmtId="169" fontId="29" fillId="0" borderId="0" xfId="70" applyNumberFormat="1" applyFont="1" applyFill="1" applyAlignment="1">
      <alignment horizontal="center" vertical="center" shrinkToFit="1"/>
    </xf>
    <xf numFmtId="3" fontId="29" fillId="0" borderId="0" xfId="0" applyNumberFormat="1" applyFont="1" applyFill="1" applyAlignment="1">
      <alignment horizontal="center" vertical="center" shrinkToFit="1" readingOrder="2"/>
    </xf>
    <xf numFmtId="169" fontId="25" fillId="0" borderId="0" xfId="0" applyNumberFormat="1" applyFont="1" applyFill="1" applyAlignment="1">
      <alignment vertical="center" shrinkToFit="1"/>
    </xf>
    <xf numFmtId="49" fontId="29" fillId="0" borderId="0" xfId="0" applyNumberFormat="1" applyFont="1" applyFill="1" applyAlignment="1">
      <alignment horizontal="center" vertical="center" shrinkToFit="1" readingOrder="2"/>
    </xf>
    <xf numFmtId="169" fontId="69" fillId="0" borderId="0" xfId="70" applyNumberFormat="1" applyFont="1" applyFill="1" applyAlignment="1">
      <alignment horizontal="right" vertical="center" shrinkToFit="1" readingOrder="2"/>
    </xf>
    <xf numFmtId="169" fontId="63" fillId="0" borderId="0" xfId="0" applyNumberFormat="1" applyFont="1" applyFill="1" applyAlignment="1">
      <alignment horizontal="center" vertical="center" shrinkToFit="1" readingOrder="2"/>
    </xf>
    <xf numFmtId="169" fontId="94" fillId="0" borderId="15" xfId="0" applyNumberFormat="1" applyFont="1" applyFill="1" applyBorder="1" applyAlignment="1">
      <alignment horizontal="center" vertical="center" shrinkToFit="1" readingOrder="2"/>
    </xf>
    <xf numFmtId="169" fontId="94" fillId="0" borderId="15" xfId="0" applyNumberFormat="1" applyFont="1" applyFill="1" applyBorder="1" applyAlignment="1">
      <alignment horizontal="center" vertical="center" shrinkToFit="1"/>
    </xf>
    <xf numFmtId="49" fontId="25" fillId="0" borderId="15" xfId="0" applyNumberFormat="1" applyFont="1" applyFill="1" applyBorder="1" applyAlignment="1">
      <alignment horizontal="center" vertical="center" shrinkToFit="1" readingOrder="2"/>
    </xf>
    <xf numFmtId="170" fontId="70" fillId="0" borderId="15" xfId="129" applyNumberFormat="1" applyFont="1" applyFill="1" applyBorder="1" applyAlignment="1">
      <alignment vertical="center" shrinkToFit="1"/>
    </xf>
    <xf numFmtId="170" fontId="25" fillId="0" borderId="15" xfId="0" applyNumberFormat="1" applyFont="1" applyFill="1" applyBorder="1" applyAlignment="1">
      <alignment horizontal="center" vertical="center" shrinkToFit="1" readingOrder="2"/>
    </xf>
    <xf numFmtId="170" fontId="25" fillId="0" borderId="15" xfId="61" applyNumberFormat="1" applyFont="1" applyFill="1" applyBorder="1" applyAlignment="1">
      <alignment horizontal="center" vertical="center" shrinkToFit="1"/>
    </xf>
    <xf numFmtId="170" fontId="25" fillId="0" borderId="16" xfId="0" applyNumberFormat="1" applyFont="1" applyFill="1" applyBorder="1" applyAlignment="1">
      <alignment horizontal="center" vertical="center" shrinkToFit="1" readingOrder="2"/>
    </xf>
    <xf numFmtId="170" fontId="25" fillId="0" borderId="15" xfId="0" applyNumberFormat="1" applyFont="1" applyFill="1" applyBorder="1" applyAlignment="1">
      <alignment horizontal="center" vertical="center" shrinkToFit="1"/>
    </xf>
    <xf numFmtId="170" fontId="25" fillId="0" borderId="27" xfId="0" applyNumberFormat="1" applyFont="1" applyFill="1" applyBorder="1" applyAlignment="1">
      <alignment horizontal="center" vertical="center" shrinkToFit="1"/>
    </xf>
    <xf numFmtId="170" fontId="25" fillId="0" borderId="27" xfId="0" applyNumberFormat="1" applyFont="1" applyFill="1" applyBorder="1" applyAlignment="1">
      <alignment horizontal="center" vertical="center" shrinkToFit="1" readingOrder="2"/>
    </xf>
    <xf numFmtId="49" fontId="25" fillId="0" borderId="15" xfId="70" applyNumberFormat="1" applyFont="1" applyFill="1" applyBorder="1" applyAlignment="1">
      <alignment horizontal="center" vertical="center" shrinkToFit="1"/>
    </xf>
    <xf numFmtId="170" fontId="70" fillId="0" borderId="15" xfId="70" applyNumberFormat="1" applyFont="1" applyFill="1" applyBorder="1" applyAlignment="1">
      <alignment vertical="center" shrinkToFit="1"/>
    </xf>
    <xf numFmtId="170" fontId="70" fillId="0" borderId="15" xfId="0" applyNumberFormat="1" applyFont="1" applyFill="1" applyBorder="1" applyAlignment="1">
      <alignment vertical="center" shrinkToFit="1"/>
    </xf>
    <xf numFmtId="170" fontId="25" fillId="0" borderId="15" xfId="63" applyNumberFormat="1" applyFont="1" applyFill="1" applyBorder="1" applyAlignment="1">
      <alignment horizontal="center" vertical="center" shrinkToFit="1"/>
    </xf>
    <xf numFmtId="170" fontId="25" fillId="0" borderId="30" xfId="0" applyNumberFormat="1" applyFont="1" applyFill="1" applyBorder="1" applyAlignment="1">
      <alignment horizontal="center" vertical="center" shrinkToFit="1" readingOrder="2"/>
    </xf>
    <xf numFmtId="0" fontId="70" fillId="0" borderId="15" xfId="98" applyFont="1" applyFill="1" applyBorder="1" applyAlignment="1">
      <alignment horizontal="right" vertical="center" shrinkToFit="1"/>
    </xf>
    <xf numFmtId="169" fontId="25" fillId="0" borderId="15" xfId="0" applyNumberFormat="1" applyFont="1" applyFill="1" applyBorder="1" applyAlignment="1">
      <alignment vertical="center" shrinkToFit="1"/>
    </xf>
    <xf numFmtId="169" fontId="24" fillId="0" borderId="15" xfId="0" applyNumberFormat="1" applyFont="1" applyFill="1" applyBorder="1" applyAlignment="1">
      <alignment vertical="center" shrinkToFit="1"/>
    </xf>
    <xf numFmtId="170" fontId="70" fillId="0" borderId="15" xfId="86" applyNumberFormat="1" applyFont="1" applyFill="1" applyBorder="1" applyAlignment="1">
      <alignment vertical="center" shrinkToFit="1"/>
    </xf>
    <xf numFmtId="170" fontId="24" fillId="0" borderId="15" xfId="0" applyNumberFormat="1" applyFont="1" applyFill="1" applyBorder="1" applyAlignment="1">
      <alignment horizontal="center" vertical="center" shrinkToFit="1"/>
    </xf>
    <xf numFmtId="170" fontId="24" fillId="0" borderId="27" xfId="0" applyNumberFormat="1" applyFont="1" applyFill="1" applyBorder="1" applyAlignment="1">
      <alignment horizontal="center" vertical="center" shrinkToFit="1"/>
    </xf>
    <xf numFmtId="170" fontId="25" fillId="0" borderId="15" xfId="65" applyNumberFormat="1" applyFont="1" applyFill="1" applyBorder="1" applyAlignment="1">
      <alignment horizontal="center" vertical="center" shrinkToFit="1"/>
    </xf>
    <xf numFmtId="170" fontId="25" fillId="0" borderId="15" xfId="67" applyNumberFormat="1" applyFont="1" applyFill="1" applyBorder="1" applyAlignment="1">
      <alignment horizontal="center" vertical="center" shrinkToFit="1"/>
    </xf>
    <xf numFmtId="170" fontId="25" fillId="0" borderId="0" xfId="65" applyNumberFormat="1" applyFont="1" applyFill="1" applyBorder="1" applyAlignment="1">
      <alignment horizontal="center" vertical="center" shrinkToFit="1"/>
    </xf>
    <xf numFmtId="170" fontId="26" fillId="0" borderId="0" xfId="0" applyNumberFormat="1" applyFont="1" applyFill="1" applyAlignment="1">
      <alignment vertical="center"/>
    </xf>
    <xf numFmtId="49" fontId="25" fillId="0" borderId="15" xfId="0" applyNumberFormat="1" applyFont="1" applyFill="1" applyBorder="1" applyAlignment="1">
      <alignment vertical="center" shrinkToFit="1"/>
    </xf>
    <xf numFmtId="49" fontId="25" fillId="0" borderId="15" xfId="70" applyNumberFormat="1" applyFont="1" applyFill="1" applyBorder="1" applyAlignment="1">
      <alignment vertical="center" shrinkToFit="1"/>
    </xf>
    <xf numFmtId="49" fontId="25" fillId="0" borderId="15" xfId="0" applyNumberFormat="1" applyFont="1" applyFill="1" applyBorder="1" applyAlignment="1">
      <alignment vertical="center" shrinkToFit="1" readingOrder="2"/>
    </xf>
    <xf numFmtId="170" fontId="70" fillId="0" borderId="15" xfId="98" applyNumberFormat="1" applyFont="1" applyFill="1" applyBorder="1" applyAlignment="1">
      <alignment vertical="center"/>
    </xf>
    <xf numFmtId="49" fontId="70" fillId="0" borderId="15" xfId="70" applyNumberFormat="1" applyFont="1" applyFill="1" applyBorder="1" applyAlignment="1">
      <alignment vertical="center" shrinkToFit="1"/>
    </xf>
    <xf numFmtId="49" fontId="70" fillId="0" borderId="15" xfId="0" applyNumberFormat="1" applyFont="1" applyFill="1" applyBorder="1" applyAlignment="1">
      <alignment vertical="center" shrinkToFit="1"/>
    </xf>
    <xf numFmtId="49" fontId="70" fillId="0" borderId="15" xfId="0" applyNumberFormat="1" applyFont="1" applyFill="1" applyBorder="1" applyAlignment="1">
      <alignment horizontal="center" vertical="center" shrinkToFit="1"/>
    </xf>
    <xf numFmtId="0" fontId="70" fillId="0" borderId="15" xfId="98" applyFont="1" applyFill="1" applyBorder="1" applyAlignment="1">
      <alignment horizontal="right" vertical="center" wrapText="1" shrinkToFit="1"/>
    </xf>
    <xf numFmtId="0" fontId="70" fillId="0" borderId="15" xfId="98" applyFont="1" applyFill="1" applyBorder="1" applyAlignment="1">
      <alignment vertical="center" shrinkToFit="1"/>
    </xf>
    <xf numFmtId="0" fontId="70" fillId="0" borderId="15" xfId="98" applyFont="1" applyFill="1" applyBorder="1" applyAlignment="1">
      <alignment vertical="center" wrapText="1" shrinkToFit="1"/>
    </xf>
    <xf numFmtId="0" fontId="70" fillId="0" borderId="15" xfId="77" applyFont="1" applyFill="1" applyBorder="1" applyAlignment="1">
      <alignment vertical="center" wrapText="1" shrinkToFit="1"/>
    </xf>
    <xf numFmtId="49" fontId="70" fillId="0" borderId="15" xfId="75" applyNumberFormat="1" applyFont="1" applyFill="1" applyBorder="1" applyAlignment="1">
      <alignment horizontal="center" vertical="center" shrinkToFit="1"/>
    </xf>
    <xf numFmtId="0" fontId="70" fillId="0" borderId="15" xfId="69" applyFont="1" applyFill="1" applyBorder="1" applyAlignment="1">
      <alignment vertical="center"/>
    </xf>
    <xf numFmtId="0" fontId="70" fillId="0" borderId="15" xfId="0" applyFont="1" applyFill="1" applyBorder="1" applyAlignment="1">
      <alignment vertical="center" shrinkToFit="1"/>
    </xf>
    <xf numFmtId="0" fontId="70" fillId="0" borderId="15" xfId="98" applyFont="1" applyFill="1" applyBorder="1" applyAlignment="1">
      <alignment horizontal="right" vertical="center"/>
    </xf>
    <xf numFmtId="0" fontId="24" fillId="0" borderId="15" xfId="77" applyFont="1" applyFill="1" applyBorder="1" applyAlignment="1">
      <alignment shrinkToFit="1"/>
    </xf>
    <xf numFmtId="170" fontId="24" fillId="0" borderId="16" xfId="0" applyNumberFormat="1" applyFont="1" applyFill="1" applyBorder="1" applyAlignment="1">
      <alignment horizontal="center" vertical="center" shrinkToFit="1"/>
    </xf>
    <xf numFmtId="49" fontId="25" fillId="0" borderId="15" xfId="126" applyNumberFormat="1" applyFont="1" applyFill="1" applyBorder="1" applyAlignment="1">
      <alignment horizontal="center" vertical="center" shrinkToFit="1"/>
    </xf>
    <xf numFmtId="49" fontId="25" fillId="0" borderId="15" xfId="126" applyNumberFormat="1" applyFont="1" applyFill="1" applyBorder="1" applyAlignment="1">
      <alignment horizontal="right" vertical="center" shrinkToFit="1"/>
    </xf>
    <xf numFmtId="0" fontId="3" fillId="0" borderId="15" xfId="172" applyFill="1" applyBorder="1" applyAlignment="1">
      <alignment shrinkToFit="1"/>
    </xf>
    <xf numFmtId="169" fontId="70" fillId="0" borderId="34" xfId="0" applyNumberFormat="1" applyFont="1" applyFill="1" applyBorder="1" applyAlignment="1">
      <alignment horizontal="center" vertical="center" shrinkToFit="1" readingOrder="2"/>
    </xf>
    <xf numFmtId="169" fontId="69" fillId="0" borderId="0" xfId="0" applyNumberFormat="1" applyFont="1" applyFill="1" applyAlignment="1">
      <alignment horizontal="center" vertical="center" shrinkToFit="1" readingOrder="2"/>
    </xf>
    <xf numFmtId="0" fontId="61" fillId="0" borderId="0" xfId="0" applyFont="1" applyFill="1" applyBorder="1" applyAlignment="1">
      <alignment horizontal="center" vertical="center" shrinkToFit="1" readingOrder="2"/>
    </xf>
    <xf numFmtId="169" fontId="23" fillId="0" borderId="0" xfId="0" applyNumberFormat="1" applyFont="1" applyFill="1" applyAlignment="1">
      <alignment horizontal="center" vertical="center" shrinkToFit="1"/>
    </xf>
    <xf numFmtId="49" fontId="24" fillId="0" borderId="0" xfId="0" applyNumberFormat="1" applyFont="1" applyFill="1" applyAlignment="1">
      <alignment horizontal="center" vertical="center" shrinkToFit="1"/>
    </xf>
    <xf numFmtId="169" fontId="70" fillId="0" borderId="0" xfId="0" applyNumberFormat="1" applyFont="1" applyFill="1" applyAlignment="1">
      <alignment vertical="center" shrinkToFit="1"/>
    </xf>
    <xf numFmtId="169" fontId="42" fillId="0" borderId="0" xfId="0" applyNumberFormat="1" applyFont="1" applyFill="1" applyAlignment="1">
      <alignment vertical="center"/>
    </xf>
    <xf numFmtId="169" fontId="41" fillId="0" borderId="0" xfId="0" applyNumberFormat="1" applyFont="1" applyFill="1" applyAlignment="1">
      <alignment horizontal="right" vertical="center" shrinkToFit="1" readingOrder="2"/>
    </xf>
    <xf numFmtId="169" fontId="46" fillId="0" borderId="0" xfId="0" applyNumberFormat="1" applyFont="1" applyFill="1" applyAlignment="1">
      <alignment horizontal="right" vertical="center" shrinkToFit="1" readingOrder="2"/>
    </xf>
    <xf numFmtId="169" fontId="46" fillId="0" borderId="0" xfId="0" applyNumberFormat="1" applyFont="1" applyFill="1" applyAlignment="1">
      <alignment horizontal="center" vertical="center"/>
    </xf>
    <xf numFmtId="169" fontId="34" fillId="0" borderId="0" xfId="0" applyNumberFormat="1" applyFont="1" applyFill="1" applyAlignment="1">
      <alignment horizontal="right" vertical="center" shrinkToFit="1" readingOrder="2"/>
    </xf>
    <xf numFmtId="169" fontId="42" fillId="0" borderId="28" xfId="0" applyNumberFormat="1" applyFont="1" applyFill="1" applyBorder="1" applyAlignment="1">
      <alignment vertical="center" shrinkToFit="1" readingOrder="2"/>
    </xf>
    <xf numFmtId="169" fontId="41" fillId="0" borderId="15" xfId="0" applyNumberFormat="1" applyFont="1" applyFill="1" applyBorder="1" applyAlignment="1">
      <alignment horizontal="center" vertical="center" wrapText="1" shrinkToFit="1"/>
    </xf>
    <xf numFmtId="169" fontId="46" fillId="0" borderId="27" xfId="0" applyNumberFormat="1" applyFont="1" applyFill="1" applyBorder="1" applyAlignment="1">
      <alignment vertical="center"/>
    </xf>
    <xf numFmtId="169" fontId="46" fillId="0" borderId="27" xfId="0" applyNumberFormat="1" applyFont="1" applyFill="1" applyBorder="1" applyAlignment="1">
      <alignment horizontal="center" vertical="center"/>
    </xf>
    <xf numFmtId="169" fontId="46" fillId="0" borderId="15" xfId="0" applyNumberFormat="1" applyFont="1" applyFill="1" applyBorder="1" applyAlignment="1">
      <alignment horizontal="center" vertical="center" wrapText="1"/>
    </xf>
    <xf numFmtId="169" fontId="42" fillId="0" borderId="15" xfId="0" applyNumberFormat="1" applyFont="1" applyFill="1" applyBorder="1" applyAlignment="1">
      <alignment horizontal="center" vertical="center" wrapText="1"/>
    </xf>
    <xf numFmtId="169" fontId="42" fillId="0" borderId="15" xfId="0" applyNumberFormat="1" applyFont="1" applyFill="1" applyBorder="1" applyAlignment="1">
      <alignment horizontal="center" vertical="center" wrapText="1" shrinkToFit="1"/>
    </xf>
    <xf numFmtId="169" fontId="46" fillId="0" borderId="15" xfId="0" applyNumberFormat="1" applyFont="1" applyFill="1" applyBorder="1" applyAlignment="1">
      <alignment horizontal="center" vertical="center" wrapText="1" shrinkToFit="1" readingOrder="2"/>
    </xf>
    <xf numFmtId="169" fontId="42" fillId="0" borderId="0" xfId="0" applyNumberFormat="1" applyFont="1" applyFill="1" applyAlignment="1">
      <alignment horizontal="center" vertical="center" wrapText="1"/>
    </xf>
    <xf numFmtId="169" fontId="42" fillId="0" borderId="29" xfId="0" applyNumberFormat="1" applyFont="1" applyFill="1" applyBorder="1" applyAlignment="1">
      <alignment horizontal="center" vertical="center" wrapText="1"/>
    </xf>
    <xf numFmtId="169" fontId="41" fillId="0" borderId="15" xfId="0" applyNumberFormat="1" applyFont="1" applyFill="1" applyBorder="1" applyAlignment="1">
      <alignment horizontal="right" vertical="center" wrapText="1" shrinkToFit="1"/>
    </xf>
    <xf numFmtId="169" fontId="42" fillId="0" borderId="15" xfId="0" applyNumberFormat="1" applyFont="1" applyFill="1" applyBorder="1" applyAlignment="1">
      <alignment horizontal="center" vertical="center" shrinkToFit="1" readingOrder="2"/>
    </xf>
    <xf numFmtId="174" fontId="42" fillId="0" borderId="15" xfId="0" applyNumberFormat="1" applyFont="1" applyFill="1" applyBorder="1" applyAlignment="1">
      <alignment horizontal="center" vertical="center" shrinkToFit="1"/>
    </xf>
    <xf numFmtId="169" fontId="33" fillId="0" borderId="15" xfId="70" applyNumberFormat="1" applyFont="1" applyFill="1" applyBorder="1" applyAlignment="1">
      <alignment horizontal="center" vertical="center"/>
    </xf>
    <xf numFmtId="49" fontId="34" fillId="0" borderId="15" xfId="0" applyNumberFormat="1" applyFont="1" applyFill="1" applyBorder="1" applyAlignment="1">
      <alignment horizontal="center" vertical="center" shrinkToFit="1"/>
    </xf>
    <xf numFmtId="169" fontId="42" fillId="0" borderId="15" xfId="0" applyNumberFormat="1" applyFont="1" applyFill="1" applyBorder="1" applyAlignment="1">
      <alignment horizontal="center" vertical="center" shrinkToFit="1"/>
    </xf>
    <xf numFmtId="0" fontId="110" fillId="0" borderId="24" xfId="168" applyFont="1" applyFill="1" applyBorder="1" applyAlignment="1">
      <alignment shrinkToFit="1"/>
    </xf>
    <xf numFmtId="0" fontId="110" fillId="0" borderId="27" xfId="168" applyFont="1" applyFill="1" applyBorder="1" applyAlignment="1">
      <alignment shrinkToFit="1"/>
    </xf>
    <xf numFmtId="169" fontId="41" fillId="0" borderId="16" xfId="0" applyNumberFormat="1" applyFont="1" applyFill="1" applyBorder="1" applyAlignment="1">
      <alignment horizontal="right" vertical="center" wrapText="1" shrinkToFit="1"/>
    </xf>
    <xf numFmtId="174" fontId="42" fillId="0" borderId="29" xfId="0" applyNumberFormat="1" applyFont="1" applyFill="1" applyBorder="1" applyAlignment="1">
      <alignment horizontal="center" vertical="center" shrinkToFit="1"/>
    </xf>
    <xf numFmtId="174" fontId="42" fillId="0" borderId="14" xfId="0" applyNumberFormat="1" applyFont="1" applyFill="1" applyBorder="1" applyAlignment="1">
      <alignment horizontal="center" vertical="center" shrinkToFit="1"/>
    </xf>
    <xf numFmtId="169" fontId="41" fillId="0" borderId="6" xfId="90" applyNumberFormat="1" applyFont="1" applyFill="1" applyBorder="1" applyAlignment="1">
      <alignment horizontal="center" vertical="center" wrapText="1" shrinkToFit="1"/>
    </xf>
    <xf numFmtId="174" fontId="42" fillId="0" borderId="4" xfId="0" applyNumberFormat="1" applyFont="1" applyFill="1" applyBorder="1" applyAlignment="1">
      <alignment horizontal="center" vertical="center" shrinkToFit="1"/>
    </xf>
    <xf numFmtId="174" fontId="42" fillId="0" borderId="5" xfId="0" applyNumberFormat="1" applyFont="1" applyFill="1" applyBorder="1" applyAlignment="1">
      <alignment horizontal="center" vertical="center" shrinkToFit="1"/>
    </xf>
    <xf numFmtId="49" fontId="41" fillId="0" borderId="15" xfId="0" applyNumberFormat="1" applyFont="1" applyFill="1" applyBorder="1" applyAlignment="1">
      <alignment horizontal="center" vertical="center" shrinkToFit="1"/>
    </xf>
    <xf numFmtId="0" fontId="41" fillId="0" borderId="15" xfId="98" applyFont="1" applyFill="1" applyBorder="1" applyAlignment="1">
      <alignment horizontal="right" vertical="center" wrapText="1" shrinkToFit="1"/>
    </xf>
    <xf numFmtId="174" fontId="42" fillId="0" borderId="27" xfId="0" applyNumberFormat="1" applyFont="1" applyFill="1" applyBorder="1" applyAlignment="1">
      <alignment horizontal="center" vertical="center" shrinkToFit="1"/>
    </xf>
    <xf numFmtId="174" fontId="42" fillId="0" borderId="15" xfId="0" applyNumberFormat="1" applyFont="1" applyFill="1" applyBorder="1" applyAlignment="1">
      <alignment vertical="center" shrinkToFit="1"/>
    </xf>
    <xf numFmtId="0" fontId="126" fillId="0" borderId="15" xfId="77" applyFont="1" applyFill="1" applyBorder="1" applyAlignment="1">
      <alignment shrinkToFit="1"/>
    </xf>
    <xf numFmtId="170" fontId="125" fillId="0" borderId="15" xfId="77" applyNumberFormat="1" applyFont="1" applyFill="1" applyBorder="1" applyAlignment="1">
      <alignment horizontal="center" shrinkToFit="1"/>
    </xf>
    <xf numFmtId="0" fontId="125" fillId="0" borderId="24" xfId="77" applyFont="1" applyFill="1" applyBorder="1" applyAlignment="1">
      <alignment shrinkToFit="1"/>
    </xf>
    <xf numFmtId="0" fontId="125" fillId="0" borderId="27" xfId="77" applyFont="1" applyFill="1" applyBorder="1" applyAlignment="1">
      <alignment shrinkToFit="1"/>
    </xf>
    <xf numFmtId="0" fontId="126" fillId="0" borderId="15" xfId="168" quotePrefix="1" applyFont="1" applyFill="1" applyBorder="1" applyAlignment="1">
      <alignment horizontal="center" vertical="center"/>
    </xf>
    <xf numFmtId="0" fontId="126" fillId="0" borderId="15" xfId="168" applyFont="1" applyFill="1" applyBorder="1" applyAlignment="1">
      <alignment horizontal="right" vertical="center"/>
    </xf>
    <xf numFmtId="169" fontId="42" fillId="0" borderId="24" xfId="0" applyNumberFormat="1" applyFont="1" applyFill="1" applyBorder="1" applyAlignment="1">
      <alignment horizontal="center" vertical="center"/>
    </xf>
    <xf numFmtId="169" fontId="46" fillId="0" borderId="15" xfId="0" applyNumberFormat="1" applyFont="1" applyFill="1" applyBorder="1" applyAlignment="1">
      <alignment horizontal="center" vertical="center"/>
    </xf>
    <xf numFmtId="0" fontId="126" fillId="0" borderId="15" xfId="168" quotePrefix="1" applyFont="1" applyFill="1" applyBorder="1" applyAlignment="1">
      <alignment horizontal="center" shrinkToFit="1"/>
    </xf>
    <xf numFmtId="0" fontId="126" fillId="0" borderId="16" xfId="168" applyFont="1" applyFill="1" applyBorder="1" applyAlignment="1">
      <alignment shrinkToFit="1"/>
    </xf>
    <xf numFmtId="169" fontId="41" fillId="0" borderId="29" xfId="0" applyNumberFormat="1" applyFont="1" applyFill="1" applyBorder="1" applyAlignment="1">
      <alignment horizontal="right" vertical="center" wrapText="1" shrinkToFit="1"/>
    </xf>
    <xf numFmtId="49" fontId="34" fillId="0" borderId="15" xfId="131" applyNumberFormat="1" applyFont="1" applyFill="1" applyBorder="1" applyAlignment="1">
      <alignment horizontal="center" vertical="center" shrinkToFit="1"/>
    </xf>
    <xf numFmtId="169" fontId="41" fillId="0" borderId="15" xfId="131" applyNumberFormat="1" applyFont="1" applyFill="1" applyBorder="1" applyAlignment="1">
      <alignment horizontal="right" vertical="center" wrapText="1" shrinkToFit="1"/>
    </xf>
    <xf numFmtId="169" fontId="41" fillId="0" borderId="29" xfId="0" applyNumberFormat="1" applyFont="1" applyFill="1" applyBorder="1" applyAlignment="1">
      <alignment horizontal="center" vertical="center" wrapText="1" shrinkToFit="1"/>
    </xf>
    <xf numFmtId="169" fontId="42" fillId="0" borderId="1" xfId="0" applyNumberFormat="1" applyFont="1" applyFill="1" applyBorder="1" applyAlignment="1">
      <alignment horizontal="center" vertical="center" shrinkToFit="1"/>
    </xf>
    <xf numFmtId="174" fontId="42" fillId="0" borderId="14" xfId="1" applyNumberFormat="1" applyFont="1" applyFill="1" applyBorder="1" applyAlignment="1">
      <alignment horizontal="center" vertical="center" shrinkToFit="1"/>
    </xf>
    <xf numFmtId="174" fontId="42" fillId="0" borderId="1" xfId="0" applyNumberFormat="1" applyFont="1" applyFill="1" applyBorder="1" applyAlignment="1">
      <alignment horizontal="center" vertical="center" shrinkToFit="1"/>
    </xf>
    <xf numFmtId="169" fontId="42" fillId="0" borderId="0" xfId="0" applyNumberFormat="1" applyFont="1" applyFill="1" applyAlignment="1">
      <alignment horizontal="center" vertical="center" textRotation="90" wrapText="1"/>
    </xf>
    <xf numFmtId="169" fontId="42" fillId="0" borderId="0" xfId="0" applyNumberFormat="1" applyFont="1" applyFill="1" applyAlignment="1">
      <alignment horizontal="center" vertical="center" shrinkToFit="1"/>
    </xf>
    <xf numFmtId="169" fontId="42" fillId="0" borderId="0" xfId="0" applyNumberFormat="1" applyFont="1" applyFill="1" applyAlignment="1">
      <alignment vertical="center" textRotation="90" wrapText="1"/>
    </xf>
    <xf numFmtId="169" fontId="41" fillId="0" borderId="0" xfId="0" applyNumberFormat="1" applyFont="1" applyFill="1" applyAlignment="1">
      <alignment horizontal="right" vertical="center" readingOrder="2"/>
    </xf>
    <xf numFmtId="169" fontId="46" fillId="0" borderId="0" xfId="0" applyNumberFormat="1" applyFont="1" applyFill="1" applyAlignment="1">
      <alignment vertical="center" wrapText="1"/>
    </xf>
    <xf numFmtId="169" fontId="46" fillId="0" borderId="0" xfId="0" applyNumberFormat="1" applyFont="1" applyFill="1" applyAlignment="1">
      <alignment horizontal="center" vertical="center" wrapText="1"/>
    </xf>
    <xf numFmtId="169" fontId="42" fillId="0" borderId="17" xfId="0" applyNumberFormat="1" applyFont="1" applyFill="1" applyBorder="1" applyAlignment="1">
      <alignment horizontal="center" vertical="center" shrinkToFit="1"/>
    </xf>
    <xf numFmtId="169" fontId="42" fillId="0" borderId="17" xfId="0" applyNumberFormat="1" applyFont="1" applyFill="1" applyBorder="1" applyAlignment="1">
      <alignment horizontal="center" vertical="center" wrapText="1"/>
    </xf>
    <xf numFmtId="169" fontId="42" fillId="0" borderId="13" xfId="0" applyNumberFormat="1" applyFont="1" applyFill="1" applyBorder="1" applyAlignment="1">
      <alignment horizontal="center" vertical="center" wrapText="1"/>
    </xf>
    <xf numFmtId="174" fontId="42" fillId="0" borderId="27" xfId="1" applyNumberFormat="1" applyFont="1" applyFill="1" applyBorder="1" applyAlignment="1">
      <alignment horizontal="center" vertical="center" shrinkToFit="1"/>
    </xf>
    <xf numFmtId="174" fontId="42" fillId="0" borderId="16" xfId="0" applyNumberFormat="1" applyFont="1" applyFill="1" applyBorder="1" applyAlignment="1">
      <alignment horizontal="center" vertical="center" shrinkToFit="1"/>
    </xf>
    <xf numFmtId="49" fontId="34" fillId="0" borderId="15" xfId="70" applyNumberFormat="1" applyFont="1" applyFill="1" applyBorder="1" applyAlignment="1">
      <alignment horizontal="center" vertical="center" shrinkToFit="1"/>
    </xf>
    <xf numFmtId="169" fontId="41" fillId="0" borderId="16" xfId="70" applyNumberFormat="1" applyFont="1" applyFill="1" applyBorder="1" applyAlignment="1">
      <alignment horizontal="right" vertical="center" wrapText="1" shrinkToFit="1"/>
    </xf>
    <xf numFmtId="169" fontId="42" fillId="0" borderId="14" xfId="0" applyNumberFormat="1" applyFont="1" applyFill="1" applyBorder="1" applyAlignment="1">
      <alignment horizontal="center" vertical="center" wrapText="1"/>
    </xf>
    <xf numFmtId="170" fontId="42" fillId="0" borderId="0" xfId="0" applyNumberFormat="1" applyFont="1" applyFill="1" applyAlignment="1">
      <alignment horizontal="center" vertical="center" shrinkToFit="1"/>
    </xf>
    <xf numFmtId="49" fontId="42" fillId="0" borderId="0" xfId="0" applyNumberFormat="1" applyFont="1" applyFill="1" applyAlignment="1">
      <alignment vertical="center" wrapText="1"/>
    </xf>
    <xf numFmtId="174" fontId="42" fillId="0" borderId="2" xfId="0" applyNumberFormat="1" applyFont="1" applyFill="1" applyBorder="1" applyAlignment="1">
      <alignment horizontal="center" vertical="center" shrinkToFit="1"/>
    </xf>
    <xf numFmtId="174" fontId="42" fillId="0" borderId="7" xfId="0" applyNumberFormat="1" applyFont="1" applyFill="1" applyBorder="1" applyAlignment="1">
      <alignment horizontal="center" vertical="center" shrinkToFit="1"/>
    </xf>
    <xf numFmtId="174" fontId="42" fillId="0" borderId="13" xfId="0" applyNumberFormat="1" applyFont="1" applyFill="1" applyBorder="1" applyAlignment="1">
      <alignment horizontal="center" vertical="center" shrinkToFit="1"/>
    </xf>
    <xf numFmtId="174" fontId="42" fillId="0" borderId="46" xfId="0" applyNumberFormat="1" applyFont="1" applyFill="1" applyBorder="1" applyAlignment="1">
      <alignment horizontal="center" vertical="center" shrinkToFit="1"/>
    </xf>
    <xf numFmtId="174" fontId="42" fillId="0" borderId="10" xfId="0" applyNumberFormat="1" applyFont="1" applyFill="1" applyBorder="1" applyAlignment="1">
      <alignment horizontal="center" vertical="center" shrinkToFit="1"/>
    </xf>
    <xf numFmtId="174" fontId="42" fillId="0" borderId="24" xfId="0" applyNumberFormat="1" applyFont="1" applyFill="1" applyBorder="1" applyAlignment="1">
      <alignment horizontal="center" vertical="center" shrinkToFit="1"/>
    </xf>
    <xf numFmtId="169" fontId="42" fillId="0" borderId="29" xfId="0" applyNumberFormat="1" applyFont="1" applyFill="1" applyBorder="1" applyAlignment="1">
      <alignment horizontal="center" vertical="center" shrinkToFit="1"/>
    </xf>
    <xf numFmtId="169" fontId="41" fillId="0" borderId="15" xfId="80" applyNumberFormat="1" applyFont="1" applyFill="1" applyBorder="1" applyAlignment="1">
      <alignment horizontal="right" vertical="center" wrapText="1" shrinkToFit="1"/>
    </xf>
    <xf numFmtId="169" fontId="42" fillId="0" borderId="6" xfId="0" applyNumberFormat="1" applyFont="1" applyFill="1" applyBorder="1" applyAlignment="1">
      <alignment horizontal="center" vertical="center" wrapText="1"/>
    </xf>
    <xf numFmtId="174" fontId="42" fillId="0" borderId="19" xfId="0" applyNumberFormat="1" applyFont="1" applyFill="1" applyBorder="1" applyAlignment="1">
      <alignment horizontal="center" vertical="center" shrinkToFit="1"/>
    </xf>
    <xf numFmtId="170" fontId="42" fillId="0" borderId="7" xfId="2" applyNumberFormat="1" applyFont="1" applyFill="1" applyBorder="1" applyAlignment="1">
      <alignment horizontal="center" vertical="center" shrinkToFit="1"/>
    </xf>
    <xf numFmtId="169" fontId="41" fillId="0" borderId="15" xfId="90" applyNumberFormat="1" applyFont="1" applyFill="1" applyBorder="1" applyAlignment="1">
      <alignment horizontal="right" vertical="center" wrapText="1" shrinkToFit="1"/>
    </xf>
    <xf numFmtId="169" fontId="42" fillId="0" borderId="6" xfId="0" applyNumberFormat="1" applyFont="1" applyFill="1" applyBorder="1" applyAlignment="1">
      <alignment horizontal="center" vertical="center" shrinkToFit="1"/>
    </xf>
    <xf numFmtId="174" fontId="42" fillId="0" borderId="4" xfId="70" applyNumberFormat="1" applyFont="1" applyFill="1" applyBorder="1" applyAlignment="1">
      <alignment horizontal="center" vertical="center" shrinkToFit="1"/>
    </xf>
    <xf numFmtId="169" fontId="41" fillId="0" borderId="15" xfId="95" applyNumberFormat="1" applyFont="1" applyFill="1" applyBorder="1" applyAlignment="1">
      <alignment horizontal="right" vertical="center" wrapText="1" shrinkToFit="1"/>
    </xf>
    <xf numFmtId="169" fontId="41" fillId="0" borderId="15" xfId="113" applyNumberFormat="1" applyFont="1" applyFill="1" applyBorder="1" applyAlignment="1">
      <alignment horizontal="right" vertical="center" wrapText="1" shrinkToFit="1"/>
    </xf>
    <xf numFmtId="174" fontId="42" fillId="0" borderId="8" xfId="0" applyNumberFormat="1" applyFont="1" applyFill="1" applyBorder="1" applyAlignment="1">
      <alignment horizontal="center" vertical="center" shrinkToFit="1"/>
    </xf>
    <xf numFmtId="174" fontId="42" fillId="0" borderId="20" xfId="0" applyNumberFormat="1" applyFont="1" applyFill="1" applyBorder="1" applyAlignment="1">
      <alignment horizontal="center" vertical="center" shrinkToFit="1"/>
    </xf>
    <xf numFmtId="169" fontId="41" fillId="0" borderId="15" xfId="70" applyNumberFormat="1" applyFont="1" applyFill="1" applyBorder="1" applyAlignment="1">
      <alignment horizontal="right" vertical="center" wrapText="1" shrinkToFit="1"/>
    </xf>
    <xf numFmtId="169" fontId="41" fillId="0" borderId="6" xfId="90" applyNumberFormat="1" applyFont="1" applyFill="1" applyBorder="1" applyAlignment="1">
      <alignment horizontal="center" vertical="center" shrinkToFit="1"/>
    </xf>
    <xf numFmtId="169" fontId="46" fillId="0" borderId="0" xfId="0" applyNumberFormat="1" applyFont="1" applyFill="1" applyAlignment="1">
      <alignment vertical="center" shrinkToFit="1"/>
    </xf>
    <xf numFmtId="169" fontId="42" fillId="0" borderId="15" xfId="70" applyNumberFormat="1" applyFont="1" applyFill="1" applyBorder="1" applyAlignment="1">
      <alignment horizontal="center" vertical="center"/>
    </xf>
    <xf numFmtId="169" fontId="42" fillId="0" borderId="14" xfId="0" applyNumberFormat="1" applyFont="1" applyFill="1" applyBorder="1" applyAlignment="1">
      <alignment horizontal="center" vertical="center" shrinkToFit="1"/>
    </xf>
    <xf numFmtId="174" fontId="42" fillId="0" borderId="26" xfId="0" applyNumberFormat="1" applyFont="1" applyFill="1" applyBorder="1" applyAlignment="1">
      <alignment horizontal="center" vertical="center" shrinkToFit="1"/>
    </xf>
    <xf numFmtId="174" fontId="42" fillId="0" borderId="31" xfId="0" applyNumberFormat="1" applyFont="1" applyFill="1" applyBorder="1" applyAlignment="1">
      <alignment horizontal="center" vertical="center" shrinkToFit="1"/>
    </xf>
    <xf numFmtId="169" fontId="42" fillId="0" borderId="46" xfId="0" applyNumberFormat="1" applyFont="1" applyFill="1" applyBorder="1" applyAlignment="1">
      <alignment horizontal="center" vertical="center" shrinkToFit="1"/>
    </xf>
    <xf numFmtId="0" fontId="34" fillId="0" borderId="15" xfId="0" applyFont="1" applyFill="1" applyBorder="1" applyAlignment="1">
      <alignment horizontal="center" shrinkToFit="1"/>
    </xf>
    <xf numFmtId="0" fontId="41" fillId="0" borderId="15" xfId="0" applyFont="1" applyFill="1" applyBorder="1" applyAlignment="1">
      <alignment horizontal="right" vertical="center" wrapText="1" shrinkToFit="1"/>
    </xf>
    <xf numFmtId="169" fontId="42" fillId="0" borderId="27" xfId="0" applyNumberFormat="1" applyFont="1" applyFill="1" applyBorder="1" applyAlignment="1">
      <alignment horizontal="center" vertical="center" wrapText="1"/>
    </xf>
    <xf numFmtId="174" fontId="41" fillId="0" borderId="15" xfId="0" applyNumberFormat="1" applyFont="1" applyFill="1" applyBorder="1" applyAlignment="1">
      <alignment horizontal="center" vertical="center" shrinkToFit="1"/>
    </xf>
    <xf numFmtId="0" fontId="34" fillId="0" borderId="15" xfId="70" applyFont="1" applyFill="1" applyBorder="1" applyAlignment="1">
      <alignment horizontal="center" shrinkToFit="1"/>
    </xf>
    <xf numFmtId="0" fontId="41" fillId="0" borderId="15" xfId="70" applyFont="1" applyFill="1" applyBorder="1" applyAlignment="1">
      <alignment horizontal="right" vertical="center" wrapText="1" shrinkToFit="1"/>
    </xf>
    <xf numFmtId="169" fontId="42" fillId="0" borderId="26" xfId="0" applyNumberFormat="1" applyFont="1" applyFill="1" applyBorder="1" applyAlignment="1">
      <alignment horizontal="center" vertical="center" shrinkToFit="1"/>
    </xf>
    <xf numFmtId="169" fontId="42" fillId="0" borderId="26" xfId="0" applyNumberFormat="1" applyFont="1" applyFill="1" applyBorder="1" applyAlignment="1">
      <alignment horizontal="center" vertical="center"/>
    </xf>
    <xf numFmtId="0" fontId="23" fillId="0" borderId="15" xfId="81" applyNumberFormat="1" applyFont="1" applyFill="1" applyBorder="1" applyAlignment="1" applyProtection="1">
      <alignment horizontal="right" vertical="center" shrinkToFit="1"/>
    </xf>
    <xf numFmtId="0" fontId="29" fillId="0" borderId="15" xfId="81" applyNumberFormat="1" applyFont="1" applyFill="1" applyBorder="1" applyAlignment="1" applyProtection="1">
      <alignment horizontal="right" vertical="center" wrapText="1" shrinkToFit="1"/>
    </xf>
    <xf numFmtId="169" fontId="42" fillId="0" borderId="15" xfId="0" applyNumberFormat="1" applyFont="1" applyFill="1" applyBorder="1" applyAlignment="1">
      <alignment horizontal="center" vertical="center"/>
    </xf>
    <xf numFmtId="170" fontId="42" fillId="0" borderId="15" xfId="0" applyNumberFormat="1" applyFont="1" applyFill="1" applyBorder="1" applyAlignment="1">
      <alignment horizontal="center" vertical="center" shrinkToFit="1"/>
    </xf>
    <xf numFmtId="170" fontId="42" fillId="0" borderId="31" xfId="0" applyNumberFormat="1" applyFont="1" applyFill="1" applyBorder="1" applyAlignment="1">
      <alignment horizontal="center" vertical="center" shrinkToFit="1"/>
    </xf>
    <xf numFmtId="174" fontId="42" fillId="0" borderId="31" xfId="0" applyNumberFormat="1" applyFont="1" applyFill="1" applyBorder="1" applyAlignment="1">
      <alignment vertical="center" shrinkToFit="1"/>
    </xf>
    <xf numFmtId="49" fontId="38" fillId="0" borderId="15" xfId="0" applyNumberFormat="1" applyFont="1" applyFill="1" applyBorder="1" applyAlignment="1">
      <alignment horizontal="center" vertical="center" shrinkToFit="1"/>
    </xf>
    <xf numFmtId="0" fontId="38" fillId="0" borderId="15" xfId="0" applyFont="1" applyFill="1" applyBorder="1" applyAlignment="1">
      <alignment vertical="center" shrinkToFit="1"/>
    </xf>
    <xf numFmtId="170" fontId="42" fillId="0" borderId="26" xfId="0" applyNumberFormat="1" applyFont="1" applyFill="1" applyBorder="1" applyAlignment="1">
      <alignment horizontal="center" vertical="center" shrinkToFit="1"/>
    </xf>
    <xf numFmtId="174" fontId="42" fillId="0" borderId="26" xfId="0" applyNumberFormat="1" applyFont="1" applyFill="1" applyBorder="1" applyAlignment="1">
      <alignment vertical="center" shrinkToFit="1"/>
    </xf>
    <xf numFmtId="170" fontId="42" fillId="0" borderId="27" xfId="0" applyNumberFormat="1" applyFont="1" applyFill="1" applyBorder="1" applyAlignment="1">
      <alignment horizontal="center" vertical="center" shrinkToFit="1"/>
    </xf>
    <xf numFmtId="3" fontId="42" fillId="0" borderId="0" xfId="0" applyNumberFormat="1" applyFont="1" applyFill="1" applyAlignment="1">
      <alignment horizontal="center" vertical="center" wrapText="1"/>
    </xf>
    <xf numFmtId="174" fontId="42" fillId="0" borderId="24" xfId="2" applyNumberFormat="1" applyFont="1" applyFill="1" applyBorder="1" applyAlignment="1">
      <alignment horizontal="center" vertical="center" shrinkToFit="1"/>
    </xf>
    <xf numFmtId="174" fontId="46" fillId="0" borderId="15" xfId="0" applyNumberFormat="1" applyFont="1" applyFill="1" applyBorder="1" applyAlignment="1">
      <alignment horizontal="center" vertical="center" shrinkToFit="1"/>
    </xf>
    <xf numFmtId="174" fontId="46" fillId="0" borderId="27" xfId="0" applyNumberFormat="1" applyFont="1" applyFill="1" applyBorder="1" applyAlignment="1">
      <alignment horizontal="center" vertical="center" shrinkToFit="1"/>
    </xf>
    <xf numFmtId="169" fontId="41" fillId="0" borderId="15" xfId="70" applyNumberFormat="1" applyFont="1" applyFill="1" applyBorder="1" applyAlignment="1">
      <alignment horizontal="center" vertical="center" shrinkToFit="1" readingOrder="2"/>
    </xf>
    <xf numFmtId="174" fontId="42" fillId="0" borderId="30" xfId="0" applyNumberFormat="1" applyFont="1" applyFill="1" applyBorder="1" applyAlignment="1">
      <alignment horizontal="center" vertical="center" shrinkToFit="1"/>
    </xf>
    <xf numFmtId="169" fontId="41" fillId="0" borderId="0" xfId="0" applyNumberFormat="1" applyFont="1" applyFill="1" applyAlignment="1">
      <alignment horizontal="right" vertical="center" wrapText="1" shrinkToFit="1"/>
    </xf>
    <xf numFmtId="174" fontId="42" fillId="0" borderId="0" xfId="0" applyNumberFormat="1" applyFont="1" applyFill="1" applyAlignment="1">
      <alignment horizontal="center" vertical="center" shrinkToFit="1"/>
    </xf>
    <xf numFmtId="169" fontId="42" fillId="0" borderId="27" xfId="2" applyNumberFormat="1" applyFont="1" applyFill="1" applyBorder="1" applyAlignment="1">
      <alignment horizontal="center" vertical="center" shrinkToFit="1"/>
    </xf>
    <xf numFmtId="169" fontId="42" fillId="0" borderId="31" xfId="2" applyNumberFormat="1" applyFont="1" applyFill="1" applyBorder="1" applyAlignment="1">
      <alignment horizontal="center" vertical="center" shrinkToFit="1"/>
    </xf>
    <xf numFmtId="169" fontId="42" fillId="0" borderId="32" xfId="0" applyNumberFormat="1" applyFont="1" applyFill="1" applyBorder="1" applyAlignment="1">
      <alignment horizontal="center" vertical="center" shrinkToFit="1"/>
    </xf>
    <xf numFmtId="169" fontId="46" fillId="0" borderId="15" xfId="1" applyNumberFormat="1" applyFont="1" applyFill="1" applyBorder="1" applyAlignment="1">
      <alignment horizontal="center" vertical="center" shrinkToFit="1"/>
    </xf>
    <xf numFmtId="170" fontId="41" fillId="0" borderId="15" xfId="70" applyNumberFormat="1" applyFont="1" applyFill="1" applyBorder="1" applyAlignment="1">
      <alignment horizontal="right" vertical="center" wrapText="1" shrinkToFit="1"/>
    </xf>
    <xf numFmtId="170" fontId="34" fillId="0" borderId="16" xfId="70" applyNumberFormat="1" applyFont="1" applyFill="1" applyBorder="1" applyAlignment="1">
      <alignment horizontal="right" vertical="center" shrinkToFit="1"/>
    </xf>
    <xf numFmtId="170" fontId="34" fillId="0" borderId="30" xfId="70" applyNumberFormat="1" applyFont="1" applyFill="1" applyBorder="1" applyAlignment="1">
      <alignment horizontal="right" vertical="center" shrinkToFit="1"/>
    </xf>
    <xf numFmtId="0" fontId="42" fillId="0" borderId="15" xfId="0" applyFont="1" applyFill="1" applyBorder="1" applyAlignment="1">
      <alignment horizontal="right" vertical="center" shrinkToFit="1"/>
    </xf>
    <xf numFmtId="169" fontId="42" fillId="0" borderId="0" xfId="0" applyNumberFormat="1" applyFont="1" applyFill="1" applyAlignment="1">
      <alignment horizontal="right" vertical="center"/>
    </xf>
    <xf numFmtId="0" fontId="42" fillId="0" borderId="15" xfId="0" applyFont="1" applyFill="1" applyBorder="1" applyAlignment="1">
      <alignment horizontal="center" shrinkToFit="1"/>
    </xf>
    <xf numFmtId="170" fontId="34" fillId="0" borderId="15" xfId="70" applyNumberFormat="1" applyFont="1" applyFill="1" applyBorder="1" applyAlignment="1">
      <alignment horizontal="right" vertical="center" shrinkToFit="1"/>
    </xf>
    <xf numFmtId="169" fontId="42" fillId="0" borderId="4" xfId="0" applyNumberFormat="1" applyFont="1" applyFill="1" applyBorder="1" applyAlignment="1">
      <alignment horizontal="center" vertical="center" shrinkToFit="1"/>
    </xf>
    <xf numFmtId="0" fontId="42" fillId="0" borderId="27" xfId="0" applyFont="1" applyFill="1" applyBorder="1" applyAlignment="1">
      <alignment horizontal="center" shrinkToFit="1"/>
    </xf>
    <xf numFmtId="169" fontId="42" fillId="0" borderId="0" xfId="0" applyNumberFormat="1" applyFont="1" applyFill="1" applyAlignment="1">
      <alignment horizontal="center" vertical="center"/>
    </xf>
    <xf numFmtId="169" fontId="42" fillId="0" borderId="13" xfId="0" applyNumberFormat="1" applyFont="1" applyFill="1" applyBorder="1" applyAlignment="1">
      <alignment horizontal="center" vertical="center" shrinkToFit="1"/>
    </xf>
    <xf numFmtId="0" fontId="41" fillId="0" borderId="15" xfId="0" applyFont="1" applyFill="1" applyBorder="1" applyAlignment="1">
      <alignment horizontal="center" shrinkToFit="1"/>
    </xf>
    <xf numFmtId="169" fontId="46" fillId="0" borderId="15" xfId="0" applyNumberFormat="1" applyFont="1" applyFill="1" applyBorder="1" applyAlignment="1">
      <alignment horizontal="center" vertical="center" shrinkToFit="1"/>
    </xf>
    <xf numFmtId="169" fontId="42" fillId="0" borderId="15" xfId="0" applyNumberFormat="1" applyFont="1" applyFill="1" applyBorder="1" applyAlignment="1">
      <alignment vertical="center" shrinkToFit="1"/>
    </xf>
    <xf numFmtId="49" fontId="41" fillId="0" borderId="15" xfId="75" applyNumberFormat="1" applyFont="1" applyFill="1" applyBorder="1" applyAlignment="1">
      <alignment horizontal="center" vertical="center" shrinkToFit="1"/>
    </xf>
    <xf numFmtId="0" fontId="41" fillId="0" borderId="15" xfId="98" applyFont="1" applyFill="1" applyBorder="1" applyAlignment="1">
      <alignment horizontal="right" wrapText="1"/>
    </xf>
    <xf numFmtId="0" fontId="42" fillId="0" borderId="15" xfId="0" applyFont="1" applyFill="1" applyBorder="1" applyAlignment="1">
      <alignment vertical="center" wrapText="1" shrinkToFit="1"/>
    </xf>
    <xf numFmtId="49" fontId="41" fillId="0" borderId="15" xfId="75" applyNumberFormat="1" applyFont="1" applyFill="1" applyBorder="1" applyAlignment="1">
      <alignment horizontal="center" shrinkToFit="1"/>
    </xf>
    <xf numFmtId="0" fontId="34" fillId="0" borderId="15" xfId="69" applyFont="1" applyFill="1" applyBorder="1" applyAlignment="1">
      <alignment vertical="center" wrapText="1"/>
    </xf>
    <xf numFmtId="0" fontId="41" fillId="0" borderId="15" xfId="69" applyFont="1" applyFill="1" applyBorder="1" applyAlignment="1">
      <alignment horizontal="right" vertical="center" wrapText="1"/>
    </xf>
    <xf numFmtId="49" fontId="41" fillId="0" borderId="15" xfId="126" applyNumberFormat="1" applyFont="1" applyFill="1" applyBorder="1" applyAlignment="1">
      <alignment horizontal="center" vertical="center" shrinkToFit="1"/>
    </xf>
    <xf numFmtId="49" fontId="41" fillId="0" borderId="15" xfId="126" applyNumberFormat="1" applyFont="1" applyFill="1" applyBorder="1" applyAlignment="1">
      <alignment horizontal="right" vertical="center" shrinkToFit="1"/>
    </xf>
    <xf numFmtId="170" fontId="126" fillId="0" borderId="15" xfId="165" applyNumberFormat="1" applyFont="1" applyFill="1" applyBorder="1" applyAlignment="1">
      <alignment horizontal="center" shrinkToFit="1"/>
    </xf>
    <xf numFmtId="170" fontId="126" fillId="0" borderId="15" xfId="165" applyNumberFormat="1" applyFont="1" applyFill="1" applyBorder="1" applyAlignment="1">
      <alignment shrinkToFit="1"/>
    </xf>
    <xf numFmtId="170" fontId="126" fillId="0" borderId="15" xfId="170" applyNumberFormat="1" applyFont="1" applyFill="1" applyBorder="1" applyAlignment="1">
      <alignment shrinkToFit="1"/>
    </xf>
    <xf numFmtId="170" fontId="29" fillId="0" borderId="15" xfId="0" applyNumberFormat="1" applyFont="1" applyFill="1" applyBorder="1" applyAlignment="1">
      <alignment horizontal="center" vertical="center" shrinkToFit="1"/>
    </xf>
    <xf numFmtId="170" fontId="29" fillId="0" borderId="15" xfId="98" applyNumberFormat="1" applyFont="1" applyFill="1" applyBorder="1" applyAlignment="1">
      <alignment horizontal="right" vertical="center" shrinkToFit="1"/>
    </xf>
    <xf numFmtId="169" fontId="42" fillId="0" borderId="0" xfId="0" applyNumberFormat="1" applyFont="1" applyFill="1" applyBorder="1" applyAlignment="1">
      <alignment vertical="center"/>
    </xf>
    <xf numFmtId="169" fontId="42" fillId="0" borderId="0" xfId="0" applyNumberFormat="1" applyFont="1" applyFill="1" applyBorder="1" applyAlignment="1">
      <alignment horizontal="center" vertical="center" textRotation="90" wrapText="1"/>
    </xf>
    <xf numFmtId="170" fontId="29" fillId="0" borderId="0" xfId="0" applyNumberFormat="1" applyFont="1" applyFill="1" applyBorder="1" applyAlignment="1">
      <alignment horizontal="center" vertical="center" shrinkToFit="1"/>
    </xf>
    <xf numFmtId="170" fontId="29" fillId="0" borderId="0" xfId="98" applyNumberFormat="1" applyFont="1" applyFill="1" applyBorder="1" applyAlignment="1">
      <alignment horizontal="right" vertical="center" shrinkToFit="1"/>
    </xf>
    <xf numFmtId="169" fontId="42" fillId="0" borderId="0" xfId="0" applyNumberFormat="1" applyFont="1" applyFill="1" applyBorder="1" applyAlignment="1">
      <alignment horizontal="center" vertical="center"/>
    </xf>
    <xf numFmtId="170" fontId="34" fillId="0" borderId="0" xfId="70" applyNumberFormat="1" applyFont="1" applyFill="1" applyBorder="1" applyAlignment="1">
      <alignment horizontal="right" vertical="center" shrinkToFit="1"/>
    </xf>
    <xf numFmtId="169" fontId="42" fillId="0" borderId="0" xfId="0" applyNumberFormat="1" applyFont="1" applyFill="1" applyBorder="1" applyAlignment="1">
      <alignment horizontal="center" vertical="center" shrinkToFit="1"/>
    </xf>
    <xf numFmtId="170" fontId="126" fillId="0" borderId="29" xfId="170" applyNumberFormat="1" applyFont="1" applyFill="1" applyBorder="1" applyAlignment="1">
      <alignment shrinkToFit="1"/>
    </xf>
    <xf numFmtId="169" fontId="42" fillId="0" borderId="29" xfId="0" applyNumberFormat="1" applyFont="1" applyFill="1" applyBorder="1" applyAlignment="1">
      <alignment horizontal="center" vertical="center"/>
    </xf>
    <xf numFmtId="170" fontId="34" fillId="0" borderId="29" xfId="70" applyNumberFormat="1" applyFont="1" applyFill="1" applyBorder="1" applyAlignment="1">
      <alignment horizontal="right" vertical="center" shrinkToFit="1"/>
    </xf>
    <xf numFmtId="170" fontId="41" fillId="0" borderId="15" xfId="0" applyNumberFormat="1" applyFont="1" applyFill="1" applyBorder="1" applyAlignment="1">
      <alignment horizontal="center" vertical="center" shrinkToFit="1"/>
    </xf>
    <xf numFmtId="170" fontId="41" fillId="0" borderId="15" xfId="98" applyNumberFormat="1" applyFont="1" applyFill="1" applyBorder="1" applyAlignment="1">
      <alignment horizontal="right" vertical="center" shrinkToFit="1"/>
    </xf>
    <xf numFmtId="170" fontId="126" fillId="0" borderId="15" xfId="168" applyNumberFormat="1" applyFont="1" applyFill="1" applyBorder="1" applyAlignment="1">
      <alignment horizontal="center" shrinkToFit="1"/>
    </xf>
    <xf numFmtId="170" fontId="126" fillId="0" borderId="15" xfId="168" applyNumberFormat="1" applyFont="1" applyFill="1" applyBorder="1" applyAlignment="1">
      <alignment horizontal="right" shrinkToFit="1"/>
    </xf>
    <xf numFmtId="0" fontId="63" fillId="0" borderId="15" xfId="0" applyFont="1" applyFill="1" applyBorder="1" applyAlignment="1">
      <alignment horizontal="center" vertical="center" readingOrder="2"/>
    </xf>
    <xf numFmtId="174" fontId="42" fillId="0" borderId="15" xfId="0" applyNumberFormat="1" applyFont="1" applyFill="1" applyBorder="1" applyAlignment="1">
      <alignment horizontal="center" vertical="center" shrinkToFit="1" readingOrder="2"/>
    </xf>
    <xf numFmtId="0" fontId="41" fillId="0" borderId="49" xfId="69" applyFont="1" applyFill="1" applyBorder="1" applyAlignment="1">
      <alignment vertical="center" wrapText="1"/>
    </xf>
    <xf numFmtId="170" fontId="42" fillId="0" borderId="15" xfId="0" applyNumberFormat="1" applyFont="1" applyFill="1" applyBorder="1" applyAlignment="1">
      <alignment horizontal="center" vertical="center" shrinkToFit="1" readingOrder="2"/>
    </xf>
    <xf numFmtId="169" fontId="46" fillId="0" borderId="26" xfId="0" applyNumberFormat="1" applyFont="1" applyFill="1" applyBorder="1" applyAlignment="1">
      <alignment horizontal="center" vertical="center"/>
    </xf>
    <xf numFmtId="169" fontId="37" fillId="0" borderId="15" xfId="70" applyNumberFormat="1" applyFont="1" applyFill="1" applyBorder="1" applyAlignment="1">
      <alignment horizontal="center" vertical="center"/>
    </xf>
    <xf numFmtId="3" fontId="35" fillId="0" borderId="0" xfId="0" applyNumberFormat="1" applyFont="1" applyFill="1" applyAlignment="1">
      <alignment horizontal="center" vertical="center"/>
    </xf>
    <xf numFmtId="169" fontId="42" fillId="0" borderId="15" xfId="0" applyNumberFormat="1" applyFont="1" applyFill="1" applyBorder="1" applyAlignment="1">
      <alignment vertical="center"/>
    </xf>
    <xf numFmtId="0" fontId="37" fillId="0" borderId="24" xfId="98" applyFont="1" applyFill="1" applyBorder="1" applyAlignment="1">
      <alignment vertical="center" shrinkToFit="1"/>
    </xf>
    <xf numFmtId="0" fontId="37" fillId="0" borderId="27" xfId="98" applyFont="1" applyFill="1" applyBorder="1" applyAlignment="1">
      <alignment vertical="center" shrinkToFit="1"/>
    </xf>
    <xf numFmtId="0" fontId="110" fillId="0" borderId="24" xfId="168" applyFont="1" applyFill="1" applyBorder="1" applyAlignment="1"/>
    <xf numFmtId="0" fontId="110" fillId="0" borderId="27" xfId="168" applyFont="1" applyFill="1" applyBorder="1" applyAlignment="1"/>
    <xf numFmtId="49" fontId="41" fillId="0" borderId="26" xfId="0" applyNumberFormat="1" applyFont="1" applyFill="1" applyBorder="1" applyAlignment="1">
      <alignment horizontal="center" vertical="center" shrinkToFit="1"/>
    </xf>
    <xf numFmtId="0" fontId="41" fillId="0" borderId="26" xfId="98" applyFont="1" applyFill="1" applyBorder="1" applyAlignment="1">
      <alignment horizontal="right" vertical="center" wrapText="1" shrinkToFit="1"/>
    </xf>
    <xf numFmtId="0" fontId="41" fillId="0" borderId="15" xfId="0" applyFont="1" applyFill="1" applyBorder="1" applyAlignment="1">
      <alignment vertical="center" wrapText="1" shrinkToFit="1"/>
    </xf>
    <xf numFmtId="169" fontId="42" fillId="0" borderId="27" xfId="0" applyNumberFormat="1" applyFont="1" applyFill="1" applyBorder="1" applyAlignment="1">
      <alignment horizontal="center" vertical="center"/>
    </xf>
    <xf numFmtId="0" fontId="41" fillId="0" borderId="16" xfId="98" applyFont="1" applyFill="1" applyBorder="1" applyAlignment="1">
      <alignment vertical="center" shrinkToFit="1"/>
    </xf>
    <xf numFmtId="0" fontId="126" fillId="0" borderId="15" xfId="168" applyFont="1" applyFill="1" applyBorder="1" applyAlignment="1">
      <alignment horizontal="center"/>
    </xf>
    <xf numFmtId="0" fontId="126" fillId="0" borderId="16" xfId="168" applyFont="1" applyFill="1" applyBorder="1" applyAlignment="1"/>
    <xf numFmtId="170" fontId="141" fillId="0" borderId="15" xfId="147" applyNumberFormat="1" applyFont="1" applyFill="1" applyBorder="1" applyAlignment="1">
      <alignment horizontal="center" shrinkToFit="1"/>
    </xf>
    <xf numFmtId="0" fontId="110" fillId="0" borderId="24" xfId="147" applyFont="1" applyFill="1" applyBorder="1" applyAlignment="1">
      <alignment shrinkToFit="1"/>
    </xf>
    <xf numFmtId="0" fontId="110" fillId="0" borderId="27" xfId="147" applyFont="1" applyFill="1" applyBorder="1" applyAlignment="1">
      <alignment shrinkToFit="1"/>
    </xf>
    <xf numFmtId="3" fontId="42" fillId="0" borderId="0" xfId="0" applyNumberFormat="1" applyFont="1" applyFill="1" applyAlignment="1">
      <alignment vertical="center"/>
    </xf>
    <xf numFmtId="169" fontId="42" fillId="0" borderId="39" xfId="0" applyNumberFormat="1" applyFont="1" applyFill="1" applyBorder="1" applyAlignment="1">
      <alignment horizontal="center" vertical="center" shrinkToFit="1"/>
    </xf>
    <xf numFmtId="169" fontId="33" fillId="0" borderId="0" xfId="70" applyNumberFormat="1" applyFont="1" applyFill="1" applyBorder="1"/>
    <xf numFmtId="169" fontId="46" fillId="0" borderId="0" xfId="0" applyNumberFormat="1" applyFont="1" applyFill="1" applyAlignment="1">
      <alignment horizontal="center" vertical="center" shrinkToFit="1"/>
    </xf>
    <xf numFmtId="169" fontId="46" fillId="0" borderId="0" xfId="1" applyNumberFormat="1" applyFont="1" applyFill="1" applyAlignment="1">
      <alignment horizontal="center" vertical="center" shrinkToFit="1"/>
    </xf>
    <xf numFmtId="169" fontId="46" fillId="0" borderId="0" xfId="1" applyNumberFormat="1" applyFont="1" applyFill="1" applyBorder="1" applyAlignment="1">
      <alignment horizontal="center" vertical="center"/>
    </xf>
    <xf numFmtId="169" fontId="42" fillId="0" borderId="0" xfId="1" applyNumberFormat="1" applyFont="1" applyFill="1" applyBorder="1" applyAlignment="1">
      <alignment horizontal="center" vertical="center"/>
    </xf>
    <xf numFmtId="0" fontId="29" fillId="0" borderId="0" xfId="0" applyFont="1" applyFill="1" applyAlignment="1">
      <alignment horizontal="right" vertical="center" wrapText="1" readingOrder="2"/>
    </xf>
    <xf numFmtId="0" fontId="63" fillId="0" borderId="0" xfId="0" applyFont="1" applyFill="1" applyAlignment="1">
      <alignment horizontal="center" vertical="center" readingOrder="2"/>
    </xf>
    <xf numFmtId="169" fontId="41" fillId="0" borderId="0" xfId="0" applyNumberFormat="1" applyFont="1" applyFill="1" applyAlignment="1">
      <alignment horizontal="center" vertical="center" wrapText="1" shrinkToFit="1"/>
    </xf>
    <xf numFmtId="0" fontId="110" fillId="0" borderId="92" xfId="77" applyFont="1" applyFill="1" applyBorder="1" applyAlignment="1">
      <alignment horizontal="right" shrinkToFit="1"/>
    </xf>
    <xf numFmtId="169" fontId="130" fillId="0" borderId="0" xfId="0" applyNumberFormat="1" applyFont="1" applyFill="1" applyAlignment="1">
      <alignment horizontal="center" vertical="center"/>
    </xf>
    <xf numFmtId="169" fontId="93" fillId="0" borderId="0" xfId="70" applyNumberFormat="1" applyFont="1" applyFill="1" applyAlignment="1">
      <alignment horizontal="center" vertical="center" readingOrder="2"/>
    </xf>
    <xf numFmtId="169" fontId="93" fillId="0" borderId="0" xfId="90" applyNumberFormat="1" applyFont="1" applyFill="1" applyAlignment="1">
      <alignment horizontal="center" vertical="center"/>
    </xf>
    <xf numFmtId="169" fontId="92" fillId="0" borderId="0" xfId="90" applyNumberFormat="1" applyFont="1" applyFill="1" applyAlignment="1">
      <alignment horizontal="center" vertical="center"/>
    </xf>
    <xf numFmtId="169" fontId="130" fillId="0" borderId="0" xfId="90" applyNumberFormat="1" applyFont="1" applyFill="1" applyAlignment="1">
      <alignment horizontal="center" vertical="center" wrapText="1" shrinkToFit="1"/>
    </xf>
    <xf numFmtId="169" fontId="137" fillId="0" borderId="6" xfId="90" applyNumberFormat="1" applyFont="1" applyFill="1" applyBorder="1" applyAlignment="1">
      <alignment horizontal="center" vertical="center" wrapText="1"/>
    </xf>
    <xf numFmtId="169" fontId="140" fillId="0" borderId="0" xfId="0" applyNumberFormat="1" applyFont="1" applyFill="1" applyAlignment="1">
      <alignment horizontal="center" vertical="center"/>
    </xf>
    <xf numFmtId="169" fontId="93" fillId="0" borderId="0" xfId="90" applyNumberFormat="1" applyFont="1" applyFill="1" applyBorder="1" applyAlignment="1">
      <alignment horizontal="center" vertical="center" wrapText="1"/>
    </xf>
    <xf numFmtId="169" fontId="137" fillId="0" borderId="10" xfId="90" applyNumberFormat="1" applyFont="1" applyFill="1" applyBorder="1" applyAlignment="1">
      <alignment horizontal="center" vertical="center" wrapText="1"/>
    </xf>
    <xf numFmtId="49" fontId="129" fillId="0" borderId="14" xfId="0" applyNumberFormat="1" applyFont="1" applyFill="1" applyBorder="1" applyAlignment="1">
      <alignment horizontal="center" vertical="center" shrinkToFit="1"/>
    </xf>
    <xf numFmtId="169" fontId="132" fillId="0" borderId="4" xfId="0" applyNumberFormat="1" applyFont="1" applyFill="1" applyBorder="1" applyAlignment="1">
      <alignment horizontal="right" vertical="center" wrapText="1" shrinkToFit="1"/>
    </xf>
    <xf numFmtId="169" fontId="93" fillId="0" borderId="4" xfId="0" applyNumberFormat="1" applyFont="1" applyFill="1" applyBorder="1" applyAlignment="1">
      <alignment horizontal="center" vertical="center" shrinkToFit="1"/>
    </xf>
    <xf numFmtId="169" fontId="93" fillId="0" borderId="5" xfId="0" applyNumberFormat="1" applyFont="1" applyFill="1" applyBorder="1" applyAlignment="1">
      <alignment horizontal="center" vertical="center" shrinkToFit="1"/>
    </xf>
    <xf numFmtId="169" fontId="93" fillId="0" borderId="15" xfId="0" applyNumberFormat="1" applyFont="1" applyFill="1" applyBorder="1" applyAlignment="1">
      <alignment horizontal="center" vertical="center" shrinkToFit="1"/>
    </xf>
    <xf numFmtId="169" fontId="93" fillId="0" borderId="27" xfId="0" applyNumberFormat="1" applyFont="1" applyFill="1" applyBorder="1" applyAlignment="1">
      <alignment horizontal="center" vertical="center" shrinkToFit="1"/>
    </xf>
    <xf numFmtId="169" fontId="93" fillId="0" borderId="15" xfId="0" applyNumberFormat="1" applyFont="1" applyFill="1" applyBorder="1" applyAlignment="1">
      <alignment horizontal="center" vertical="center"/>
    </xf>
    <xf numFmtId="169" fontId="93" fillId="0" borderId="6" xfId="0" applyNumberFormat="1" applyFont="1" applyFill="1" applyBorder="1" applyAlignment="1">
      <alignment horizontal="center" vertical="center" shrinkToFit="1"/>
    </xf>
    <xf numFmtId="169" fontId="93" fillId="0" borderId="0" xfId="0" applyNumberFormat="1" applyFont="1" applyFill="1" applyAlignment="1">
      <alignment horizontal="center" vertical="center"/>
    </xf>
    <xf numFmtId="169" fontId="93" fillId="0" borderId="0" xfId="0" applyNumberFormat="1" applyFont="1" applyFill="1" applyAlignment="1">
      <alignment horizontal="center" vertical="center" shrinkToFit="1"/>
    </xf>
    <xf numFmtId="49" fontId="129" fillId="0" borderId="6" xfId="0" applyNumberFormat="1" applyFont="1" applyFill="1" applyBorder="1" applyAlignment="1">
      <alignment horizontal="center" vertical="center" shrinkToFit="1"/>
    </xf>
    <xf numFmtId="169" fontId="93" fillId="0" borderId="7" xfId="0" applyNumberFormat="1" applyFont="1" applyFill="1" applyBorder="1" applyAlignment="1">
      <alignment horizontal="center" vertical="center" shrinkToFit="1"/>
    </xf>
    <xf numFmtId="169" fontId="129" fillId="0" borderId="15" xfId="0" applyNumberFormat="1" applyFont="1" applyFill="1" applyBorder="1" applyAlignment="1">
      <alignment horizontal="right" vertical="center" wrapText="1" shrinkToFit="1"/>
    </xf>
    <xf numFmtId="169" fontId="93" fillId="0" borderId="15" xfId="0" applyNumberFormat="1" applyFont="1" applyFill="1" applyBorder="1" applyAlignment="1">
      <alignment horizontal="center" vertical="center" shrinkToFit="1" readingOrder="2"/>
    </xf>
    <xf numFmtId="169" fontId="93" fillId="0" borderId="8" xfId="0" applyNumberFormat="1" applyFont="1" applyFill="1" applyBorder="1" applyAlignment="1">
      <alignment horizontal="center" vertical="center" shrinkToFit="1"/>
    </xf>
    <xf numFmtId="49" fontId="93" fillId="0" borderId="27" xfId="70" applyNumberFormat="1" applyFont="1" applyFill="1" applyBorder="1" applyAlignment="1">
      <alignment horizontal="center" vertical="center" shrinkToFit="1"/>
    </xf>
    <xf numFmtId="169" fontId="129" fillId="0" borderId="15" xfId="70" applyNumberFormat="1" applyFont="1" applyFill="1" applyBorder="1" applyAlignment="1">
      <alignment horizontal="right" vertical="center" wrapText="1" shrinkToFit="1"/>
    </xf>
    <xf numFmtId="169" fontId="93" fillId="0" borderId="16" xfId="0" applyNumberFormat="1" applyFont="1" applyFill="1" applyBorder="1" applyAlignment="1">
      <alignment horizontal="center" vertical="center" shrinkToFit="1"/>
    </xf>
    <xf numFmtId="0" fontId="129" fillId="0" borderId="15" xfId="98" applyFont="1" applyFill="1" applyBorder="1" applyAlignment="1">
      <alignment horizontal="right" vertical="center" wrapText="1" shrinkToFit="1"/>
    </xf>
    <xf numFmtId="174" fontId="129" fillId="0" borderId="15" xfId="0" applyNumberFormat="1" applyFont="1" applyFill="1" applyBorder="1" applyAlignment="1">
      <alignment horizontal="center" vertical="center"/>
    </xf>
    <xf numFmtId="174" fontId="93" fillId="0" borderId="15" xfId="0" applyNumberFormat="1" applyFont="1" applyFill="1" applyBorder="1" applyAlignment="1">
      <alignment horizontal="center" vertical="center"/>
    </xf>
    <xf numFmtId="0" fontId="93" fillId="0" borderId="15" xfId="0" applyFont="1" applyFill="1" applyBorder="1" applyAlignment="1">
      <alignment horizontal="center" vertical="center"/>
    </xf>
    <xf numFmtId="49" fontId="129" fillId="0" borderId="27" xfId="0" applyNumberFormat="1" applyFont="1" applyFill="1" applyBorder="1" applyAlignment="1">
      <alignment horizontal="right" vertical="center" shrinkToFit="1"/>
    </xf>
    <xf numFmtId="169" fontId="93" fillId="0" borderId="26" xfId="0" applyNumberFormat="1" applyFont="1" applyFill="1" applyBorder="1" applyAlignment="1">
      <alignment horizontal="center" vertical="center" shrinkToFit="1"/>
    </xf>
    <xf numFmtId="169" fontId="92" fillId="0" borderId="0" xfId="0" applyNumberFormat="1" applyFont="1" applyFill="1" applyAlignment="1">
      <alignment horizontal="center" vertical="center"/>
    </xf>
    <xf numFmtId="0" fontId="145" fillId="0" borderId="15" xfId="168" quotePrefix="1" applyFont="1" applyFill="1" applyBorder="1" applyAlignment="1">
      <alignment horizontal="right" vertical="center" shrinkToFit="1"/>
    </xf>
    <xf numFmtId="0" fontId="145" fillId="0" borderId="15" xfId="168" applyFont="1" applyFill="1" applyBorder="1" applyAlignment="1">
      <alignment horizontal="right" vertical="center" wrapText="1" shrinkToFit="1"/>
    </xf>
    <xf numFmtId="0" fontId="145" fillId="0" borderId="15" xfId="168" quotePrefix="1" applyFont="1" applyFill="1" applyBorder="1" applyAlignment="1">
      <alignment horizontal="center" vertical="center"/>
    </xf>
    <xf numFmtId="0" fontId="110" fillId="0" borderId="31" xfId="77" applyFont="1" applyFill="1" applyBorder="1" applyAlignment="1">
      <alignment horizontal="right" shrinkToFit="1"/>
    </xf>
    <xf numFmtId="49" fontId="129" fillId="0" borderId="27" xfId="0" applyNumberFormat="1" applyFont="1" applyFill="1" applyBorder="1" applyAlignment="1">
      <alignment horizontal="center" vertical="center" shrinkToFit="1"/>
    </xf>
    <xf numFmtId="169" fontId="132" fillId="0" borderId="15" xfId="0" applyNumberFormat="1" applyFont="1" applyFill="1" applyBorder="1" applyAlignment="1">
      <alignment horizontal="right" vertical="center" wrapText="1" shrinkToFit="1"/>
    </xf>
    <xf numFmtId="49" fontId="129" fillId="0" borderId="14" xfId="70" applyNumberFormat="1" applyFont="1" applyFill="1" applyBorder="1" applyAlignment="1">
      <alignment horizontal="center" vertical="center" shrinkToFit="1"/>
    </xf>
    <xf numFmtId="169" fontId="132" fillId="0" borderId="7" xfId="70" applyNumberFormat="1" applyFont="1" applyFill="1" applyBorder="1" applyAlignment="1">
      <alignment horizontal="right" vertical="center" wrapText="1" shrinkToFit="1"/>
    </xf>
    <xf numFmtId="169" fontId="93" fillId="0" borderId="19" xfId="0" applyNumberFormat="1" applyFont="1" applyFill="1" applyBorder="1" applyAlignment="1">
      <alignment horizontal="center" vertical="center" shrinkToFit="1"/>
    </xf>
    <xf numFmtId="169" fontId="93" fillId="0" borderId="29" xfId="0" applyNumberFormat="1" applyFont="1" applyFill="1" applyBorder="1" applyAlignment="1">
      <alignment horizontal="center" vertical="center" shrinkToFit="1"/>
    </xf>
    <xf numFmtId="169" fontId="93" fillId="0" borderId="1" xfId="0" applyNumberFormat="1" applyFont="1" applyFill="1" applyBorder="1" applyAlignment="1">
      <alignment horizontal="center" vertical="center" shrinkToFit="1"/>
    </xf>
    <xf numFmtId="169" fontId="93" fillId="0" borderId="29" xfId="0" applyNumberFormat="1" applyFont="1" applyFill="1" applyBorder="1" applyAlignment="1">
      <alignment horizontal="center" vertical="center"/>
    </xf>
    <xf numFmtId="169" fontId="93" fillId="0" borderId="14" xfId="0" applyNumberFormat="1" applyFont="1" applyFill="1" applyBorder="1" applyAlignment="1">
      <alignment horizontal="center" vertical="center" shrinkToFit="1"/>
    </xf>
    <xf numFmtId="169" fontId="129" fillId="0" borderId="0" xfId="0" applyNumberFormat="1" applyFont="1" applyFill="1" applyAlignment="1">
      <alignment horizontal="center" vertical="center"/>
    </xf>
    <xf numFmtId="169" fontId="132" fillId="0" borderId="0" xfId="0" applyNumberFormat="1" applyFont="1" applyFill="1" applyAlignment="1">
      <alignment horizontal="right" vertical="center" wrapText="1" shrinkToFit="1"/>
    </xf>
    <xf numFmtId="169" fontId="129" fillId="0" borderId="0" xfId="0" applyNumberFormat="1" applyFont="1" applyFill="1" applyAlignment="1">
      <alignment horizontal="center" vertical="center" textRotation="90"/>
    </xf>
    <xf numFmtId="169" fontId="93" fillId="0" borderId="27" xfId="0" applyNumberFormat="1" applyFont="1" applyFill="1" applyBorder="1" applyAlignment="1">
      <alignment horizontal="center" vertical="center" shrinkToFit="1" readingOrder="2"/>
    </xf>
    <xf numFmtId="169" fontId="93" fillId="0" borderId="0" xfId="0" applyNumberFormat="1" applyFont="1" applyFill="1" applyAlignment="1">
      <alignment horizontal="center" vertical="center" shrinkToFit="1" readingOrder="2"/>
    </xf>
    <xf numFmtId="49" fontId="92" fillId="0" borderId="15" xfId="70" applyNumberFormat="1" applyFont="1" applyFill="1" applyBorder="1" applyAlignment="1">
      <alignment horizontal="center" vertical="center" shrinkToFit="1"/>
    </xf>
    <xf numFmtId="169" fontId="130" fillId="0" borderId="15" xfId="70" applyNumberFormat="1" applyFont="1" applyFill="1" applyBorder="1" applyAlignment="1">
      <alignment horizontal="center" vertical="center" wrapText="1" shrinkToFit="1"/>
    </xf>
    <xf numFmtId="49" fontId="93" fillId="0" borderId="15" xfId="0" applyNumberFormat="1" applyFont="1" applyFill="1" applyBorder="1" applyAlignment="1">
      <alignment horizontal="center" vertical="center" shrinkToFit="1"/>
    </xf>
    <xf numFmtId="49" fontId="93" fillId="0" borderId="15" xfId="70" applyNumberFormat="1" applyFont="1" applyFill="1" applyBorder="1" applyAlignment="1">
      <alignment horizontal="center" vertical="center" shrinkToFit="1"/>
    </xf>
    <xf numFmtId="49" fontId="93" fillId="0" borderId="15" xfId="0" applyNumberFormat="1" applyFont="1" applyFill="1" applyBorder="1" applyAlignment="1">
      <alignment horizontal="center" vertical="center" shrinkToFit="1" readingOrder="2"/>
    </xf>
    <xf numFmtId="169" fontId="129" fillId="0" borderId="15" xfId="0" applyNumberFormat="1" applyFont="1" applyFill="1" applyBorder="1" applyAlignment="1">
      <alignment horizontal="right" vertical="center" wrapText="1" shrinkToFit="1" readingOrder="2"/>
    </xf>
    <xf numFmtId="0" fontId="129" fillId="0" borderId="15" xfId="98" applyFont="1" applyFill="1" applyBorder="1" applyAlignment="1">
      <alignment horizontal="right" vertical="center" wrapText="1"/>
    </xf>
    <xf numFmtId="0" fontId="93" fillId="0" borderId="0" xfId="0" applyFont="1" applyFill="1" applyAlignment="1">
      <alignment horizontal="center" vertical="center"/>
    </xf>
    <xf numFmtId="0" fontId="130" fillId="0" borderId="0" xfId="0" applyFont="1" applyFill="1" applyAlignment="1">
      <alignment horizontal="center" vertical="center"/>
    </xf>
    <xf numFmtId="49" fontId="92" fillId="0" borderId="15" xfId="0" applyNumberFormat="1" applyFont="1" applyFill="1" applyBorder="1" applyAlignment="1">
      <alignment horizontal="center" vertical="center" shrinkToFit="1"/>
    </xf>
    <xf numFmtId="0" fontId="130" fillId="0" borderId="15" xfId="98" applyFont="1" applyFill="1" applyBorder="1" applyAlignment="1">
      <alignment horizontal="right" vertical="center" wrapText="1" shrinkToFit="1"/>
    </xf>
    <xf numFmtId="169" fontId="93" fillId="0" borderId="20" xfId="0" applyNumberFormat="1" applyFont="1" applyFill="1" applyBorder="1" applyAlignment="1">
      <alignment horizontal="center" vertical="center" shrinkToFit="1"/>
    </xf>
    <xf numFmtId="169" fontId="93" fillId="0" borderId="10" xfId="0" applyNumberFormat="1" applyFont="1" applyFill="1" applyBorder="1" applyAlignment="1">
      <alignment horizontal="center" vertical="center" shrinkToFit="1"/>
    </xf>
    <xf numFmtId="170" fontId="93" fillId="0" borderId="15" xfId="0" applyNumberFormat="1" applyFont="1" applyFill="1" applyBorder="1" applyAlignment="1">
      <alignment horizontal="center" vertical="center"/>
    </xf>
    <xf numFmtId="49" fontId="92" fillId="0" borderId="15" xfId="75" applyNumberFormat="1" applyFont="1" applyFill="1" applyBorder="1" applyAlignment="1">
      <alignment horizontal="center" vertical="center" shrinkToFit="1"/>
    </xf>
    <xf numFmtId="0" fontId="130" fillId="0" borderId="15" xfId="69" applyFont="1" applyFill="1" applyBorder="1" applyAlignment="1">
      <alignment horizontal="right" vertical="center" wrapText="1"/>
    </xf>
    <xf numFmtId="174" fontId="92" fillId="0" borderId="15" xfId="69" applyNumberFormat="1" applyFont="1" applyFill="1" applyBorder="1" applyAlignment="1">
      <alignment horizontal="center" vertical="center" wrapText="1"/>
    </xf>
    <xf numFmtId="0" fontId="130" fillId="0" borderId="15" xfId="98" applyFont="1" applyFill="1" applyBorder="1" applyAlignment="1">
      <alignment horizontal="right" vertical="center" wrapText="1"/>
    </xf>
    <xf numFmtId="0" fontId="130" fillId="0" borderId="15" xfId="0" applyFont="1" applyFill="1" applyBorder="1" applyAlignment="1">
      <alignment horizontal="right" vertical="center" wrapText="1" shrinkToFit="1"/>
    </xf>
    <xf numFmtId="49" fontId="92" fillId="0" borderId="16" xfId="0" applyNumberFormat="1" applyFont="1" applyFill="1" applyBorder="1" applyAlignment="1">
      <alignment horizontal="center" vertical="center" shrinkToFit="1"/>
    </xf>
    <xf numFmtId="169" fontId="130" fillId="0" borderId="16" xfId="0" applyNumberFormat="1" applyFont="1" applyFill="1" applyBorder="1" applyAlignment="1">
      <alignment horizontal="right" vertical="center" wrapText="1" shrinkToFit="1"/>
    </xf>
    <xf numFmtId="169" fontId="130" fillId="0" borderId="15" xfId="80" applyNumberFormat="1" applyFont="1" applyFill="1" applyBorder="1" applyAlignment="1">
      <alignment horizontal="right" vertical="center" wrapText="1" shrinkToFit="1"/>
    </xf>
    <xf numFmtId="169" fontId="93" fillId="0" borderId="17" xfId="0" applyNumberFormat="1" applyFont="1" applyFill="1" applyBorder="1" applyAlignment="1">
      <alignment horizontal="center" vertical="center" shrinkToFit="1"/>
    </xf>
    <xf numFmtId="49" fontId="130" fillId="0" borderId="26" xfId="0" applyNumberFormat="1" applyFont="1" applyFill="1" applyBorder="1" applyAlignment="1">
      <alignment horizontal="center" vertical="center" shrinkToFit="1"/>
    </xf>
    <xf numFmtId="169" fontId="130" fillId="0" borderId="26" xfId="0" applyNumberFormat="1" applyFont="1" applyFill="1" applyBorder="1" applyAlignment="1">
      <alignment horizontal="right" vertical="center" wrapText="1" shrinkToFit="1"/>
    </xf>
    <xf numFmtId="174" fontId="129" fillId="0" borderId="26" xfId="0" applyNumberFormat="1" applyFont="1" applyFill="1" applyBorder="1" applyAlignment="1">
      <alignment horizontal="center" vertical="center"/>
    </xf>
    <xf numFmtId="169" fontId="93" fillId="0" borderId="30" xfId="0" applyNumberFormat="1" applyFont="1" applyFill="1" applyBorder="1" applyAlignment="1">
      <alignment horizontal="center" vertical="center" shrinkToFit="1"/>
    </xf>
    <xf numFmtId="0" fontId="93" fillId="0" borderId="26" xfId="0" applyFont="1" applyFill="1" applyBorder="1" applyAlignment="1">
      <alignment horizontal="center" vertical="center"/>
    </xf>
    <xf numFmtId="49" fontId="130" fillId="0" borderId="15" xfId="126" applyNumberFormat="1" applyFont="1" applyFill="1" applyBorder="1" applyAlignment="1">
      <alignment horizontal="center" vertical="center" shrinkToFit="1"/>
    </xf>
    <xf numFmtId="49" fontId="130" fillId="0" borderId="15" xfId="126" applyNumberFormat="1" applyFont="1" applyFill="1" applyBorder="1" applyAlignment="1">
      <alignment horizontal="right" vertical="center" shrinkToFit="1"/>
    </xf>
    <xf numFmtId="174" fontId="93" fillId="0" borderId="26" xfId="0" applyNumberFormat="1" applyFont="1" applyFill="1" applyBorder="1" applyAlignment="1">
      <alignment horizontal="center" vertical="center"/>
    </xf>
    <xf numFmtId="170" fontId="144" fillId="0" borderId="15" xfId="165" applyNumberFormat="1" applyFont="1" applyFill="1" applyBorder="1" applyAlignment="1">
      <alignment horizontal="center" vertical="center" shrinkToFit="1"/>
    </xf>
    <xf numFmtId="170" fontId="144" fillId="0" borderId="15" xfId="165" applyNumberFormat="1" applyFont="1" applyFill="1" applyBorder="1" applyAlignment="1">
      <alignment vertical="center" shrinkToFit="1"/>
    </xf>
    <xf numFmtId="170" fontId="144" fillId="0" borderId="15" xfId="170" applyNumberFormat="1" applyFont="1" applyFill="1" applyBorder="1" applyAlignment="1">
      <alignment vertical="center" shrinkToFit="1"/>
    </xf>
    <xf numFmtId="170" fontId="130" fillId="0" borderId="15" xfId="0" applyNumberFormat="1" applyFont="1" applyFill="1" applyBorder="1" applyAlignment="1">
      <alignment horizontal="center" vertical="center" shrinkToFit="1"/>
    </xf>
    <xf numFmtId="170" fontId="130" fillId="0" borderId="15" xfId="98" applyNumberFormat="1" applyFont="1" applyFill="1" applyBorder="1" applyAlignment="1">
      <alignment horizontal="right" vertical="center" shrinkToFit="1"/>
    </xf>
    <xf numFmtId="170" fontId="54" fillId="0" borderId="15" xfId="0" applyNumberFormat="1" applyFont="1" applyFill="1" applyBorder="1" applyAlignment="1">
      <alignment horizontal="center" vertical="center" shrinkToFit="1"/>
    </xf>
    <xf numFmtId="170" fontId="54" fillId="0" borderId="15" xfId="98" applyNumberFormat="1" applyFont="1" applyFill="1" applyBorder="1" applyAlignment="1">
      <alignment horizontal="right" vertical="center" shrinkToFit="1"/>
    </xf>
    <xf numFmtId="170" fontId="144" fillId="0" borderId="15" xfId="168" applyNumberFormat="1" applyFont="1" applyFill="1" applyBorder="1" applyAlignment="1">
      <alignment horizontal="center" vertical="center" shrinkToFit="1"/>
    </xf>
    <xf numFmtId="170" fontId="144" fillId="0" borderId="15" xfId="168" applyNumberFormat="1" applyFont="1" applyFill="1" applyBorder="1" applyAlignment="1">
      <alignment horizontal="right" vertical="center" shrinkToFit="1"/>
    </xf>
    <xf numFmtId="169" fontId="93" fillId="0" borderId="11" xfId="0" applyNumberFormat="1" applyFont="1" applyFill="1" applyBorder="1" applyAlignment="1">
      <alignment horizontal="center" vertical="center" shrinkToFit="1"/>
    </xf>
    <xf numFmtId="169" fontId="93" fillId="0" borderId="46" xfId="0" applyNumberFormat="1" applyFont="1" applyFill="1" applyBorder="1" applyAlignment="1">
      <alignment horizontal="center" vertical="center" shrinkToFit="1"/>
    </xf>
    <xf numFmtId="0" fontId="132" fillId="0" borderId="0" xfId="0" applyFont="1" applyFill="1" applyAlignment="1">
      <alignment horizontal="center" vertical="center"/>
    </xf>
    <xf numFmtId="169" fontId="129" fillId="0" borderId="0" xfId="0" applyNumberFormat="1" applyFont="1" applyFill="1" applyAlignment="1">
      <alignment horizontal="center" vertical="center" shrinkToFit="1" readingOrder="2"/>
    </xf>
    <xf numFmtId="49" fontId="92" fillId="0" borderId="27" xfId="0" applyNumberFormat="1" applyFont="1" applyFill="1" applyBorder="1" applyAlignment="1">
      <alignment horizontal="center" vertical="center" shrinkToFit="1"/>
    </xf>
    <xf numFmtId="169" fontId="130" fillId="0" borderId="15" xfId="0" applyNumberFormat="1" applyFont="1" applyFill="1" applyBorder="1" applyAlignment="1">
      <alignment horizontal="center" vertical="center" wrapText="1" shrinkToFit="1"/>
    </xf>
    <xf numFmtId="174" fontId="93" fillId="0" borderId="41" xfId="0" applyNumberFormat="1" applyFont="1" applyFill="1" applyBorder="1" applyAlignment="1">
      <alignment horizontal="center" vertical="center"/>
    </xf>
    <xf numFmtId="169" fontId="92" fillId="0" borderId="27" xfId="0" applyNumberFormat="1" applyFont="1" applyFill="1" applyBorder="1" applyAlignment="1">
      <alignment horizontal="center" vertical="center" shrinkToFit="1"/>
    </xf>
    <xf numFmtId="174" fontId="93" fillId="0" borderId="31" xfId="0" applyNumberFormat="1" applyFont="1" applyFill="1" applyBorder="1" applyAlignment="1">
      <alignment horizontal="center" vertical="center"/>
    </xf>
    <xf numFmtId="169" fontId="134" fillId="0" borderId="15" xfId="0" applyNumberFormat="1" applyFont="1" applyFill="1" applyBorder="1" applyAlignment="1">
      <alignment horizontal="right" vertical="center" wrapText="1" shrinkToFit="1"/>
    </xf>
    <xf numFmtId="169" fontId="93" fillId="0" borderId="16" xfId="0" applyNumberFormat="1" applyFont="1" applyFill="1" applyBorder="1" applyAlignment="1">
      <alignment horizontal="center" vertical="center" shrinkToFit="1" readingOrder="2"/>
    </xf>
    <xf numFmtId="49" fontId="92" fillId="0" borderId="27" xfId="75" applyNumberFormat="1" applyFont="1" applyFill="1" applyBorder="1" applyAlignment="1">
      <alignment horizontal="center" vertical="center" shrinkToFit="1"/>
    </xf>
    <xf numFmtId="0" fontId="134" fillId="0" borderId="15" xfId="69" applyFont="1" applyFill="1" applyBorder="1" applyAlignment="1">
      <alignment horizontal="right" vertical="center" wrapText="1"/>
    </xf>
    <xf numFmtId="0" fontId="132" fillId="0" borderId="15" xfId="98" applyFont="1" applyFill="1" applyBorder="1" applyAlignment="1">
      <alignment horizontal="right" vertical="center" wrapText="1" shrinkToFit="1"/>
    </xf>
    <xf numFmtId="0" fontId="134" fillId="0" borderId="15" xfId="98" applyFont="1" applyFill="1" applyBorder="1" applyAlignment="1">
      <alignment horizontal="right" vertical="center" wrapText="1" shrinkToFit="1"/>
    </xf>
    <xf numFmtId="49" fontId="92" fillId="0" borderId="27" xfId="70" applyNumberFormat="1" applyFont="1" applyFill="1" applyBorder="1" applyAlignment="1">
      <alignment horizontal="center" vertical="center" shrinkToFit="1"/>
    </xf>
    <xf numFmtId="169" fontId="134" fillId="0" borderId="15" xfId="70" applyNumberFormat="1" applyFont="1" applyFill="1" applyBorder="1" applyAlignment="1">
      <alignment horizontal="right" vertical="center" wrapText="1" shrinkToFit="1"/>
    </xf>
    <xf numFmtId="169" fontId="93" fillId="0" borderId="26" xfId="0" applyNumberFormat="1" applyFont="1" applyFill="1" applyBorder="1" applyAlignment="1">
      <alignment horizontal="center" vertical="center" shrinkToFit="1" readingOrder="2"/>
    </xf>
    <xf numFmtId="0" fontId="146" fillId="0" borderId="15" xfId="168" applyFont="1" applyFill="1" applyBorder="1" applyAlignment="1">
      <alignment horizontal="center" vertical="center"/>
    </xf>
    <xf numFmtId="0" fontId="144" fillId="0" borderId="16" xfId="168" applyFont="1" applyFill="1" applyBorder="1" applyAlignment="1">
      <alignment vertical="center"/>
    </xf>
    <xf numFmtId="49" fontId="50" fillId="0" borderId="15" xfId="0" applyNumberFormat="1" applyFont="1" applyFill="1" applyBorder="1" applyAlignment="1">
      <alignment horizontal="center" vertical="center" shrinkToFit="1"/>
    </xf>
    <xf numFmtId="0" fontId="54" fillId="0" borderId="16" xfId="98" applyFont="1" applyFill="1" applyBorder="1" applyAlignment="1">
      <alignment vertical="center" wrapText="1" shrinkToFit="1"/>
    </xf>
    <xf numFmtId="169" fontId="93" fillId="0" borderId="43" xfId="0" applyNumberFormat="1" applyFont="1" applyFill="1" applyBorder="1" applyAlignment="1">
      <alignment horizontal="center" vertical="center" shrinkToFit="1"/>
    </xf>
    <xf numFmtId="169" fontId="93" fillId="0" borderId="21" xfId="0" applyNumberFormat="1" applyFont="1" applyFill="1" applyBorder="1" applyAlignment="1">
      <alignment horizontal="center" vertical="center" shrinkToFit="1"/>
    </xf>
    <xf numFmtId="169" fontId="135" fillId="0" borderId="0" xfId="0" applyNumberFormat="1" applyFont="1" applyFill="1" applyAlignment="1">
      <alignment horizontal="center" vertical="center" shrinkToFit="1"/>
    </xf>
    <xf numFmtId="169" fontId="130" fillId="0" borderId="0" xfId="0" applyNumberFormat="1" applyFont="1" applyFill="1" applyAlignment="1">
      <alignment horizontal="center" vertical="center" shrinkToFit="1"/>
    </xf>
    <xf numFmtId="169" fontId="92" fillId="0" borderId="0" xfId="0" applyNumberFormat="1" applyFont="1" applyFill="1" applyAlignment="1">
      <alignment horizontal="center" vertical="center" shrinkToFit="1"/>
    </xf>
    <xf numFmtId="169" fontId="130" fillId="0" borderId="0" xfId="0" applyNumberFormat="1" applyFont="1" applyFill="1" applyAlignment="1">
      <alignment horizontal="center" vertical="center" wrapText="1" shrinkToFit="1"/>
    </xf>
    <xf numFmtId="169" fontId="133" fillId="0" borderId="0" xfId="0" applyNumberFormat="1" applyFont="1" applyFill="1" applyAlignment="1">
      <alignment horizontal="center" vertical="center" shrinkToFit="1"/>
    </xf>
    <xf numFmtId="169" fontId="131" fillId="0" borderId="0" xfId="0" applyNumberFormat="1" applyFont="1" applyFill="1" applyAlignment="1">
      <alignment horizontal="center" vertical="center" shrinkToFit="1"/>
    </xf>
    <xf numFmtId="169" fontId="136" fillId="0" borderId="50" xfId="70" applyNumberFormat="1" applyFont="1" applyFill="1" applyBorder="1" applyAlignment="1">
      <alignment horizontal="center" vertical="center" wrapText="1" shrinkToFit="1"/>
    </xf>
    <xf numFmtId="169" fontId="92" fillId="0" borderId="50" xfId="70" applyNumberFormat="1" applyFont="1" applyFill="1" applyBorder="1" applyAlignment="1">
      <alignment horizontal="center" vertical="center"/>
    </xf>
    <xf numFmtId="169" fontId="25" fillId="0" borderId="50" xfId="70" applyNumberFormat="1" applyFont="1" applyFill="1" applyBorder="1" applyAlignment="1">
      <alignment horizontal="center" vertical="center" wrapText="1" shrinkToFit="1"/>
    </xf>
    <xf numFmtId="169" fontId="92" fillId="0" borderId="0" xfId="70" applyNumberFormat="1" applyFont="1" applyFill="1" applyBorder="1" applyAlignment="1">
      <alignment horizontal="center" vertical="center"/>
    </xf>
    <xf numFmtId="169" fontId="132" fillId="0" borderId="0" xfId="0" applyNumberFormat="1" applyFont="1" applyFill="1" applyAlignment="1">
      <alignment horizontal="center" vertical="center" shrinkToFit="1"/>
    </xf>
    <xf numFmtId="0" fontId="38" fillId="0" borderId="24" xfId="98" applyFont="1" applyFill="1" applyBorder="1" applyAlignment="1">
      <alignment vertical="center" wrapText="1" shrinkToFit="1"/>
    </xf>
    <xf numFmtId="0" fontId="38" fillId="0" borderId="27" xfId="98" applyFont="1" applyFill="1" applyBorder="1" applyAlignment="1">
      <alignment vertical="center" wrapText="1" shrinkToFit="1"/>
    </xf>
    <xf numFmtId="169" fontId="129" fillId="0" borderId="0" xfId="0" applyNumberFormat="1" applyFont="1" applyFill="1" applyBorder="1" applyAlignment="1">
      <alignment horizontal="center" vertical="center" shrinkToFit="1"/>
    </xf>
    <xf numFmtId="169" fontId="93" fillId="0" borderId="0" xfId="0" applyNumberFormat="1" applyFont="1" applyFill="1" applyBorder="1" applyAlignment="1">
      <alignment horizontal="center" vertical="center" shrinkToFit="1"/>
    </xf>
    <xf numFmtId="0" fontId="42" fillId="4" borderId="26" xfId="74" applyFont="1" applyFill="1" applyBorder="1" applyAlignment="1">
      <alignment horizontal="center" vertical="center" shrinkToFit="1"/>
    </xf>
    <xf numFmtId="0" fontId="44" fillId="4" borderId="26" xfId="74" applyFont="1" applyFill="1" applyBorder="1" applyAlignment="1">
      <alignment horizontal="center" vertical="center" shrinkToFit="1"/>
    </xf>
    <xf numFmtId="170" fontId="33" fillId="4" borderId="30" xfId="74" applyNumberFormat="1" applyFont="1" applyFill="1" applyBorder="1" applyAlignment="1">
      <alignment horizontal="center" vertical="center" shrinkToFit="1"/>
    </xf>
    <xf numFmtId="170" fontId="44" fillId="4" borderId="30" xfId="74" applyNumberFormat="1" applyFont="1" applyFill="1" applyBorder="1" applyAlignment="1">
      <alignment horizontal="center" vertical="center" shrinkToFit="1"/>
    </xf>
    <xf numFmtId="170" fontId="33" fillId="4" borderId="15" xfId="74" applyNumberFormat="1" applyFont="1" applyFill="1" applyBorder="1" applyAlignment="1">
      <alignment horizontal="center" vertical="center" wrapText="1" shrinkToFit="1"/>
    </xf>
    <xf numFmtId="169" fontId="33" fillId="4" borderId="15" xfId="9" applyNumberFormat="1" applyFont="1" applyFill="1" applyBorder="1" applyAlignment="1">
      <alignment horizontal="center" vertical="center"/>
    </xf>
    <xf numFmtId="170" fontId="33" fillId="4" borderId="15" xfId="9" applyNumberFormat="1" applyFont="1" applyFill="1" applyBorder="1" applyAlignment="1">
      <alignment horizontal="center" vertical="center"/>
    </xf>
    <xf numFmtId="170" fontId="33" fillId="4" borderId="26" xfId="74" applyNumberFormat="1" applyFont="1" applyFill="1" applyBorder="1" applyAlignment="1">
      <alignment horizontal="center" vertical="center" wrapText="1" shrinkToFit="1"/>
    </xf>
    <xf numFmtId="170" fontId="33" fillId="4" borderId="29" xfId="74" applyNumberFormat="1" applyFont="1" applyFill="1" applyBorder="1" applyAlignment="1">
      <alignment horizontal="center" vertical="center" wrapText="1" shrinkToFit="1"/>
    </xf>
    <xf numFmtId="170" fontId="46" fillId="4" borderId="15" xfId="0" applyNumberFormat="1" applyFont="1" applyFill="1" applyBorder="1" applyAlignment="1">
      <alignment horizontal="center" vertical="center" shrinkToFit="1" readingOrder="2"/>
    </xf>
    <xf numFmtId="170" fontId="33" fillId="4" borderId="15" xfId="0" applyNumberFormat="1" applyFont="1" applyFill="1" applyBorder="1" applyAlignment="1">
      <alignment vertical="center" shrinkToFit="1" readingOrder="2"/>
    </xf>
    <xf numFmtId="170" fontId="44" fillId="0" borderId="15" xfId="0" applyNumberFormat="1" applyFont="1" applyBorder="1" applyAlignment="1">
      <alignment vertical="center" shrinkToFit="1" readingOrder="2"/>
    </xf>
    <xf numFmtId="0" fontId="1" fillId="0" borderId="0" xfId="176" quotePrefix="1"/>
    <xf numFmtId="170" fontId="33" fillId="0" borderId="15" xfId="128" applyNumberFormat="1" applyFont="1" applyBorder="1" applyAlignment="1">
      <alignment vertical="center" shrinkToFit="1"/>
    </xf>
    <xf numFmtId="170" fontId="110" fillId="0" borderId="15" xfId="176" applyNumberFormat="1" applyFont="1" applyBorder="1" applyAlignment="1">
      <alignment shrinkToFit="1"/>
    </xf>
    <xf numFmtId="170" fontId="33" fillId="0" borderId="29" xfId="128" applyNumberFormat="1" applyFont="1" applyBorder="1" applyAlignment="1">
      <alignment vertical="center" shrinkToFit="1"/>
    </xf>
    <xf numFmtId="170" fontId="33" fillId="0" borderId="26" xfId="128" applyNumberFormat="1" applyFont="1" applyBorder="1" applyAlignment="1">
      <alignment vertical="center" shrinkToFit="1"/>
    </xf>
    <xf numFmtId="170" fontId="110" fillId="0" borderId="26" xfId="176" applyNumberFormat="1" applyFont="1" applyBorder="1" applyAlignment="1">
      <alignment shrinkToFit="1"/>
    </xf>
    <xf numFmtId="169" fontId="39" fillId="0" borderId="35" xfId="1" applyNumberFormat="1" applyFont="1" applyBorder="1" applyAlignment="1">
      <alignment horizontal="center" vertical="center" shrinkToFit="1"/>
    </xf>
    <xf numFmtId="169" fontId="129" fillId="0" borderId="0" xfId="70" applyNumberFormat="1" applyFont="1" applyFill="1" applyAlignment="1">
      <alignment horizontal="center" vertical="center" readingOrder="2"/>
    </xf>
    <xf numFmtId="169" fontId="137" fillId="0" borderId="4" xfId="90" applyNumberFormat="1" applyFont="1" applyFill="1" applyBorder="1" applyAlignment="1">
      <alignment horizontal="center" vertical="center" wrapText="1"/>
    </xf>
    <xf numFmtId="169" fontId="92" fillId="0" borderId="0" xfId="90" applyNumberFormat="1" applyFont="1" applyFill="1" applyBorder="1" applyAlignment="1">
      <alignment horizontal="center" vertical="center"/>
    </xf>
    <xf numFmtId="3" fontId="129" fillId="0" borderId="0" xfId="0" applyNumberFormat="1" applyFont="1" applyFill="1" applyAlignment="1">
      <alignment horizontal="center" vertical="center" textRotation="1"/>
    </xf>
    <xf numFmtId="49" fontId="93" fillId="0" borderId="27" xfId="0" applyNumberFormat="1" applyFont="1" applyFill="1" applyBorder="1" applyAlignment="1">
      <alignment horizontal="center" vertical="center" shrinkToFit="1"/>
    </xf>
    <xf numFmtId="169" fontId="133" fillId="0" borderId="0" xfId="90" applyNumberFormat="1" applyFont="1" applyFill="1" applyBorder="1" applyAlignment="1">
      <alignment horizontal="center" vertical="center"/>
    </xf>
    <xf numFmtId="0" fontId="33" fillId="0" borderId="0" xfId="74" applyFont="1" applyFill="1"/>
    <xf numFmtId="0" fontId="42" fillId="0" borderId="0" xfId="74" applyFont="1" applyFill="1" applyAlignment="1">
      <alignment horizontal="center" shrinkToFit="1" readingOrder="2"/>
    </xf>
    <xf numFmtId="0" fontId="44" fillId="0" borderId="0" xfId="74" applyFont="1" applyFill="1" applyAlignment="1">
      <alignment horizontal="right" shrinkToFit="1" readingOrder="2"/>
    </xf>
    <xf numFmtId="170" fontId="42" fillId="0" borderId="0" xfId="74" applyNumberFormat="1" applyFont="1" applyFill="1" applyAlignment="1">
      <alignment horizontal="center" wrapText="1" shrinkToFit="1" readingOrder="2"/>
    </xf>
    <xf numFmtId="170" fontId="34" fillId="0" borderId="0" xfId="74" applyNumberFormat="1" applyFont="1" applyFill="1" applyAlignment="1">
      <alignment horizontal="right" vertical="center" wrapText="1" readingOrder="2"/>
    </xf>
    <xf numFmtId="0" fontId="42" fillId="0" borderId="0" xfId="74" applyFont="1" applyFill="1" applyAlignment="1">
      <alignment shrinkToFit="1"/>
    </xf>
    <xf numFmtId="0" fontId="42" fillId="0" borderId="0" xfId="74" applyFont="1" applyFill="1" applyBorder="1" applyAlignment="1">
      <alignment horizontal="right" shrinkToFit="1"/>
    </xf>
    <xf numFmtId="170" fontId="33" fillId="0" borderId="0" xfId="74" applyNumberFormat="1" applyFont="1" applyFill="1" applyAlignment="1">
      <alignment horizontal="center" wrapText="1" shrinkToFit="1"/>
    </xf>
    <xf numFmtId="0" fontId="33" fillId="0" borderId="0" xfId="74" applyFont="1" applyFill="1" applyAlignment="1">
      <alignment horizontal="center" shrinkToFit="1"/>
    </xf>
    <xf numFmtId="169" fontId="34" fillId="0" borderId="0" xfId="74" applyNumberFormat="1" applyFont="1" applyFill="1" applyAlignment="1">
      <alignment vertical="center" readingOrder="2"/>
    </xf>
    <xf numFmtId="0" fontId="33" fillId="0" borderId="0" xfId="74" applyFont="1" applyFill="1" applyAlignment="1">
      <alignment vertical="center"/>
    </xf>
    <xf numFmtId="170" fontId="44" fillId="0" borderId="17" xfId="74" applyNumberFormat="1" applyFont="1" applyFill="1" applyBorder="1" applyAlignment="1">
      <alignment horizontal="center" vertical="center" wrapText="1" shrinkToFit="1"/>
    </xf>
    <xf numFmtId="170" fontId="44" fillId="0" borderId="8" xfId="74" applyNumberFormat="1" applyFont="1" applyFill="1" applyBorder="1" applyAlignment="1">
      <alignment horizontal="center" vertical="center" wrapText="1" shrinkToFit="1"/>
    </xf>
    <xf numFmtId="0" fontId="47" fillId="0" borderId="15" xfId="74" applyFont="1" applyFill="1" applyBorder="1" applyAlignment="1">
      <alignment horizontal="center"/>
    </xf>
    <xf numFmtId="0" fontId="44" fillId="0" borderId="15" xfId="74" applyFont="1" applyFill="1" applyBorder="1" applyAlignment="1">
      <alignment horizontal="center" vertical="center" shrinkToFit="1"/>
    </xf>
    <xf numFmtId="0" fontId="44" fillId="0" borderId="15" xfId="74" applyFont="1" applyFill="1" applyBorder="1" applyAlignment="1">
      <alignment horizontal="right" vertical="center" shrinkToFit="1"/>
    </xf>
    <xf numFmtId="170" fontId="44" fillId="0" borderId="15" xfId="74" applyNumberFormat="1" applyFont="1" applyFill="1" applyBorder="1" applyAlignment="1">
      <alignment horizontal="center" vertical="center" shrinkToFit="1"/>
    </xf>
    <xf numFmtId="170" fontId="47" fillId="0" borderId="15" xfId="74" applyNumberFormat="1" applyFont="1" applyFill="1" applyBorder="1" applyAlignment="1">
      <alignment horizontal="center" vertical="center" shrinkToFit="1"/>
    </xf>
    <xf numFmtId="170" fontId="33" fillId="0" borderId="15" xfId="74" applyNumberFormat="1" applyFont="1" applyFill="1" applyBorder="1" applyAlignment="1">
      <alignment horizontal="center" vertical="center" shrinkToFit="1"/>
    </xf>
    <xf numFmtId="0" fontId="42" fillId="0" borderId="0" xfId="74" applyFont="1" applyFill="1"/>
    <xf numFmtId="0" fontId="42" fillId="0" borderId="0" xfId="74" applyFont="1" applyFill="1" applyBorder="1" applyAlignment="1">
      <alignment horizontal="center" vertical="center" shrinkToFit="1"/>
    </xf>
    <xf numFmtId="170" fontId="42" fillId="0" borderId="0" xfId="74" applyNumberFormat="1" applyFont="1" applyFill="1" applyBorder="1" applyAlignment="1">
      <alignment horizontal="center" vertical="center" shrinkToFit="1"/>
    </xf>
    <xf numFmtId="170" fontId="44" fillId="0" borderId="26" xfId="74" applyNumberFormat="1" applyFont="1" applyFill="1" applyBorder="1" applyAlignment="1">
      <alignment horizontal="center" vertical="center" wrapText="1" shrinkToFit="1"/>
    </xf>
    <xf numFmtId="0" fontId="44" fillId="0" borderId="6" xfId="74" applyFont="1" applyFill="1" applyBorder="1" applyAlignment="1">
      <alignment horizontal="center" vertical="center" shrinkToFit="1"/>
    </xf>
    <xf numFmtId="170" fontId="44" fillId="0" borderId="4" xfId="74" applyNumberFormat="1" applyFont="1" applyFill="1" applyBorder="1" applyAlignment="1">
      <alignment horizontal="center" vertical="center" shrinkToFit="1"/>
    </xf>
    <xf numFmtId="170" fontId="44" fillId="0" borderId="6" xfId="74" applyNumberFormat="1" applyFont="1" applyFill="1" applyBorder="1" applyAlignment="1">
      <alignment horizontal="center" vertical="center" shrinkToFit="1"/>
    </xf>
    <xf numFmtId="0" fontId="44" fillId="0" borderId="29" xfId="74" applyFont="1" applyFill="1" applyBorder="1" applyAlignment="1">
      <alignment horizontal="center" vertical="center" shrinkToFit="1"/>
    </xf>
    <xf numFmtId="0" fontId="44" fillId="0" borderId="14" xfId="74" applyFont="1" applyFill="1" applyBorder="1" applyAlignment="1">
      <alignment horizontal="right" vertical="center" shrinkToFit="1"/>
    </xf>
    <xf numFmtId="0" fontId="44" fillId="0" borderId="4" xfId="74" applyFont="1" applyFill="1" applyBorder="1" applyAlignment="1">
      <alignment horizontal="center" vertical="center" shrinkToFit="1"/>
    </xf>
    <xf numFmtId="170" fontId="44" fillId="0" borderId="8" xfId="74" applyNumberFormat="1" applyFont="1" applyFill="1" applyBorder="1" applyAlignment="1">
      <alignment horizontal="center" vertical="center" shrinkToFit="1"/>
    </xf>
    <xf numFmtId="170" fontId="44" fillId="0" borderId="20" xfId="74" applyNumberFormat="1" applyFont="1" applyFill="1" applyBorder="1" applyAlignment="1">
      <alignment horizontal="center" vertical="center" shrinkToFit="1"/>
    </xf>
    <xf numFmtId="0" fontId="44" fillId="0" borderId="8" xfId="74" applyFont="1" applyFill="1" applyBorder="1" applyAlignment="1">
      <alignment horizontal="center" vertical="center" shrinkToFit="1"/>
    </xf>
    <xf numFmtId="0" fontId="44" fillId="0" borderId="20" xfId="74" applyFont="1" applyFill="1" applyBorder="1" applyAlignment="1">
      <alignment horizontal="center" vertical="center" shrinkToFit="1"/>
    </xf>
    <xf numFmtId="0" fontId="47" fillId="0" borderId="0" xfId="74" applyFont="1" applyFill="1"/>
    <xf numFmtId="0" fontId="44" fillId="0" borderId="6" xfId="74" applyFont="1" applyFill="1" applyBorder="1" applyAlignment="1">
      <alignment horizontal="right" vertical="center" shrinkToFit="1"/>
    </xf>
    <xf numFmtId="170" fontId="44" fillId="0" borderId="16" xfId="74" applyNumberFormat="1" applyFont="1" applyFill="1" applyBorder="1" applyAlignment="1">
      <alignment horizontal="center" vertical="center" shrinkToFit="1"/>
    </xf>
    <xf numFmtId="170" fontId="44" fillId="0" borderId="29" xfId="74" applyNumberFormat="1" applyFont="1" applyFill="1" applyBorder="1" applyAlignment="1">
      <alignment horizontal="center" vertical="center" shrinkToFit="1"/>
    </xf>
    <xf numFmtId="170" fontId="44" fillId="0" borderId="15" xfId="74" applyNumberFormat="1" applyFont="1" applyFill="1" applyBorder="1" applyAlignment="1">
      <alignment horizontal="center" vertical="center" shrinkToFit="1" readingOrder="2"/>
    </xf>
    <xf numFmtId="170" fontId="44" fillId="0" borderId="26" xfId="74" applyNumberFormat="1" applyFont="1" applyFill="1" applyBorder="1" applyAlignment="1">
      <alignment horizontal="center" vertical="center" shrinkToFit="1"/>
    </xf>
    <xf numFmtId="0" fontId="44" fillId="0" borderId="5" xfId="74" applyFont="1" applyFill="1" applyBorder="1" applyAlignment="1">
      <alignment horizontal="center" vertical="center" shrinkToFit="1"/>
    </xf>
    <xf numFmtId="0" fontId="44" fillId="0" borderId="31" xfId="74" applyFont="1" applyFill="1" applyBorder="1" applyAlignment="1">
      <alignment horizontal="center" vertical="center" shrinkToFit="1"/>
    </xf>
    <xf numFmtId="0" fontId="47" fillId="0" borderId="15" xfId="74" applyFont="1" applyFill="1" applyBorder="1" applyAlignment="1">
      <alignment horizontal="center" vertical="center"/>
    </xf>
    <xf numFmtId="0" fontId="37" fillId="0" borderId="15" xfId="74" applyFont="1" applyFill="1" applyBorder="1" applyAlignment="1">
      <alignment horizontal="right" vertical="center" shrinkToFit="1"/>
    </xf>
    <xf numFmtId="0" fontId="44" fillId="0" borderId="27" xfId="74" applyFont="1" applyFill="1" applyBorder="1" applyAlignment="1">
      <alignment horizontal="right" vertical="center" shrinkToFit="1"/>
    </xf>
    <xf numFmtId="170" fontId="47" fillId="0" borderId="16" xfId="74" applyNumberFormat="1" applyFont="1" applyFill="1" applyBorder="1" applyAlignment="1">
      <alignment horizontal="center" vertical="center" shrinkToFit="1"/>
    </xf>
    <xf numFmtId="170" fontId="33" fillId="0" borderId="30" xfId="74" applyNumberFormat="1" applyFont="1" applyFill="1" applyBorder="1" applyAlignment="1">
      <alignment horizontal="center" vertical="center" shrinkToFit="1"/>
    </xf>
    <xf numFmtId="170" fontId="44" fillId="0" borderId="30" xfId="74" applyNumberFormat="1" applyFont="1" applyFill="1" applyBorder="1" applyAlignment="1">
      <alignment horizontal="center" vertical="center" shrinkToFit="1"/>
    </xf>
    <xf numFmtId="0" fontId="44" fillId="0" borderId="24" xfId="74" applyFont="1" applyFill="1" applyBorder="1" applyAlignment="1">
      <alignment horizontal="center" vertical="center" textRotation="90"/>
    </xf>
    <xf numFmtId="0" fontId="44" fillId="0" borderId="0" xfId="74" applyFont="1" applyFill="1" applyBorder="1" applyAlignment="1">
      <alignment horizontal="center" vertical="center" shrinkToFit="1"/>
    </xf>
    <xf numFmtId="170" fontId="44" fillId="0" borderId="0" xfId="74" applyNumberFormat="1" applyFont="1" applyFill="1" applyBorder="1" applyAlignment="1">
      <alignment horizontal="center" vertical="center" shrinkToFit="1"/>
    </xf>
    <xf numFmtId="0" fontId="44" fillId="0" borderId="0" xfId="0" applyFont="1" applyFill="1" applyAlignment="1">
      <alignment horizontal="center" vertical="center" shrinkToFit="1"/>
    </xf>
    <xf numFmtId="0" fontId="42" fillId="0" borderId="0" xfId="74" applyFont="1" applyFill="1" applyBorder="1"/>
    <xf numFmtId="0" fontId="42" fillId="0" borderId="0" xfId="74" applyFont="1" applyFill="1" applyBorder="1" applyAlignment="1">
      <alignment vertical="center" textRotation="90"/>
    </xf>
    <xf numFmtId="0" fontId="42" fillId="0" borderId="0" xfId="0" applyFont="1" applyFill="1" applyAlignment="1">
      <alignment horizontal="center" vertical="center" shrinkToFit="1"/>
    </xf>
    <xf numFmtId="0" fontId="44" fillId="0" borderId="0" xfId="74" applyFont="1" applyFill="1"/>
    <xf numFmtId="170" fontId="47" fillId="0" borderId="0" xfId="74" applyNumberFormat="1" applyFont="1" applyFill="1" applyAlignment="1">
      <alignment horizontal="center" wrapText="1" shrinkToFit="1"/>
    </xf>
    <xf numFmtId="0" fontId="47" fillId="0" borderId="0" xfId="74" applyFont="1" applyFill="1" applyAlignment="1">
      <alignment horizontal="center" shrinkToFit="1"/>
    </xf>
    <xf numFmtId="49" fontId="44" fillId="0" borderId="27" xfId="0" applyNumberFormat="1" applyFont="1" applyFill="1" applyBorder="1" applyAlignment="1">
      <alignment horizontal="center" vertical="center" shrinkToFit="1"/>
    </xf>
    <xf numFmtId="170" fontId="44" fillId="0" borderId="27" xfId="74" applyNumberFormat="1" applyFont="1" applyFill="1" applyBorder="1" applyAlignment="1">
      <alignment horizontal="center" vertical="center" shrinkToFit="1"/>
    </xf>
    <xf numFmtId="0" fontId="42" fillId="0" borderId="27" xfId="74" applyFont="1" applyFill="1" applyBorder="1" applyAlignment="1">
      <alignment horizontal="right" vertical="center" shrinkToFit="1"/>
    </xf>
    <xf numFmtId="170" fontId="128" fillId="0" borderId="17" xfId="74" applyNumberFormat="1" applyFont="1" applyFill="1" applyBorder="1" applyAlignment="1">
      <alignment horizontal="center" vertical="center" wrapText="1" shrinkToFit="1"/>
    </xf>
    <xf numFmtId="170" fontId="128" fillId="0" borderId="8" xfId="74" applyNumberFormat="1" applyFont="1" applyFill="1" applyBorder="1" applyAlignment="1">
      <alignment horizontal="center" vertical="center" wrapText="1" shrinkToFit="1"/>
    </xf>
    <xf numFmtId="0" fontId="44" fillId="0" borderId="17" xfId="74" applyFont="1" applyFill="1" applyBorder="1" applyAlignment="1">
      <alignment horizontal="center" vertical="center" shrinkToFit="1"/>
    </xf>
    <xf numFmtId="170" fontId="33" fillId="0" borderId="15" xfId="74" applyNumberFormat="1" applyFont="1" applyFill="1" applyBorder="1"/>
    <xf numFmtId="170" fontId="33" fillId="0" borderId="0" xfId="74" applyNumberFormat="1" applyFont="1" applyFill="1"/>
    <xf numFmtId="169" fontId="37" fillId="0" borderId="24" xfId="0" applyNumberFormat="1" applyFont="1" applyFill="1" applyBorder="1" applyAlignment="1">
      <alignment vertical="center" shrinkToFit="1"/>
    </xf>
    <xf numFmtId="169" fontId="37" fillId="0" borderId="27" xfId="0" applyNumberFormat="1" applyFont="1" applyFill="1" applyBorder="1" applyAlignment="1">
      <alignment vertical="center" shrinkToFit="1"/>
    </xf>
    <xf numFmtId="0" fontId="33" fillId="0" borderId="0" xfId="74" applyFont="1" applyFill="1" applyAlignment="1">
      <alignment shrinkToFit="1"/>
    </xf>
    <xf numFmtId="0" fontId="47" fillId="0" borderId="0" xfId="74" applyFont="1" applyFill="1" applyAlignment="1">
      <alignment horizontal="right" shrinkToFit="1"/>
    </xf>
    <xf numFmtId="170" fontId="33" fillId="0" borderId="0" xfId="74" applyNumberFormat="1" applyFont="1" applyFill="1" applyAlignment="1">
      <alignment wrapText="1" shrinkToFit="1"/>
    </xf>
    <xf numFmtId="0" fontId="42" fillId="0" borderId="0" xfId="74" applyFont="1" applyFill="1" applyBorder="1" applyAlignment="1">
      <alignment horizontal="right" vertical="center" shrinkToFit="1"/>
    </xf>
    <xf numFmtId="0" fontId="44" fillId="0" borderId="15" xfId="74" applyFont="1" applyFill="1" applyBorder="1" applyAlignment="1">
      <alignment horizontal="center" vertical="center" textRotation="90" shrinkToFit="1"/>
    </xf>
    <xf numFmtId="0" fontId="44" fillId="0" borderId="26" xfId="74" applyFont="1" applyFill="1" applyBorder="1" applyAlignment="1">
      <alignment horizontal="center" vertical="center" textRotation="90" shrinkToFit="1"/>
    </xf>
    <xf numFmtId="0" fontId="44" fillId="0" borderId="15" xfId="74" applyFont="1" applyFill="1" applyBorder="1" applyAlignment="1">
      <alignment horizontal="center" vertical="center" textRotation="90"/>
    </xf>
    <xf numFmtId="169" fontId="34" fillId="0" borderId="0" xfId="74" applyNumberFormat="1" applyFont="1" applyFill="1" applyAlignment="1">
      <alignment horizontal="right" vertical="center" readingOrder="2"/>
    </xf>
    <xf numFmtId="170" fontId="128" fillId="0" borderId="20" xfId="74" applyNumberFormat="1" applyFont="1" applyFill="1" applyBorder="1" applyAlignment="1">
      <alignment horizontal="center" vertical="center" wrapText="1" shrinkToFit="1"/>
    </xf>
    <xf numFmtId="0" fontId="44" fillId="0" borderId="42" xfId="74" applyFont="1" applyFill="1" applyBorder="1" applyAlignment="1">
      <alignment horizontal="center" vertical="center" shrinkToFit="1"/>
    </xf>
    <xf numFmtId="170" fontId="44" fillId="0" borderId="15" xfId="74" applyNumberFormat="1" applyFont="1" applyFill="1" applyBorder="1" applyAlignment="1">
      <alignment horizontal="center" vertical="center" wrapText="1" shrinkToFit="1"/>
    </xf>
    <xf numFmtId="0" fontId="44" fillId="0" borderId="15" xfId="74" applyFont="1" applyFill="1" applyBorder="1" applyAlignment="1">
      <alignment horizontal="center" vertical="center" wrapText="1" shrinkToFit="1"/>
    </xf>
    <xf numFmtId="170" fontId="44" fillId="0" borderId="20" xfId="74" applyNumberFormat="1" applyFont="1" applyFill="1" applyBorder="1" applyAlignment="1">
      <alignment horizontal="center" vertical="center" wrapText="1" shrinkToFit="1"/>
    </xf>
    <xf numFmtId="0" fontId="44" fillId="0" borderId="16" xfId="74" applyFont="1" applyFill="1" applyBorder="1" applyAlignment="1">
      <alignment horizontal="center" vertical="center" shrinkToFit="1"/>
    </xf>
    <xf numFmtId="0" fontId="44" fillId="0" borderId="27" xfId="74" applyFont="1" applyFill="1" applyBorder="1" applyAlignment="1">
      <alignment horizontal="center" vertical="center" shrinkToFit="1"/>
    </xf>
    <xf numFmtId="170" fontId="44" fillId="0" borderId="13" xfId="74" applyNumberFormat="1" applyFont="1" applyFill="1" applyBorder="1" applyAlignment="1">
      <alignment horizontal="center" vertical="center" wrapText="1" shrinkToFit="1"/>
    </xf>
    <xf numFmtId="0" fontId="44" fillId="7" borderId="15" xfId="74" applyFont="1" applyFill="1" applyBorder="1" applyAlignment="1">
      <alignment horizontal="right" vertical="center" shrinkToFit="1"/>
    </xf>
    <xf numFmtId="0" fontId="44" fillId="7" borderId="4" xfId="74" applyFont="1" applyFill="1" applyBorder="1" applyAlignment="1">
      <alignment horizontal="center" vertical="center" shrinkToFit="1"/>
    </xf>
    <xf numFmtId="0" fontId="42" fillId="7" borderId="15" xfId="74" applyFont="1" applyFill="1" applyBorder="1" applyAlignment="1">
      <alignment horizontal="center" vertical="center" shrinkToFit="1"/>
    </xf>
    <xf numFmtId="170" fontId="44" fillId="7" borderId="15" xfId="74" applyNumberFormat="1" applyFont="1" applyFill="1" applyBorder="1" applyAlignment="1">
      <alignment horizontal="center" vertical="center" shrinkToFit="1"/>
    </xf>
    <xf numFmtId="0" fontId="33" fillId="7" borderId="15" xfId="74" applyFont="1" applyFill="1" applyBorder="1" applyAlignment="1">
      <alignment horizontal="center" vertical="center" shrinkToFit="1"/>
    </xf>
    <xf numFmtId="0" fontId="33" fillId="7" borderId="0" xfId="74" applyFont="1" applyFill="1"/>
    <xf numFmtId="0" fontId="44" fillId="7" borderId="15" xfId="74" applyFont="1" applyFill="1" applyBorder="1" applyAlignment="1">
      <alignment horizontal="center" vertical="center" shrinkToFit="1"/>
    </xf>
    <xf numFmtId="0" fontId="44" fillId="7" borderId="6" xfId="74" applyFont="1" applyFill="1" applyBorder="1" applyAlignment="1">
      <alignment horizontal="center" vertical="center" shrinkToFit="1"/>
    </xf>
    <xf numFmtId="0" fontId="47" fillId="7" borderId="15" xfId="74" applyFont="1" applyFill="1" applyBorder="1" applyAlignment="1">
      <alignment horizontal="center"/>
    </xf>
    <xf numFmtId="0" fontId="44" fillId="7" borderId="27" xfId="74" applyFont="1" applyFill="1" applyBorder="1" applyAlignment="1">
      <alignment horizontal="center" vertical="center" shrinkToFit="1"/>
    </xf>
    <xf numFmtId="170" fontId="33" fillId="7" borderId="15" xfId="74" applyNumberFormat="1" applyFont="1" applyFill="1" applyBorder="1"/>
    <xf numFmtId="0" fontId="44" fillId="7" borderId="15" xfId="74" applyFont="1" applyFill="1" applyBorder="1" applyAlignment="1">
      <alignment horizontal="center" vertical="center" textRotation="90"/>
    </xf>
    <xf numFmtId="0" fontId="44" fillId="7" borderId="26" xfId="74" applyFont="1" applyFill="1" applyBorder="1" applyAlignment="1">
      <alignment horizontal="center" vertical="center" textRotation="90" shrinkToFit="1"/>
    </xf>
    <xf numFmtId="169" fontId="40" fillId="0" borderId="0" xfId="70" applyNumberFormat="1" applyFont="1" applyAlignment="1">
      <alignment horizontal="center" vertical="center" readingOrder="2"/>
    </xf>
    <xf numFmtId="169" fontId="38" fillId="0" borderId="0" xfId="70" applyNumberFormat="1" applyFont="1" applyAlignment="1">
      <alignment horizontal="right" vertical="center" wrapText="1" indent="1" readingOrder="2"/>
    </xf>
    <xf numFmtId="169" fontId="41" fillId="0" borderId="0" xfId="0" applyNumberFormat="1" applyFont="1" applyAlignment="1">
      <alignment horizontal="center" vertical="center" shrinkToFit="1"/>
    </xf>
    <xf numFmtId="169" fontId="41" fillId="0" borderId="0" xfId="0" applyNumberFormat="1" applyFont="1" applyAlignment="1">
      <alignment horizontal="center" vertical="center"/>
    </xf>
    <xf numFmtId="169" fontId="35" fillId="0" borderId="1" xfId="70" applyNumberFormat="1" applyFont="1" applyBorder="1" applyAlignment="1">
      <alignment horizontal="center" wrapText="1" readingOrder="2"/>
    </xf>
    <xf numFmtId="169" fontId="41" fillId="0" borderId="0" xfId="70" applyNumberFormat="1" applyFont="1" applyAlignment="1">
      <alignment horizontal="center" vertical="center" readingOrder="2"/>
    </xf>
    <xf numFmtId="169" fontId="42" fillId="0" borderId="0" xfId="0" applyNumberFormat="1" applyFont="1" applyAlignment="1">
      <alignment horizontal="center" vertical="center" shrinkToFit="1"/>
    </xf>
    <xf numFmtId="169" fontId="40" fillId="0" borderId="0" xfId="0" applyNumberFormat="1" applyFont="1" applyAlignment="1">
      <alignment horizontal="center" vertical="center" shrinkToFit="1"/>
    </xf>
    <xf numFmtId="169" fontId="35" fillId="0" borderId="0" xfId="0" applyNumberFormat="1" applyFont="1" applyAlignment="1">
      <alignment horizontal="center" vertical="center" shrinkToFit="1"/>
    </xf>
    <xf numFmtId="169" fontId="35" fillId="0" borderId="0" xfId="0" applyNumberFormat="1" applyFont="1" applyAlignment="1">
      <alignment horizontal="center" vertical="center"/>
    </xf>
    <xf numFmtId="169" fontId="35" fillId="0" borderId="0" xfId="0" applyNumberFormat="1" applyFont="1" applyAlignment="1">
      <alignment horizontal="left" vertical="center"/>
    </xf>
    <xf numFmtId="169" fontId="37" fillId="0" borderId="28" xfId="0" applyNumberFormat="1" applyFont="1" applyBorder="1" applyAlignment="1">
      <alignment horizontal="center" vertical="center" shrinkToFit="1"/>
    </xf>
    <xf numFmtId="169" fontId="37" fillId="0" borderId="0" xfId="0" applyNumberFormat="1" applyFont="1" applyAlignment="1">
      <alignment horizontal="center" vertical="center" shrinkToFit="1"/>
    </xf>
    <xf numFmtId="169" fontId="38" fillId="0" borderId="0" xfId="0" applyNumberFormat="1" applyFont="1" applyAlignment="1">
      <alignment horizontal="center" vertical="center" shrinkToFit="1"/>
    </xf>
    <xf numFmtId="170" fontId="37" fillId="0" borderId="0" xfId="0" applyNumberFormat="1" applyFont="1" applyAlignment="1">
      <alignment horizontal="center" vertical="center" shrinkToFit="1"/>
    </xf>
    <xf numFmtId="170" fontId="37" fillId="0" borderId="1" xfId="0" applyNumberFormat="1" applyFont="1" applyBorder="1" applyAlignment="1">
      <alignment horizontal="center" vertical="center" shrinkToFit="1"/>
    </xf>
    <xf numFmtId="170" fontId="38" fillId="0" borderId="1" xfId="0" applyNumberFormat="1" applyFont="1" applyBorder="1" applyAlignment="1">
      <alignment horizontal="center" vertical="center" shrinkToFit="1"/>
    </xf>
    <xf numFmtId="169" fontId="37" fillId="0" borderId="32" xfId="0" applyNumberFormat="1" applyFont="1" applyBorder="1" applyAlignment="1">
      <alignment horizontal="center" vertical="center" shrinkToFit="1"/>
    </xf>
    <xf numFmtId="49" fontId="42" fillId="0" borderId="0" xfId="0" applyNumberFormat="1" applyFont="1" applyAlignment="1">
      <alignment horizontal="center" vertical="center" shrinkToFit="1"/>
    </xf>
    <xf numFmtId="169" fontId="37" fillId="0" borderId="0" xfId="0" applyNumberFormat="1" applyFont="1" applyAlignment="1">
      <alignment horizontal="center" shrinkToFit="1"/>
    </xf>
    <xf numFmtId="170" fontId="38" fillId="0" borderId="0" xfId="0" applyNumberFormat="1" applyFont="1" applyAlignment="1">
      <alignment horizontal="center" vertical="center" shrinkToFit="1"/>
    </xf>
    <xf numFmtId="169" fontId="37" fillId="0" borderId="3" xfId="0" applyNumberFormat="1" applyFont="1" applyBorder="1" applyAlignment="1">
      <alignment horizontal="center" vertical="center" shrinkToFit="1"/>
    </xf>
    <xf numFmtId="169" fontId="41" fillId="0" borderId="1" xfId="0" applyNumberFormat="1" applyFont="1" applyBorder="1" applyAlignment="1">
      <alignment horizontal="center" vertical="center" shrinkToFit="1"/>
    </xf>
    <xf numFmtId="169" fontId="41" fillId="0" borderId="13" xfId="0" applyNumberFormat="1" applyFont="1" applyBorder="1" applyAlignment="1">
      <alignment horizontal="center" vertical="center" shrinkToFit="1"/>
    </xf>
    <xf numFmtId="169" fontId="37" fillId="0" borderId="0" xfId="0" applyNumberFormat="1" applyFont="1" applyAlignment="1">
      <alignment horizontal="right" vertical="center" shrinkToFit="1"/>
    </xf>
    <xf numFmtId="169" fontId="41" fillId="0" borderId="0" xfId="0" applyNumberFormat="1" applyFont="1" applyAlignment="1">
      <alignment horizontal="center"/>
    </xf>
    <xf numFmtId="0" fontId="42" fillId="0" borderId="0" xfId="0" applyFont="1" applyAlignment="1">
      <alignment horizontal="center" vertical="center"/>
    </xf>
    <xf numFmtId="169" fontId="42" fillId="0" borderId="0" xfId="0" applyNumberFormat="1" applyFont="1" applyAlignment="1">
      <alignment horizontal="center" vertical="center"/>
    </xf>
    <xf numFmtId="176" fontId="37" fillId="0" borderId="28" xfId="0" applyNumberFormat="1" applyFont="1" applyBorder="1" applyAlignment="1">
      <alignment horizontal="center" shrinkToFit="1"/>
    </xf>
    <xf numFmtId="169" fontId="38" fillId="0" borderId="28" xfId="0" applyNumberFormat="1" applyFont="1" applyBorder="1" applyAlignment="1">
      <alignment horizontal="center" vertical="center" shrinkToFit="1"/>
    </xf>
    <xf numFmtId="169" fontId="38" fillId="0" borderId="32" xfId="0" applyNumberFormat="1" applyFont="1" applyBorder="1" applyAlignment="1">
      <alignment horizontal="center" vertical="center" shrinkToFit="1"/>
    </xf>
    <xf numFmtId="169" fontId="35" fillId="0" borderId="0" xfId="0" applyNumberFormat="1" applyFont="1" applyAlignment="1">
      <alignment horizontal="center" shrinkToFit="1"/>
    </xf>
    <xf numFmtId="169" fontId="35" fillId="0" borderId="0" xfId="0" applyNumberFormat="1" applyFont="1" applyAlignment="1">
      <alignment horizontal="center"/>
    </xf>
    <xf numFmtId="169" fontId="39" fillId="0" borderId="1" xfId="0" applyNumberFormat="1" applyFont="1" applyBorder="1" applyAlignment="1">
      <alignment horizontal="center" shrinkToFit="1"/>
    </xf>
    <xf numFmtId="169" fontId="39" fillId="0" borderId="1" xfId="0" applyNumberFormat="1" applyFont="1" applyBorder="1" applyAlignment="1">
      <alignment horizontal="center" wrapText="1" shrinkToFit="1"/>
    </xf>
    <xf numFmtId="169" fontId="39" fillId="0" borderId="0" xfId="0" applyNumberFormat="1" applyFont="1" applyAlignment="1">
      <alignment horizontal="center" shrinkToFit="1"/>
    </xf>
    <xf numFmtId="169" fontId="39" fillId="0" borderId="28" xfId="0" applyNumberFormat="1" applyFont="1" applyBorder="1" applyAlignment="1">
      <alignment horizontal="center" shrinkToFit="1"/>
    </xf>
    <xf numFmtId="169" fontId="34" fillId="0" borderId="0" xfId="0" applyNumberFormat="1" applyFont="1" applyAlignment="1">
      <alignment horizontal="center"/>
    </xf>
    <xf numFmtId="169" fontId="38" fillId="0" borderId="0" xfId="0" applyNumberFormat="1" applyFont="1" applyAlignment="1">
      <alignment horizontal="center" shrinkToFit="1"/>
    </xf>
    <xf numFmtId="169" fontId="34" fillId="0" borderId="0" xfId="0" applyNumberFormat="1" applyFont="1" applyAlignment="1">
      <alignment horizontal="center" vertical="center" shrinkToFit="1"/>
    </xf>
    <xf numFmtId="169" fontId="34" fillId="0" borderId="0" xfId="0" applyNumberFormat="1" applyFont="1" applyAlignment="1">
      <alignment horizontal="right" shrinkToFit="1"/>
    </xf>
    <xf numFmtId="169" fontId="39" fillId="0" borderId="0" xfId="0" applyNumberFormat="1" applyFont="1" applyAlignment="1">
      <alignment horizontal="right" shrinkToFit="1"/>
    </xf>
    <xf numFmtId="169" fontId="39" fillId="0" borderId="0" xfId="0" applyNumberFormat="1" applyFont="1" applyAlignment="1">
      <alignment shrinkToFit="1"/>
    </xf>
    <xf numFmtId="169" fontId="35" fillId="0" borderId="0" xfId="70" applyNumberFormat="1" applyFont="1" applyAlignment="1">
      <alignment horizontal="right" vertical="center" readingOrder="2"/>
    </xf>
    <xf numFmtId="3" fontId="38" fillId="0" borderId="0" xfId="70" applyNumberFormat="1" applyFont="1" applyAlignment="1">
      <alignment horizontal="center"/>
    </xf>
    <xf numFmtId="169" fontId="38" fillId="0" borderId="0" xfId="70" applyNumberFormat="1" applyFont="1" applyAlignment="1">
      <alignment horizontal="right" vertical="center" wrapText="1" readingOrder="2"/>
    </xf>
    <xf numFmtId="169" fontId="38" fillId="0" borderId="0" xfId="70" applyNumberFormat="1" applyFont="1" applyAlignment="1">
      <alignment horizontal="center" shrinkToFit="1"/>
    </xf>
    <xf numFmtId="169" fontId="38" fillId="0" borderId="0" xfId="70" applyNumberFormat="1" applyFont="1" applyAlignment="1">
      <alignment horizontal="right" vertical="center" wrapText="1"/>
    </xf>
    <xf numFmtId="169" fontId="41" fillId="0" borderId="0" xfId="70" applyNumberFormat="1" applyFont="1" applyAlignment="1">
      <alignment horizontal="right" vertical="center" readingOrder="2"/>
    </xf>
    <xf numFmtId="0" fontId="41" fillId="0" borderId="0" xfId="74" applyFont="1" applyFill="1" applyAlignment="1">
      <alignment horizontal="center" shrinkToFit="1" readingOrder="2"/>
    </xf>
    <xf numFmtId="169" fontId="34" fillId="0" borderId="0" xfId="74" applyNumberFormat="1" applyFont="1" applyFill="1" applyAlignment="1">
      <alignment horizontal="right" vertical="center" readingOrder="2"/>
    </xf>
    <xf numFmtId="0" fontId="42" fillId="0" borderId="1" xfId="74" applyFont="1" applyFill="1" applyBorder="1" applyAlignment="1">
      <alignment horizontal="center" shrinkToFit="1"/>
    </xf>
    <xf numFmtId="0" fontId="44" fillId="0" borderId="16" xfId="74" applyFont="1" applyFill="1" applyBorder="1" applyAlignment="1">
      <alignment horizontal="center" vertical="center" shrinkToFit="1"/>
    </xf>
    <xf numFmtId="0" fontId="44" fillId="0" borderId="24" xfId="74" applyFont="1" applyFill="1" applyBorder="1" applyAlignment="1">
      <alignment horizontal="center" vertical="center" shrinkToFit="1"/>
    </xf>
    <xf numFmtId="0" fontId="44" fillId="0" borderId="27" xfId="74" applyFont="1" applyFill="1" applyBorder="1" applyAlignment="1">
      <alignment horizontal="center" vertical="center" shrinkToFit="1"/>
    </xf>
    <xf numFmtId="0" fontId="44" fillId="0" borderId="8" xfId="74" applyFont="1" applyFill="1" applyBorder="1" applyAlignment="1">
      <alignment horizontal="center" vertical="center" wrapText="1" shrinkToFit="1"/>
    </xf>
    <xf numFmtId="0" fontId="44" fillId="0" borderId="59" xfId="74" applyFont="1" applyFill="1" applyBorder="1" applyAlignment="1">
      <alignment horizontal="center" vertical="center" wrapText="1" shrinkToFit="1"/>
    </xf>
    <xf numFmtId="0" fontId="44" fillId="0" borderId="7" xfId="74" applyFont="1" applyFill="1" applyBorder="1" applyAlignment="1">
      <alignment horizontal="center" vertical="center" wrapText="1" shrinkToFit="1"/>
    </xf>
    <xf numFmtId="0" fontId="44" fillId="0" borderId="26" xfId="74" applyFont="1" applyFill="1" applyBorder="1" applyAlignment="1">
      <alignment horizontal="center" vertical="center" textRotation="90"/>
    </xf>
    <xf numFmtId="0" fontId="44" fillId="0" borderId="41" xfId="74" applyFont="1" applyFill="1" applyBorder="1" applyAlignment="1">
      <alignment horizontal="center" vertical="center" textRotation="90"/>
    </xf>
    <xf numFmtId="0" fontId="44" fillId="0" borderId="26" xfId="74" applyFont="1" applyFill="1" applyBorder="1" applyAlignment="1">
      <alignment horizontal="center" vertical="center" textRotation="90" shrinkToFit="1"/>
    </xf>
    <xf numFmtId="0" fontId="44" fillId="0" borderId="41" xfId="74" applyFont="1" applyFill="1" applyBorder="1" applyAlignment="1">
      <alignment horizontal="center" vertical="center" textRotation="90" shrinkToFit="1"/>
    </xf>
    <xf numFmtId="0" fontId="44" fillId="0" borderId="29" xfId="74" applyFont="1" applyFill="1" applyBorder="1" applyAlignment="1">
      <alignment horizontal="center" vertical="center" textRotation="90" shrinkToFit="1"/>
    </xf>
    <xf numFmtId="0" fontId="44" fillId="0" borderId="73" xfId="74" applyFont="1" applyFill="1" applyBorder="1" applyAlignment="1">
      <alignment horizontal="center" vertical="center" textRotation="90" shrinkToFit="1"/>
    </xf>
    <xf numFmtId="170" fontId="44" fillId="0" borderId="2" xfId="74" applyNumberFormat="1" applyFont="1" applyFill="1" applyBorder="1" applyAlignment="1">
      <alignment horizontal="center" vertical="center" wrapText="1" shrinkToFit="1"/>
    </xf>
    <xf numFmtId="170" fontId="44" fillId="0" borderId="13" xfId="74" applyNumberFormat="1" applyFont="1" applyFill="1" applyBorder="1" applyAlignment="1">
      <alignment horizontal="center" vertical="center" wrapText="1" shrinkToFit="1"/>
    </xf>
    <xf numFmtId="170" fontId="44" fillId="0" borderId="5" xfId="74" applyNumberFormat="1" applyFont="1" applyFill="1" applyBorder="1" applyAlignment="1">
      <alignment horizontal="center" vertical="center" wrapText="1" shrinkToFit="1"/>
    </xf>
    <xf numFmtId="170" fontId="44" fillId="0" borderId="6" xfId="74" applyNumberFormat="1" applyFont="1" applyFill="1" applyBorder="1" applyAlignment="1">
      <alignment horizontal="center" vertical="center" wrapText="1" shrinkToFit="1"/>
    </xf>
    <xf numFmtId="0" fontId="44" fillId="0" borderId="26" xfId="74" applyFont="1" applyFill="1" applyBorder="1" applyAlignment="1">
      <alignment horizontal="center" vertical="center"/>
    </xf>
    <xf numFmtId="0" fontId="44" fillId="0" borderId="29" xfId="74" applyFont="1" applyFill="1" applyBorder="1" applyAlignment="1">
      <alignment horizontal="center" vertical="center"/>
    </xf>
    <xf numFmtId="0" fontId="44" fillId="0" borderId="29" xfId="74" applyFont="1" applyFill="1" applyBorder="1" applyAlignment="1">
      <alignment horizontal="center" vertical="center" textRotation="90"/>
    </xf>
    <xf numFmtId="0" fontId="42" fillId="0" borderId="1" xfId="74" applyFont="1" applyFill="1" applyBorder="1" applyAlignment="1">
      <alignment horizontal="right" shrinkToFit="1"/>
    </xf>
    <xf numFmtId="0" fontId="42" fillId="0" borderId="0" xfId="74" applyFont="1" applyFill="1" applyAlignment="1">
      <alignment horizontal="center" shrinkToFit="1"/>
    </xf>
    <xf numFmtId="0" fontId="44" fillId="0" borderId="28" xfId="74" applyFont="1" applyFill="1" applyBorder="1" applyAlignment="1">
      <alignment horizontal="right" shrinkToFit="1"/>
    </xf>
    <xf numFmtId="0" fontId="44" fillId="0" borderId="1" xfId="74" applyFont="1" applyFill="1" applyBorder="1" applyAlignment="1">
      <alignment horizontal="center" shrinkToFit="1"/>
    </xf>
    <xf numFmtId="0" fontId="44" fillId="0" borderId="73" xfId="74" applyFont="1" applyFill="1" applyBorder="1" applyAlignment="1">
      <alignment horizontal="center" vertical="center" textRotation="178" shrinkToFit="1"/>
    </xf>
    <xf numFmtId="0" fontId="44" fillId="0" borderId="41" xfId="74" applyFont="1" applyFill="1" applyBorder="1" applyAlignment="1">
      <alignment horizontal="center" vertical="center" textRotation="178" shrinkToFit="1"/>
    </xf>
    <xf numFmtId="0" fontId="44" fillId="0" borderId="29" xfId="74" applyFont="1" applyFill="1" applyBorder="1" applyAlignment="1">
      <alignment horizontal="center" vertical="center" textRotation="178" shrinkToFit="1"/>
    </xf>
    <xf numFmtId="0" fontId="128" fillId="0" borderId="26" xfId="74" applyFont="1" applyFill="1" applyBorder="1" applyAlignment="1">
      <alignment horizontal="center" vertical="center"/>
    </xf>
    <xf numFmtId="0" fontId="128" fillId="0" borderId="29" xfId="74" applyFont="1" applyFill="1" applyBorder="1" applyAlignment="1">
      <alignment horizontal="center" vertical="center"/>
    </xf>
    <xf numFmtId="0" fontId="128" fillId="0" borderId="26" xfId="74" applyFont="1" applyFill="1" applyBorder="1" applyAlignment="1">
      <alignment horizontal="center" vertical="center" textRotation="90"/>
    </xf>
    <xf numFmtId="0" fontId="128" fillId="0" borderId="29" xfId="74" applyFont="1" applyFill="1" applyBorder="1" applyAlignment="1">
      <alignment horizontal="center" vertical="center" textRotation="90"/>
    </xf>
    <xf numFmtId="0" fontId="44" fillId="0" borderId="16" xfId="74" applyFont="1" applyFill="1" applyBorder="1" applyAlignment="1">
      <alignment horizontal="center" shrinkToFit="1"/>
    </xf>
    <xf numFmtId="0" fontId="44" fillId="0" borderId="24" xfId="74" applyFont="1" applyFill="1" applyBorder="1" applyAlignment="1">
      <alignment horizontal="center" shrinkToFit="1"/>
    </xf>
    <xf numFmtId="0" fontId="44" fillId="0" borderId="27" xfId="74" applyFont="1" applyFill="1" applyBorder="1" applyAlignment="1">
      <alignment horizontal="center" shrinkToFit="1"/>
    </xf>
    <xf numFmtId="0" fontId="44" fillId="0" borderId="42" xfId="0" applyFont="1" applyFill="1" applyBorder="1" applyAlignment="1">
      <alignment horizontal="center" vertical="center" shrinkToFit="1"/>
    </xf>
    <xf numFmtId="0" fontId="44" fillId="0" borderId="28" xfId="0" applyFont="1" applyFill="1" applyBorder="1" applyAlignment="1">
      <alignment horizontal="center" vertical="center" shrinkToFit="1"/>
    </xf>
    <xf numFmtId="0" fontId="44" fillId="0" borderId="23" xfId="0" applyFont="1" applyFill="1" applyBorder="1" applyAlignment="1">
      <alignment horizontal="center" vertical="center" shrinkToFit="1"/>
    </xf>
    <xf numFmtId="0" fontId="128" fillId="0" borderId="8" xfId="74" applyFont="1" applyFill="1" applyBorder="1" applyAlignment="1">
      <alignment horizontal="center" vertical="center" wrapText="1" shrinkToFit="1"/>
    </xf>
    <xf numFmtId="0" fontId="128" fillId="0" borderId="59" xfId="74" applyFont="1" applyFill="1" applyBorder="1" applyAlignment="1">
      <alignment horizontal="center" vertical="center" wrapText="1" shrinkToFit="1"/>
    </xf>
    <xf numFmtId="0" fontId="128" fillId="0" borderId="7" xfId="74" applyFont="1" applyFill="1" applyBorder="1" applyAlignment="1">
      <alignment horizontal="center" vertical="center" wrapText="1" shrinkToFit="1"/>
    </xf>
    <xf numFmtId="170" fontId="128" fillId="0" borderId="26" xfId="74" applyNumberFormat="1" applyFont="1" applyFill="1" applyBorder="1" applyAlignment="1">
      <alignment horizontal="center" vertical="center" wrapText="1" shrinkToFit="1"/>
    </xf>
    <xf numFmtId="170" fontId="128" fillId="0" borderId="2" xfId="74" applyNumberFormat="1" applyFont="1" applyFill="1" applyBorder="1" applyAlignment="1">
      <alignment horizontal="center" vertical="center" wrapText="1" shrinkToFit="1"/>
    </xf>
    <xf numFmtId="170" fontId="128" fillId="0" borderId="5" xfId="74" applyNumberFormat="1" applyFont="1" applyFill="1" applyBorder="1" applyAlignment="1">
      <alignment horizontal="center" vertical="center" wrapText="1" shrinkToFit="1"/>
    </xf>
    <xf numFmtId="170" fontId="128" fillId="0" borderId="6" xfId="74" applyNumberFormat="1" applyFont="1" applyFill="1" applyBorder="1" applyAlignment="1">
      <alignment horizontal="center" vertical="center" wrapText="1" shrinkToFit="1"/>
    </xf>
    <xf numFmtId="0" fontId="128" fillId="0" borderId="73" xfId="74" applyFont="1" applyFill="1" applyBorder="1" applyAlignment="1">
      <alignment horizontal="center" vertical="center" wrapText="1" shrinkToFit="1"/>
    </xf>
    <xf numFmtId="0" fontId="128" fillId="0" borderId="29" xfId="74" applyFont="1" applyFill="1" applyBorder="1" applyAlignment="1">
      <alignment horizontal="center" vertical="center" wrapText="1" shrinkToFit="1"/>
    </xf>
    <xf numFmtId="0" fontId="128" fillId="0" borderId="99" xfId="74" applyFont="1" applyFill="1" applyBorder="1" applyAlignment="1">
      <alignment horizontal="center" vertical="center" wrapText="1" shrinkToFit="1"/>
    </xf>
    <xf numFmtId="0" fontId="128" fillId="0" borderId="103" xfId="74" applyFont="1" applyFill="1" applyBorder="1" applyAlignment="1">
      <alignment horizontal="center" vertical="center" wrapText="1" shrinkToFit="1"/>
    </xf>
    <xf numFmtId="170" fontId="128" fillId="0" borderId="100" xfId="74" applyNumberFormat="1" applyFont="1" applyFill="1" applyBorder="1" applyAlignment="1">
      <alignment horizontal="center" vertical="center" wrapText="1" shrinkToFit="1"/>
    </xf>
    <xf numFmtId="170" fontId="128" fillId="0" borderId="104" xfId="74" applyNumberFormat="1" applyFont="1" applyFill="1" applyBorder="1" applyAlignment="1">
      <alignment horizontal="center" vertical="center" wrapText="1" shrinkToFit="1"/>
    </xf>
    <xf numFmtId="0" fontId="44" fillId="0" borderId="30" xfId="0" applyFont="1" applyFill="1" applyBorder="1" applyAlignment="1">
      <alignment horizontal="center" vertical="center" shrinkToFit="1"/>
    </xf>
    <xf numFmtId="0" fontId="44" fillId="0" borderId="32" xfId="0" applyFont="1" applyFill="1" applyBorder="1" applyAlignment="1">
      <alignment horizontal="center" vertical="center" shrinkToFit="1"/>
    </xf>
    <xf numFmtId="0" fontId="44" fillId="0" borderId="31" xfId="0" applyFont="1" applyFill="1" applyBorder="1" applyAlignment="1">
      <alignment horizontal="center" vertical="center" shrinkToFit="1"/>
    </xf>
    <xf numFmtId="49" fontId="33" fillId="0" borderId="0" xfId="74" applyNumberFormat="1" applyFont="1" applyFill="1" applyAlignment="1">
      <alignment horizontal="center" shrinkToFit="1"/>
    </xf>
    <xf numFmtId="0" fontId="42" fillId="0" borderId="0" xfId="74" applyFont="1" applyFill="1" applyBorder="1" applyAlignment="1">
      <alignment horizontal="right" vertical="center" shrinkToFit="1"/>
    </xf>
    <xf numFmtId="49" fontId="33" fillId="0" borderId="0" xfId="74" applyNumberFormat="1" applyFont="1" applyFill="1" applyAlignment="1">
      <alignment horizontal="center" vertical="top" shrinkToFit="1"/>
    </xf>
    <xf numFmtId="2" fontId="46" fillId="0" borderId="0" xfId="74" applyNumberFormat="1" applyFont="1" applyFill="1" applyBorder="1" applyAlignment="1">
      <alignment horizontal="right" vertical="top" wrapText="1" shrinkToFit="1"/>
    </xf>
    <xf numFmtId="0" fontId="44" fillId="0" borderId="16" xfId="74" applyFont="1" applyFill="1" applyBorder="1" applyAlignment="1">
      <alignment horizontal="center" vertical="center" wrapText="1" shrinkToFit="1"/>
    </xf>
    <xf numFmtId="0" fontId="44" fillId="0" borderId="24" xfId="74" applyFont="1" applyFill="1" applyBorder="1" applyAlignment="1">
      <alignment horizontal="center" vertical="center" wrapText="1" shrinkToFit="1"/>
    </xf>
    <xf numFmtId="0" fontId="44" fillId="0" borderId="27" xfId="74" applyFont="1" applyFill="1" applyBorder="1" applyAlignment="1">
      <alignment horizontal="center" vertical="center" wrapText="1" shrinkToFit="1"/>
    </xf>
    <xf numFmtId="170" fontId="128" fillId="0" borderId="74" xfId="74" applyNumberFormat="1" applyFont="1" applyFill="1" applyBorder="1" applyAlignment="1">
      <alignment horizontal="center" vertical="center" wrapText="1" shrinkToFit="1"/>
    </xf>
    <xf numFmtId="170" fontId="128" fillId="0" borderId="101" xfId="74" applyNumberFormat="1" applyFont="1" applyFill="1" applyBorder="1" applyAlignment="1">
      <alignment horizontal="center" vertical="center" wrapText="1" shrinkToFit="1"/>
    </xf>
    <xf numFmtId="170" fontId="128" fillId="0" borderId="13" xfId="74" applyNumberFormat="1" applyFont="1" applyFill="1" applyBorder="1" applyAlignment="1">
      <alignment horizontal="center" vertical="center" wrapText="1" shrinkToFit="1"/>
    </xf>
    <xf numFmtId="170" fontId="128" fillId="0" borderId="65" xfId="74" applyNumberFormat="1" applyFont="1" applyFill="1" applyBorder="1" applyAlignment="1">
      <alignment horizontal="center" vertical="center" wrapText="1" shrinkToFit="1"/>
    </xf>
    <xf numFmtId="170" fontId="128" fillId="0" borderId="30" xfId="74" applyNumberFormat="1" applyFont="1" applyFill="1" applyBorder="1" applyAlignment="1">
      <alignment horizontal="center" vertical="center" wrapText="1" shrinkToFit="1"/>
    </xf>
    <xf numFmtId="170" fontId="128" fillId="0" borderId="32" xfId="74" applyNumberFormat="1" applyFont="1" applyFill="1" applyBorder="1" applyAlignment="1">
      <alignment horizontal="center" vertical="center" wrapText="1" shrinkToFit="1"/>
    </xf>
    <xf numFmtId="170" fontId="128" fillId="0" borderId="102" xfId="74" applyNumberFormat="1" applyFont="1" applyFill="1" applyBorder="1" applyAlignment="1">
      <alignment horizontal="center" vertical="center" wrapText="1" shrinkToFit="1"/>
    </xf>
    <xf numFmtId="0" fontId="41" fillId="0" borderId="0" xfId="74" applyFont="1" applyAlignment="1">
      <alignment horizontal="center" shrinkToFit="1" readingOrder="2"/>
    </xf>
    <xf numFmtId="0" fontId="41" fillId="0" borderId="0" xfId="74" applyFont="1" applyAlignment="1">
      <alignment horizontal="center" readingOrder="2"/>
    </xf>
    <xf numFmtId="0" fontId="41" fillId="0" borderId="0" xfId="74" applyFont="1" applyAlignment="1">
      <alignment horizontal="center" vertical="center" readingOrder="2"/>
    </xf>
    <xf numFmtId="0" fontId="42" fillId="0" borderId="0" xfId="74" applyFont="1" applyBorder="1" applyAlignment="1">
      <alignment horizontal="right" shrinkToFit="1"/>
    </xf>
    <xf numFmtId="0" fontId="42" fillId="0" borderId="15" xfId="74" applyFont="1" applyBorder="1" applyAlignment="1">
      <alignment horizontal="center" vertical="center" shrinkToFit="1"/>
    </xf>
    <xf numFmtId="0" fontId="44" fillId="0" borderId="15" xfId="0" applyFont="1" applyBorder="1" applyAlignment="1">
      <alignment horizontal="center" vertical="center" wrapText="1" shrinkToFit="1"/>
    </xf>
    <xf numFmtId="0" fontId="44" fillId="0" borderId="6" xfId="0" applyFont="1" applyBorder="1" applyAlignment="1">
      <alignment horizontal="center" vertical="center" wrapText="1" shrinkToFit="1"/>
    </xf>
    <xf numFmtId="0" fontId="44" fillId="0" borderId="17" xfId="0" applyFont="1" applyBorder="1" applyAlignment="1">
      <alignment horizontal="center" vertical="center" wrapText="1" shrinkToFit="1"/>
    </xf>
    <xf numFmtId="0" fontId="42" fillId="0" borderId="4" xfId="0" applyFont="1" applyBorder="1" applyAlignment="1">
      <alignment horizontal="center" vertical="center" wrapText="1" shrinkToFit="1"/>
    </xf>
    <xf numFmtId="0" fontId="42" fillId="0" borderId="8" xfId="0" applyFont="1" applyBorder="1" applyAlignment="1">
      <alignment horizontal="center" vertical="center" wrapText="1" shrinkToFit="1"/>
    </xf>
    <xf numFmtId="49" fontId="42" fillId="0" borderId="0" xfId="74" applyNumberFormat="1" applyFont="1" applyAlignment="1">
      <alignment horizontal="center" vertical="top" wrapText="1"/>
    </xf>
    <xf numFmtId="0" fontId="42" fillId="0" borderId="28" xfId="74" applyFont="1" applyBorder="1" applyAlignment="1">
      <alignment horizontal="right" shrinkToFit="1"/>
    </xf>
    <xf numFmtId="49" fontId="33" fillId="0" borderId="0" xfId="74" applyNumberFormat="1" applyFont="1" applyAlignment="1">
      <alignment horizontal="center" vertical="top" shrinkToFit="1"/>
    </xf>
    <xf numFmtId="49" fontId="42" fillId="0" borderId="0" xfId="74" applyNumberFormat="1" applyFont="1" applyAlignment="1">
      <alignment horizontal="right" vertical="top" wrapText="1"/>
    </xf>
    <xf numFmtId="170" fontId="42" fillId="0" borderId="0" xfId="0" applyNumberFormat="1" applyFont="1" applyAlignment="1">
      <alignment horizontal="center" vertical="center" readingOrder="2"/>
    </xf>
    <xf numFmtId="170" fontId="46" fillId="0" borderId="0" xfId="0" applyNumberFormat="1" applyFont="1" applyAlignment="1">
      <alignment horizontal="right" vertical="center" readingOrder="2"/>
    </xf>
    <xf numFmtId="170" fontId="33" fillId="0" borderId="28" xfId="0" applyNumberFormat="1" applyFont="1" applyBorder="1" applyAlignment="1">
      <alignment horizontal="center" vertical="center" readingOrder="2"/>
    </xf>
    <xf numFmtId="0" fontId="33" fillId="0" borderId="15" xfId="0" applyFont="1" applyBorder="1" applyAlignment="1">
      <alignment horizontal="center" vertical="center"/>
    </xf>
    <xf numFmtId="170" fontId="44" fillId="0" borderId="26" xfId="0" applyNumberFormat="1" applyFont="1" applyBorder="1" applyAlignment="1">
      <alignment horizontal="center" vertical="center" wrapText="1" readingOrder="2"/>
    </xf>
    <xf numFmtId="170" fontId="44" fillId="0" borderId="41" xfId="0" applyNumberFormat="1" applyFont="1" applyBorder="1" applyAlignment="1">
      <alignment horizontal="center" vertical="center" wrapText="1" readingOrder="2"/>
    </xf>
    <xf numFmtId="170" fontId="44" fillId="0" borderId="29" xfId="0" applyNumberFormat="1" applyFont="1" applyBorder="1" applyAlignment="1">
      <alignment horizontal="center" vertical="center" wrapText="1" readingOrder="2"/>
    </xf>
    <xf numFmtId="170" fontId="44" fillId="0" borderId="15" xfId="0" applyNumberFormat="1" applyFont="1" applyBorder="1" applyAlignment="1">
      <alignment horizontal="center" vertical="center" wrapText="1" readingOrder="2"/>
    </xf>
    <xf numFmtId="170" fontId="46" fillId="0" borderId="15" xfId="0" applyNumberFormat="1" applyFont="1" applyBorder="1" applyAlignment="1">
      <alignment horizontal="center" vertical="center" wrapText="1" readingOrder="2"/>
    </xf>
    <xf numFmtId="170" fontId="44" fillId="0" borderId="16" xfId="0" applyNumberFormat="1" applyFont="1" applyBorder="1" applyAlignment="1">
      <alignment horizontal="center" vertical="center" shrinkToFit="1" readingOrder="2"/>
    </xf>
    <xf numFmtId="170" fontId="44" fillId="0" borderId="24" xfId="0" applyNumberFormat="1" applyFont="1" applyBorder="1" applyAlignment="1">
      <alignment horizontal="center" vertical="center" shrinkToFit="1" readingOrder="2"/>
    </xf>
    <xf numFmtId="170" fontId="44" fillId="0" borderId="27" xfId="0" applyNumberFormat="1" applyFont="1" applyBorder="1" applyAlignment="1">
      <alignment horizontal="center" vertical="center" shrinkToFit="1" readingOrder="2"/>
    </xf>
    <xf numFmtId="170" fontId="44" fillId="0" borderId="16" xfId="0" applyNumberFormat="1" applyFont="1" applyBorder="1" applyAlignment="1">
      <alignment horizontal="center" vertical="center" wrapText="1" shrinkToFit="1" readingOrder="2"/>
    </xf>
    <xf numFmtId="170" fontId="44" fillId="0" borderId="24" xfId="0" applyNumberFormat="1" applyFont="1" applyBorder="1" applyAlignment="1">
      <alignment horizontal="center" vertical="center" wrapText="1" shrinkToFit="1" readingOrder="2"/>
    </xf>
    <xf numFmtId="170" fontId="44" fillId="0" borderId="27" xfId="0" applyNumberFormat="1" applyFont="1" applyBorder="1" applyAlignment="1">
      <alignment horizontal="center" vertical="center" wrapText="1" shrinkToFit="1" readingOrder="2"/>
    </xf>
    <xf numFmtId="170" fontId="42" fillId="0" borderId="26" xfId="0" applyNumberFormat="1" applyFont="1" applyBorder="1" applyAlignment="1">
      <alignment horizontal="center" vertical="center" textRotation="180" readingOrder="2"/>
    </xf>
    <xf numFmtId="170" fontId="42" fillId="0" borderId="41" xfId="0" applyNumberFormat="1" applyFont="1" applyBorder="1" applyAlignment="1">
      <alignment horizontal="center" vertical="center" textRotation="180" readingOrder="2"/>
    </xf>
    <xf numFmtId="170" fontId="42" fillId="0" borderId="29" xfId="0" applyNumberFormat="1" applyFont="1" applyBorder="1" applyAlignment="1">
      <alignment horizontal="center" vertical="center" textRotation="180" readingOrder="2"/>
    </xf>
    <xf numFmtId="49" fontId="44" fillId="0" borderId="15" xfId="0" applyNumberFormat="1" applyFont="1" applyBorder="1" applyAlignment="1">
      <alignment horizontal="center" vertical="center" readingOrder="2"/>
    </xf>
    <xf numFmtId="170" fontId="44" fillId="0" borderId="15" xfId="0" applyNumberFormat="1" applyFont="1" applyBorder="1" applyAlignment="1">
      <alignment horizontal="center" vertical="center" readingOrder="2"/>
    </xf>
    <xf numFmtId="170" fontId="44" fillId="0" borderId="16" xfId="0" applyNumberFormat="1" applyFont="1" applyBorder="1" applyAlignment="1">
      <alignment horizontal="center" vertical="center" readingOrder="2"/>
    </xf>
    <xf numFmtId="170" fontId="44" fillId="0" borderId="24" xfId="0" applyNumberFormat="1" applyFont="1" applyBorder="1" applyAlignment="1">
      <alignment horizontal="center" vertical="center" readingOrder="2"/>
    </xf>
    <xf numFmtId="170" fontId="44" fillId="0" borderId="27" xfId="0" applyNumberFormat="1" applyFont="1" applyBorder="1" applyAlignment="1">
      <alignment horizontal="center" vertical="center" readingOrder="2"/>
    </xf>
    <xf numFmtId="170" fontId="33" fillId="0" borderId="0" xfId="0" applyNumberFormat="1" applyFont="1" applyAlignment="1">
      <alignment horizontal="center" vertical="center" readingOrder="2"/>
    </xf>
    <xf numFmtId="170" fontId="42" fillId="0" borderId="15" xfId="0" applyNumberFormat="1" applyFont="1" applyBorder="1" applyAlignment="1">
      <alignment horizontal="center" vertical="center" shrinkToFit="1" readingOrder="2"/>
    </xf>
    <xf numFmtId="170" fontId="42" fillId="0" borderId="32" xfId="0" applyNumberFormat="1" applyFont="1" applyBorder="1" applyAlignment="1">
      <alignment horizontal="center" vertical="center" shrinkToFit="1" readingOrder="2"/>
    </xf>
    <xf numFmtId="170" fontId="44" fillId="0" borderId="0" xfId="0" applyNumberFormat="1" applyFont="1" applyAlignment="1">
      <alignment horizontal="center" vertical="center" wrapText="1" readingOrder="2"/>
    </xf>
    <xf numFmtId="2" fontId="33" fillId="0" borderId="16" xfId="0" applyNumberFormat="1" applyFont="1" applyBorder="1" applyAlignment="1">
      <alignment horizontal="center" vertical="center"/>
    </xf>
    <xf numFmtId="2" fontId="33" fillId="0" borderId="27" xfId="0" applyNumberFormat="1" applyFont="1" applyBorder="1" applyAlignment="1">
      <alignment horizontal="center" vertical="center"/>
    </xf>
    <xf numFmtId="0" fontId="42" fillId="0" borderId="32" xfId="0" applyFont="1" applyBorder="1" applyAlignment="1">
      <alignment horizontal="center" vertical="center"/>
    </xf>
    <xf numFmtId="170" fontId="46" fillId="0" borderId="26" xfId="0" applyNumberFormat="1" applyFont="1" applyBorder="1" applyAlignment="1">
      <alignment horizontal="center" vertical="center" wrapText="1" readingOrder="2"/>
    </xf>
    <xf numFmtId="170" fontId="46" fillId="0" borderId="29" xfId="0" applyNumberFormat="1" applyFont="1" applyBorder="1" applyAlignment="1">
      <alignment horizontal="center" vertical="center" wrapText="1" readingOrder="2"/>
    </xf>
    <xf numFmtId="49" fontId="44" fillId="0" borderId="16" xfId="0" applyNumberFormat="1" applyFont="1" applyBorder="1" applyAlignment="1">
      <alignment horizontal="center" vertical="center" readingOrder="2"/>
    </xf>
    <xf numFmtId="49" fontId="44" fillId="0" borderId="27" xfId="0" applyNumberFormat="1" applyFont="1" applyBorder="1" applyAlignment="1">
      <alignment horizontal="center" vertical="center" readingOrder="2"/>
    </xf>
    <xf numFmtId="0" fontId="33" fillId="0" borderId="16" xfId="74" applyFont="1" applyBorder="1" applyAlignment="1">
      <alignment horizontal="center" vertical="center" shrinkToFit="1"/>
    </xf>
    <xf numFmtId="0" fontId="33" fillId="0" borderId="27" xfId="74" applyFont="1" applyBorder="1" applyAlignment="1">
      <alignment horizontal="center" vertical="center" shrinkToFit="1"/>
    </xf>
    <xf numFmtId="49" fontId="44" fillId="0" borderId="26" xfId="0" applyNumberFormat="1" applyFont="1" applyBorder="1" applyAlignment="1">
      <alignment horizontal="center" vertical="center" readingOrder="2"/>
    </xf>
    <xf numFmtId="49" fontId="44" fillId="0" borderId="41" xfId="0" applyNumberFormat="1" applyFont="1" applyBorder="1" applyAlignment="1">
      <alignment horizontal="center" vertical="center" readingOrder="2"/>
    </xf>
    <xf numFmtId="49" fontId="44" fillId="0" borderId="29" xfId="0" applyNumberFormat="1" applyFont="1" applyBorder="1" applyAlignment="1">
      <alignment horizontal="center" vertical="center" readingOrder="2"/>
    </xf>
    <xf numFmtId="170" fontId="44" fillId="0" borderId="26" xfId="0" applyNumberFormat="1" applyFont="1" applyBorder="1" applyAlignment="1">
      <alignment horizontal="center" vertical="center" readingOrder="2"/>
    </xf>
    <xf numFmtId="170" fontId="44" fillId="0" borderId="41" xfId="0" applyNumberFormat="1" applyFont="1" applyBorder="1" applyAlignment="1">
      <alignment horizontal="center" vertical="center" readingOrder="2"/>
    </xf>
    <xf numFmtId="170" fontId="44" fillId="0" borderId="29" xfId="0" applyNumberFormat="1" applyFont="1" applyBorder="1" applyAlignment="1">
      <alignment horizontal="center" vertical="center" readingOrder="2"/>
    </xf>
    <xf numFmtId="170" fontId="42" fillId="0" borderId="0" xfId="0" applyNumberFormat="1" applyFont="1" applyAlignment="1">
      <alignment horizontal="center" vertical="center" textRotation="2" readingOrder="2"/>
    </xf>
    <xf numFmtId="170" fontId="42" fillId="0" borderId="15" xfId="0" applyNumberFormat="1" applyFont="1" applyBorder="1" applyAlignment="1">
      <alignment horizontal="center" vertical="center" textRotation="180" readingOrder="2"/>
    </xf>
    <xf numFmtId="170" fontId="42" fillId="0" borderId="34" xfId="0" applyNumberFormat="1" applyFont="1" applyBorder="1" applyAlignment="1">
      <alignment horizontal="center" vertical="center" shrinkToFit="1" readingOrder="2"/>
    </xf>
    <xf numFmtId="49" fontId="42" fillId="0" borderId="0" xfId="74" applyNumberFormat="1" applyFont="1" applyAlignment="1">
      <alignment horizontal="center" vertical="center" shrinkToFit="1" readingOrder="2"/>
    </xf>
    <xf numFmtId="170" fontId="44" fillId="0" borderId="15" xfId="0" applyNumberFormat="1" applyFont="1" applyBorder="1" applyAlignment="1">
      <alignment horizontal="center" vertical="center" shrinkToFit="1" readingOrder="2"/>
    </xf>
    <xf numFmtId="170" fontId="44" fillId="0" borderId="15" xfId="0" applyNumberFormat="1" applyFont="1" applyBorder="1" applyAlignment="1">
      <alignment horizontal="center" vertical="center" wrapText="1" shrinkToFit="1" readingOrder="2"/>
    </xf>
    <xf numFmtId="49" fontId="44" fillId="4" borderId="15" xfId="0" applyNumberFormat="1" applyFont="1" applyFill="1" applyBorder="1" applyAlignment="1">
      <alignment horizontal="center" vertical="center" readingOrder="2"/>
    </xf>
    <xf numFmtId="169" fontId="35" fillId="0" borderId="0" xfId="135" applyNumberFormat="1" applyFont="1" applyAlignment="1">
      <alignment horizontal="right" vertical="center" readingOrder="2"/>
    </xf>
    <xf numFmtId="169" fontId="38" fillId="0" borderId="0" xfId="135" applyNumberFormat="1" applyFont="1" applyAlignment="1">
      <alignment horizontal="right" vertical="center" wrapText="1" readingOrder="2"/>
    </xf>
    <xf numFmtId="169" fontId="35" fillId="0" borderId="0" xfId="135" applyNumberFormat="1" applyFont="1" applyAlignment="1">
      <alignment horizontal="center" vertical="center" readingOrder="2"/>
    </xf>
    <xf numFmtId="169" fontId="38" fillId="0" borderId="0" xfId="135" applyNumberFormat="1" applyFont="1" applyAlignment="1">
      <alignment horizontal="right" vertical="center" wrapText="1" shrinkToFit="1" readingOrder="2"/>
    </xf>
    <xf numFmtId="49" fontId="41" fillId="0" borderId="0" xfId="0" applyNumberFormat="1" applyFont="1" applyAlignment="1">
      <alignment horizontal="center"/>
    </xf>
    <xf numFmtId="169" fontId="38" fillId="0" borderId="0" xfId="135" applyNumberFormat="1" applyFont="1" applyAlignment="1">
      <alignment horizontal="right" vertical="center" wrapText="1"/>
    </xf>
    <xf numFmtId="169" fontId="38" fillId="0" borderId="0" xfId="135" applyNumberFormat="1" applyFont="1" applyAlignment="1">
      <alignment horizontal="right" vertical="top" wrapText="1" readingOrder="2"/>
    </xf>
    <xf numFmtId="0" fontId="110" fillId="0" borderId="16" xfId="165" applyFont="1" applyFill="1" applyBorder="1" applyAlignment="1">
      <alignment horizontal="right"/>
    </xf>
    <xf numFmtId="0" fontId="110" fillId="0" borderId="24" xfId="165" applyFont="1" applyFill="1" applyBorder="1" applyAlignment="1">
      <alignment horizontal="right"/>
    </xf>
    <xf numFmtId="0" fontId="110" fillId="0" borderId="27" xfId="165" applyFont="1" applyFill="1" applyBorder="1" applyAlignment="1">
      <alignment horizontal="right"/>
    </xf>
    <xf numFmtId="169" fontId="39" fillId="0" borderId="16" xfId="0" applyNumberFormat="1" applyFont="1" applyFill="1" applyBorder="1" applyAlignment="1">
      <alignment horizontal="center" vertical="center" shrinkToFit="1"/>
    </xf>
    <xf numFmtId="169" fontId="39" fillId="0" borderId="27" xfId="0" applyNumberFormat="1" applyFont="1" applyFill="1" applyBorder="1" applyAlignment="1">
      <alignment horizontal="center" vertical="center" shrinkToFit="1"/>
    </xf>
    <xf numFmtId="169" fontId="37" fillId="0" borderId="15" xfId="17" applyNumberFormat="1" applyFont="1" applyFill="1" applyBorder="1" applyAlignment="1">
      <alignment horizontal="center" vertical="center" shrinkToFit="1"/>
    </xf>
    <xf numFmtId="169" fontId="39" fillId="0" borderId="15" xfId="0" applyNumberFormat="1" applyFont="1" applyFill="1" applyBorder="1" applyAlignment="1">
      <alignment horizontal="center" vertical="center" shrinkToFit="1"/>
    </xf>
    <xf numFmtId="169" fontId="37" fillId="0" borderId="16" xfId="0" applyNumberFormat="1" applyFont="1" applyFill="1" applyBorder="1" applyAlignment="1">
      <alignment horizontal="right" vertical="center" shrinkToFit="1"/>
    </xf>
    <xf numFmtId="169" fontId="37" fillId="0" borderId="24" xfId="0" applyNumberFormat="1" applyFont="1" applyFill="1" applyBorder="1" applyAlignment="1">
      <alignment horizontal="right" vertical="center" shrinkToFit="1"/>
    </xf>
    <xf numFmtId="169" fontId="37" fillId="0" borderId="27" xfId="0" applyNumberFormat="1" applyFont="1" applyFill="1" applyBorder="1" applyAlignment="1">
      <alignment horizontal="right" vertical="center" shrinkToFit="1"/>
    </xf>
    <xf numFmtId="174" fontId="25" fillId="0" borderId="16" xfId="0" applyNumberFormat="1" applyFont="1" applyFill="1" applyBorder="1" applyAlignment="1">
      <alignment horizontal="center" vertical="center" wrapText="1" shrinkToFit="1" readingOrder="2"/>
    </xf>
    <xf numFmtId="174" fontId="25" fillId="0" borderId="27" xfId="0" applyNumberFormat="1" applyFont="1" applyFill="1" applyBorder="1" applyAlignment="1">
      <alignment horizontal="center" vertical="center" wrapText="1" shrinkToFit="1" readingOrder="2"/>
    </xf>
    <xf numFmtId="0" fontId="110" fillId="0" borderId="15" xfId="165" quotePrefix="1" applyFont="1" applyFill="1" applyBorder="1" applyAlignment="1">
      <alignment horizontal="center"/>
    </xf>
    <xf numFmtId="49" fontId="41" fillId="0" borderId="16" xfId="10" applyNumberFormat="1" applyFont="1" applyFill="1" applyBorder="1" applyAlignment="1">
      <alignment horizontal="center" vertical="center" shrinkToFit="1" readingOrder="2"/>
    </xf>
    <xf numFmtId="49" fontId="41" fillId="0" borderId="27" xfId="10" applyNumberFormat="1" applyFont="1" applyFill="1" applyBorder="1" applyAlignment="1">
      <alignment horizontal="center" vertical="center" shrinkToFit="1" readingOrder="2"/>
    </xf>
    <xf numFmtId="0" fontId="110" fillId="0" borderId="16" xfId="166" applyFont="1" applyFill="1" applyBorder="1" applyAlignment="1">
      <alignment horizontal="right"/>
    </xf>
    <xf numFmtId="0" fontId="110" fillId="0" borderId="24" xfId="166" applyFont="1" applyFill="1" applyBorder="1" applyAlignment="1">
      <alignment horizontal="right"/>
    </xf>
    <xf numFmtId="0" fontId="110" fillId="0" borderId="27" xfId="166" applyFont="1" applyFill="1" applyBorder="1" applyAlignment="1">
      <alignment horizontal="right"/>
    </xf>
    <xf numFmtId="0" fontId="37" fillId="0" borderId="16" xfId="98" applyFont="1" applyFill="1" applyBorder="1" applyAlignment="1">
      <alignment horizontal="right" vertical="center" shrinkToFit="1"/>
    </xf>
    <xf numFmtId="0" fontId="37" fillId="0" borderId="24" xfId="98" applyFont="1" applyFill="1" applyBorder="1" applyAlignment="1">
      <alignment horizontal="right" vertical="center" shrinkToFit="1"/>
    </xf>
    <xf numFmtId="0" fontId="37" fillId="0" borderId="27" xfId="98" applyFont="1" applyFill="1" applyBorder="1" applyAlignment="1">
      <alignment horizontal="right" vertical="center" shrinkToFit="1"/>
    </xf>
    <xf numFmtId="0" fontId="110" fillId="0" borderId="16" xfId="145" applyFont="1" applyFill="1" applyBorder="1" applyAlignment="1">
      <alignment horizontal="right" shrinkToFit="1"/>
    </xf>
    <xf numFmtId="0" fontId="110" fillId="0" borderId="24" xfId="145" applyFont="1" applyFill="1" applyBorder="1" applyAlignment="1">
      <alignment horizontal="right" shrinkToFit="1"/>
    </xf>
    <xf numFmtId="0" fontId="110" fillId="0" borderId="27" xfId="145" applyFont="1" applyFill="1" applyBorder="1" applyAlignment="1">
      <alignment horizontal="right" shrinkToFit="1"/>
    </xf>
    <xf numFmtId="169" fontId="37" fillId="0" borderId="16" xfId="17" applyNumberFormat="1" applyFont="1" applyFill="1" applyBorder="1" applyAlignment="1">
      <alignment horizontal="center" vertical="center" shrinkToFit="1"/>
    </xf>
    <xf numFmtId="169" fontId="37" fillId="0" borderId="27" xfId="17" applyNumberFormat="1" applyFont="1" applyFill="1" applyBorder="1" applyAlignment="1">
      <alignment horizontal="center" vertical="center" shrinkToFit="1"/>
    </xf>
    <xf numFmtId="49" fontId="41" fillId="0" borderId="15" xfId="10" applyNumberFormat="1" applyFont="1" applyFill="1" applyBorder="1" applyAlignment="1">
      <alignment horizontal="center" shrinkToFit="1" readingOrder="2"/>
    </xf>
    <xf numFmtId="49" fontId="41" fillId="0" borderId="30" xfId="10" applyNumberFormat="1" applyFont="1" applyFill="1" applyBorder="1" applyAlignment="1">
      <alignment horizontal="center" shrinkToFit="1" readingOrder="2"/>
    </xf>
    <xf numFmtId="49" fontId="41" fillId="0" borderId="31" xfId="10" applyNumberFormat="1" applyFont="1" applyFill="1" applyBorder="1" applyAlignment="1">
      <alignment horizontal="center" shrinkToFit="1" readingOrder="2"/>
    </xf>
    <xf numFmtId="49" fontId="41" fillId="0" borderId="42" xfId="10" applyNumberFormat="1" applyFont="1" applyFill="1" applyBorder="1" applyAlignment="1">
      <alignment horizontal="center" shrinkToFit="1" readingOrder="2"/>
    </xf>
    <xf numFmtId="49" fontId="41" fillId="0" borderId="23" xfId="10" applyNumberFormat="1" applyFont="1" applyFill="1" applyBorder="1" applyAlignment="1">
      <alignment horizontal="center" shrinkToFit="1" readingOrder="2"/>
    </xf>
    <xf numFmtId="174" fontId="23" fillId="0" borderId="16" xfId="0" applyNumberFormat="1" applyFont="1" applyFill="1" applyBorder="1" applyAlignment="1">
      <alignment horizontal="center" vertical="center" wrapText="1" shrinkToFit="1" readingOrder="2"/>
    </xf>
    <xf numFmtId="174" fontId="23" fillId="0" borderId="27" xfId="0" applyNumberFormat="1" applyFont="1" applyFill="1" applyBorder="1" applyAlignment="1">
      <alignment horizontal="center" vertical="center" wrapText="1" shrinkToFit="1" readingOrder="2"/>
    </xf>
    <xf numFmtId="0" fontId="39" fillId="0" borderId="16" xfId="98" applyFont="1" applyFill="1" applyBorder="1" applyAlignment="1">
      <alignment horizontal="right" vertical="center" shrinkToFit="1"/>
    </xf>
    <xf numFmtId="0" fontId="39" fillId="0" borderId="24" xfId="98" applyFont="1" applyFill="1" applyBorder="1" applyAlignment="1">
      <alignment horizontal="right" vertical="center" shrinkToFit="1"/>
    </xf>
    <xf numFmtId="0" fontId="39" fillId="0" borderId="27" xfId="98" applyFont="1" applyFill="1" applyBorder="1" applyAlignment="1">
      <alignment horizontal="right" vertical="center" shrinkToFit="1"/>
    </xf>
    <xf numFmtId="169" fontId="34" fillId="0" borderId="0" xfId="0" applyNumberFormat="1" applyFont="1" applyFill="1" applyAlignment="1">
      <alignment horizontal="center" vertical="center" shrinkToFit="1" readingOrder="2"/>
    </xf>
    <xf numFmtId="49" fontId="41" fillId="0" borderId="15" xfId="10" applyNumberFormat="1" applyFont="1" applyFill="1" applyBorder="1" applyAlignment="1">
      <alignment horizontal="center" vertical="center" wrapText="1" shrinkToFit="1" readingOrder="2"/>
    </xf>
    <xf numFmtId="169" fontId="37" fillId="0" borderId="15" xfId="75" applyNumberFormat="1" applyFont="1" applyFill="1" applyBorder="1" applyAlignment="1">
      <alignment horizontal="center" vertical="center" shrinkToFit="1"/>
    </xf>
    <xf numFmtId="170" fontId="41" fillId="0" borderId="15" xfId="10" applyNumberFormat="1" applyFont="1" applyFill="1" applyBorder="1" applyAlignment="1">
      <alignment horizontal="center" vertical="center" shrinkToFit="1" readingOrder="2"/>
    </xf>
    <xf numFmtId="169" fontId="34" fillId="0" borderId="28" xfId="0" applyNumberFormat="1" applyFont="1" applyFill="1" applyBorder="1" applyAlignment="1">
      <alignment horizontal="center" vertical="center" shrinkToFit="1"/>
    </xf>
    <xf numFmtId="169" fontId="37" fillId="0" borderId="0" xfId="0" applyNumberFormat="1" applyFont="1" applyFill="1" applyAlignment="1">
      <alignment horizontal="center" vertical="center" shrinkToFit="1" readingOrder="2"/>
    </xf>
    <xf numFmtId="169" fontId="34" fillId="0" borderId="0" xfId="0" applyNumberFormat="1" applyFont="1" applyFill="1" applyAlignment="1">
      <alignment horizontal="center" vertical="center" wrapText="1" shrinkToFit="1" readingOrder="2"/>
    </xf>
    <xf numFmtId="49" fontId="41" fillId="0" borderId="26" xfId="10" applyNumberFormat="1" applyFont="1" applyFill="1" applyBorder="1" applyAlignment="1">
      <alignment horizontal="center" vertical="center" shrinkToFit="1" readingOrder="2"/>
    </xf>
    <xf numFmtId="49" fontId="41" fillId="0" borderId="29" xfId="10" applyNumberFormat="1" applyFont="1" applyFill="1" applyBorder="1" applyAlignment="1">
      <alignment horizontal="center" vertical="center" shrinkToFit="1" readingOrder="2"/>
    </xf>
    <xf numFmtId="49" fontId="41" fillId="0" borderId="30" xfId="10" applyNumberFormat="1" applyFont="1" applyFill="1" applyBorder="1" applyAlignment="1">
      <alignment horizontal="center" vertical="center" shrinkToFit="1" readingOrder="2"/>
    </xf>
    <xf numFmtId="49" fontId="41" fillId="0" borderId="31" xfId="10" applyNumberFormat="1" applyFont="1" applyFill="1" applyBorder="1" applyAlignment="1">
      <alignment horizontal="center" vertical="center" shrinkToFit="1" readingOrder="2"/>
    </xf>
    <xf numFmtId="49" fontId="41" fillId="0" borderId="42" xfId="10" applyNumberFormat="1" applyFont="1" applyFill="1" applyBorder="1" applyAlignment="1">
      <alignment horizontal="center" vertical="center" shrinkToFit="1" readingOrder="2"/>
    </xf>
    <xf numFmtId="49" fontId="41" fillId="0" borderId="23" xfId="10" applyNumberFormat="1" applyFont="1" applyFill="1" applyBorder="1" applyAlignment="1">
      <alignment horizontal="center" vertical="center" shrinkToFit="1" readingOrder="2"/>
    </xf>
    <xf numFmtId="169" fontId="34" fillId="0" borderId="4" xfId="0" applyNumberFormat="1" applyFont="1" applyFill="1" applyBorder="1" applyAlignment="1">
      <alignment horizontal="center" vertical="center" shrinkToFit="1" readingOrder="2"/>
    </xf>
    <xf numFmtId="169" fontId="33" fillId="0" borderId="67" xfId="0" applyNumberFormat="1" applyFont="1" applyFill="1" applyBorder="1" applyAlignment="1">
      <alignment horizontal="center" vertical="center" shrinkToFit="1"/>
    </xf>
    <xf numFmtId="169" fontId="37" fillId="0" borderId="16" xfId="0" applyNumberFormat="1" applyFont="1" applyFill="1" applyBorder="1" applyAlignment="1">
      <alignment horizontal="right" vertical="center" shrinkToFit="1" readingOrder="2"/>
    </xf>
    <xf numFmtId="169" fontId="37" fillId="0" borderId="24" xfId="0" applyNumberFormat="1" applyFont="1" applyFill="1" applyBorder="1" applyAlignment="1">
      <alignment horizontal="right" vertical="center" shrinkToFit="1" readingOrder="2"/>
    </xf>
    <xf numFmtId="169" fontId="37" fillId="0" borderId="27" xfId="0" applyNumberFormat="1" applyFont="1" applyFill="1" applyBorder="1" applyAlignment="1">
      <alignment horizontal="right" vertical="center" shrinkToFit="1" readingOrder="2"/>
    </xf>
    <xf numFmtId="169" fontId="41" fillId="0" borderId="0" xfId="0" applyNumberFormat="1" applyFont="1" applyFill="1" applyAlignment="1">
      <alignment horizontal="center" vertical="center" readingOrder="2"/>
    </xf>
    <xf numFmtId="169" fontId="34" fillId="0" borderId="0" xfId="0" applyNumberFormat="1" applyFont="1" applyFill="1" applyAlignment="1">
      <alignment horizontal="center" vertical="center" shrinkToFit="1"/>
    </xf>
    <xf numFmtId="169" fontId="42" fillId="0" borderId="67" xfId="0" applyNumberFormat="1" applyFont="1" applyFill="1" applyBorder="1" applyAlignment="1">
      <alignment horizontal="center" vertical="center" shrinkToFit="1" readingOrder="2"/>
    </xf>
    <xf numFmtId="169" fontId="42" fillId="0" borderId="4" xfId="0" applyNumberFormat="1" applyFont="1" applyFill="1" applyBorder="1" applyAlignment="1">
      <alignment horizontal="center" vertical="center" shrinkToFit="1" readingOrder="2"/>
    </xf>
    <xf numFmtId="169" fontId="35" fillId="0" borderId="0" xfId="0" applyNumberFormat="1" applyFont="1" applyFill="1" applyAlignment="1">
      <alignment horizontal="right" vertical="center" shrinkToFit="1" readingOrder="2"/>
    </xf>
    <xf numFmtId="169" fontId="33" fillId="0" borderId="67" xfId="0" applyNumberFormat="1" applyFont="1" applyFill="1" applyBorder="1" applyAlignment="1">
      <alignment horizontal="center" vertical="center" shrinkToFit="1" readingOrder="2"/>
    </xf>
    <xf numFmtId="169" fontId="35" fillId="0" borderId="0" xfId="0" applyNumberFormat="1" applyFont="1" applyFill="1" applyAlignment="1">
      <alignment horizontal="center" vertical="center" shrinkToFit="1" readingOrder="2"/>
    </xf>
    <xf numFmtId="49" fontId="41" fillId="0" borderId="8" xfId="0" applyNumberFormat="1" applyFont="1" applyFill="1" applyBorder="1" applyAlignment="1">
      <alignment horizontal="center" vertical="center" wrapText="1" shrinkToFit="1" readingOrder="2"/>
    </xf>
    <xf numFmtId="49" fontId="41" fillId="0" borderId="59" xfId="0" applyNumberFormat="1" applyFont="1" applyFill="1" applyBorder="1" applyAlignment="1">
      <alignment horizontal="center" vertical="center" wrapText="1" shrinkToFit="1" readingOrder="2"/>
    </xf>
    <xf numFmtId="174" fontId="23" fillId="0" borderId="0" xfId="0" applyNumberFormat="1" applyFont="1" applyFill="1" applyAlignment="1">
      <alignment horizontal="right" vertical="center" shrinkToFit="1" readingOrder="2"/>
    </xf>
    <xf numFmtId="169" fontId="41" fillId="0" borderId="20" xfId="0" applyNumberFormat="1" applyFont="1" applyFill="1" applyBorder="1" applyAlignment="1">
      <alignment horizontal="center" vertical="center" wrapText="1" shrinkToFit="1" readingOrder="2"/>
    </xf>
    <xf numFmtId="169" fontId="41" fillId="0" borderId="13" xfId="0" applyNumberFormat="1" applyFont="1" applyFill="1" applyBorder="1" applyAlignment="1">
      <alignment horizontal="center" vertical="center" wrapText="1" shrinkToFit="1" readingOrder="2"/>
    </xf>
    <xf numFmtId="169" fontId="41" fillId="0" borderId="65" xfId="0" applyNumberFormat="1" applyFont="1" applyFill="1" applyBorder="1" applyAlignment="1">
      <alignment horizontal="center" vertical="center" wrapText="1" shrinkToFit="1" readingOrder="2"/>
    </xf>
    <xf numFmtId="169" fontId="41" fillId="0" borderId="66" xfId="0" applyNumberFormat="1" applyFont="1" applyFill="1" applyBorder="1" applyAlignment="1">
      <alignment horizontal="center" vertical="center" wrapText="1" shrinkToFit="1" readingOrder="2"/>
    </xf>
    <xf numFmtId="169" fontId="41" fillId="0" borderId="28" xfId="0" applyNumberFormat="1" applyFont="1" applyFill="1" applyBorder="1" applyAlignment="1">
      <alignment horizontal="center" vertical="center" wrapText="1" shrinkToFit="1" readingOrder="2"/>
    </xf>
    <xf numFmtId="169" fontId="41" fillId="0" borderId="23" xfId="0" applyNumberFormat="1" applyFont="1" applyFill="1" applyBorder="1" applyAlignment="1">
      <alignment horizontal="center" vertical="center" wrapText="1" shrinkToFit="1" readingOrder="2"/>
    </xf>
    <xf numFmtId="2" fontId="37" fillId="0" borderId="16" xfId="0" applyNumberFormat="1" applyFont="1" applyFill="1" applyBorder="1" applyAlignment="1">
      <alignment horizontal="right" vertical="center" shrinkToFit="1"/>
    </xf>
    <xf numFmtId="2" fontId="37" fillId="0" borderId="24" xfId="0" applyNumberFormat="1" applyFont="1" applyFill="1" applyBorder="1" applyAlignment="1">
      <alignment horizontal="right" vertical="center" shrinkToFit="1"/>
    </xf>
    <xf numFmtId="2" fontId="37" fillId="0" borderId="27" xfId="0" applyNumberFormat="1" applyFont="1" applyFill="1" applyBorder="1" applyAlignment="1">
      <alignment horizontal="right" vertical="center" shrinkToFit="1"/>
    </xf>
    <xf numFmtId="169" fontId="41" fillId="0" borderId="28" xfId="0" applyNumberFormat="1" applyFont="1" applyFill="1" applyBorder="1" applyAlignment="1">
      <alignment horizontal="center" vertical="center" shrinkToFit="1" readingOrder="2"/>
    </xf>
    <xf numFmtId="169" fontId="39" fillId="0" borderId="0" xfId="0" applyNumberFormat="1" applyFont="1" applyFill="1" applyAlignment="1">
      <alignment horizontal="center" vertical="center" shrinkToFit="1"/>
    </xf>
    <xf numFmtId="174" fontId="23" fillId="0" borderId="0" xfId="0" applyNumberFormat="1" applyFont="1" applyFill="1" applyAlignment="1">
      <alignment horizontal="right" vertical="center" wrapText="1" shrinkToFit="1" readingOrder="2"/>
    </xf>
    <xf numFmtId="0" fontId="110" fillId="0" borderId="16" xfId="165" applyFont="1" applyFill="1" applyBorder="1" applyAlignment="1">
      <alignment horizontal="right" vertical="center"/>
    </xf>
    <xf numFmtId="0" fontId="110" fillId="0" borderId="24" xfId="165" applyFont="1" applyFill="1" applyBorder="1" applyAlignment="1">
      <alignment horizontal="right" vertical="center"/>
    </xf>
    <xf numFmtId="0" fontId="110" fillId="0" borderId="27" xfId="165" applyFont="1" applyFill="1" applyBorder="1" applyAlignment="1">
      <alignment horizontal="right" vertical="center"/>
    </xf>
    <xf numFmtId="169" fontId="39" fillId="0" borderId="16" xfId="0" applyNumberFormat="1" applyFont="1" applyFill="1" applyBorder="1" applyAlignment="1">
      <alignment horizontal="right" vertical="center" shrinkToFit="1"/>
    </xf>
    <xf numFmtId="169" fontId="39" fillId="0" borderId="24" xfId="0" applyNumberFormat="1" applyFont="1" applyFill="1" applyBorder="1" applyAlignment="1">
      <alignment horizontal="right" vertical="center" shrinkToFit="1"/>
    </xf>
    <xf numFmtId="169" fontId="39" fillId="0" borderId="27" xfId="0" applyNumberFormat="1" applyFont="1" applyFill="1" applyBorder="1" applyAlignment="1">
      <alignment horizontal="right" vertical="center" shrinkToFit="1"/>
    </xf>
    <xf numFmtId="169" fontId="34" fillId="0" borderId="34" xfId="0" applyNumberFormat="1" applyFont="1" applyFill="1" applyBorder="1" applyAlignment="1">
      <alignment horizontal="center" vertical="center" shrinkToFit="1"/>
    </xf>
    <xf numFmtId="169" fontId="38" fillId="0" borderId="34" xfId="10" applyNumberFormat="1" applyFont="1" applyFill="1" applyBorder="1" applyAlignment="1">
      <alignment horizontal="center" vertical="center" shrinkToFit="1" readingOrder="2"/>
    </xf>
    <xf numFmtId="0" fontId="37" fillId="0" borderId="15" xfId="98" applyFont="1" applyFill="1" applyBorder="1" applyAlignment="1">
      <alignment horizontal="right" vertical="center" shrinkToFit="1"/>
    </xf>
    <xf numFmtId="169" fontId="37" fillId="0" borderId="15" xfId="0" applyNumberFormat="1" applyFont="1" applyFill="1" applyBorder="1" applyAlignment="1">
      <alignment horizontal="right" vertical="center" shrinkToFit="1"/>
    </xf>
    <xf numFmtId="0" fontId="37" fillId="0" borderId="16" xfId="98" applyFont="1" applyFill="1" applyBorder="1" applyAlignment="1">
      <alignment horizontal="right" vertical="center"/>
    </xf>
    <xf numFmtId="0" fontId="37" fillId="0" borderId="24" xfId="98" applyFont="1" applyFill="1" applyBorder="1" applyAlignment="1">
      <alignment horizontal="right" vertical="center"/>
    </xf>
    <xf numFmtId="0" fontId="37" fillId="0" borderId="27" xfId="98" applyFont="1" applyFill="1" applyBorder="1" applyAlignment="1">
      <alignment horizontal="right" vertical="center"/>
    </xf>
    <xf numFmtId="0" fontId="37" fillId="0" borderId="16" xfId="98" applyFont="1" applyFill="1" applyBorder="1" applyAlignment="1">
      <alignment horizontal="right" vertical="center" wrapText="1" shrinkToFit="1"/>
    </xf>
    <xf numFmtId="0" fontId="37" fillId="0" borderId="24" xfId="98" applyFont="1" applyFill="1" applyBorder="1" applyAlignment="1">
      <alignment horizontal="right" vertical="center" wrapText="1" shrinkToFit="1"/>
    </xf>
    <xf numFmtId="0" fontId="37" fillId="0" borderId="27" xfId="98" applyFont="1" applyFill="1" applyBorder="1" applyAlignment="1">
      <alignment horizontal="right" vertical="center" wrapText="1" shrinkToFit="1"/>
    </xf>
    <xf numFmtId="49" fontId="41" fillId="0" borderId="8" xfId="0" applyNumberFormat="1" applyFont="1" applyFill="1" applyBorder="1" applyAlignment="1">
      <alignment horizontal="center" vertical="center" shrinkToFit="1" readingOrder="2"/>
    </xf>
    <xf numFmtId="49" fontId="41" fillId="0" borderId="10" xfId="0" applyNumberFormat="1" applyFont="1" applyFill="1" applyBorder="1" applyAlignment="1">
      <alignment horizontal="center" vertical="center" shrinkToFit="1" readingOrder="2"/>
    </xf>
    <xf numFmtId="169" fontId="41" fillId="0" borderId="20" xfId="0" applyNumberFormat="1" applyFont="1" applyFill="1" applyBorder="1" applyAlignment="1">
      <alignment horizontal="center" vertical="center" shrinkToFit="1" readingOrder="2"/>
    </xf>
    <xf numFmtId="169" fontId="41" fillId="0" borderId="13" xfId="0" applyNumberFormat="1" applyFont="1" applyFill="1" applyBorder="1" applyAlignment="1">
      <alignment horizontal="center" vertical="center" shrinkToFit="1" readingOrder="2"/>
    </xf>
    <xf numFmtId="169" fontId="41" fillId="0" borderId="65" xfId="0" applyNumberFormat="1" applyFont="1" applyFill="1" applyBorder="1" applyAlignment="1">
      <alignment horizontal="center" vertical="center" shrinkToFit="1" readingOrder="2"/>
    </xf>
    <xf numFmtId="169" fontId="41" fillId="0" borderId="66" xfId="0" applyNumberFormat="1" applyFont="1" applyFill="1" applyBorder="1" applyAlignment="1">
      <alignment horizontal="center" vertical="center" shrinkToFit="1" readingOrder="2"/>
    </xf>
    <xf numFmtId="169" fontId="41" fillId="0" borderId="23" xfId="0" applyNumberFormat="1" applyFont="1" applyFill="1" applyBorder="1" applyAlignment="1">
      <alignment horizontal="center" vertical="center" shrinkToFit="1" readingOrder="2"/>
    </xf>
    <xf numFmtId="3" fontId="37" fillId="0" borderId="63" xfId="0" applyNumberFormat="1" applyFont="1" applyFill="1" applyBorder="1" applyAlignment="1">
      <alignment horizontal="center" vertical="center" shrinkToFit="1"/>
    </xf>
    <xf numFmtId="3" fontId="37" fillId="0" borderId="33" xfId="0" applyNumberFormat="1" applyFont="1" applyFill="1" applyBorder="1" applyAlignment="1">
      <alignment horizontal="center" vertical="center" shrinkToFit="1"/>
    </xf>
    <xf numFmtId="3" fontId="37" fillId="0" borderId="64" xfId="0" applyNumberFormat="1" applyFont="1" applyFill="1" applyBorder="1" applyAlignment="1">
      <alignment horizontal="center" vertical="center" shrinkToFit="1"/>
    </xf>
    <xf numFmtId="174" fontId="24" fillId="0" borderId="0" xfId="0" applyNumberFormat="1" applyFont="1" applyFill="1" applyAlignment="1">
      <alignment horizontal="right" vertical="center" wrapText="1" shrinkToFit="1" readingOrder="2"/>
    </xf>
    <xf numFmtId="49" fontId="37" fillId="0" borderId="15" xfId="0" applyNumberFormat="1" applyFont="1" applyFill="1" applyBorder="1" applyAlignment="1">
      <alignment horizontal="center" vertical="center" shrinkToFit="1"/>
    </xf>
    <xf numFmtId="174" fontId="23" fillId="0" borderId="24" xfId="0" applyNumberFormat="1" applyFont="1" applyFill="1" applyBorder="1" applyAlignment="1">
      <alignment horizontal="center" vertical="center" wrapText="1" shrinkToFit="1" readingOrder="2"/>
    </xf>
    <xf numFmtId="0" fontId="39" fillId="0" borderId="16" xfId="69" applyFont="1" applyFill="1" applyBorder="1" applyAlignment="1">
      <alignment horizontal="right" vertical="center"/>
    </xf>
    <xf numFmtId="0" fontId="39" fillId="0" borderId="24" xfId="69" applyFont="1" applyFill="1" applyBorder="1" applyAlignment="1">
      <alignment horizontal="right" vertical="center"/>
    </xf>
    <xf numFmtId="0" fontId="39" fillId="0" borderId="27" xfId="69" applyFont="1" applyFill="1" applyBorder="1" applyAlignment="1">
      <alignment horizontal="right" vertical="center"/>
    </xf>
    <xf numFmtId="49" fontId="41" fillId="0" borderId="15" xfId="10" applyNumberFormat="1" applyFont="1" applyFill="1" applyBorder="1" applyAlignment="1">
      <alignment horizontal="center" vertical="center" shrinkToFit="1" readingOrder="2"/>
    </xf>
    <xf numFmtId="49" fontId="41" fillId="0" borderId="15" xfId="10" applyNumberFormat="1" applyFont="1" applyFill="1" applyBorder="1" applyAlignment="1">
      <alignment vertical="center" shrinkToFit="1" readingOrder="2"/>
    </xf>
    <xf numFmtId="2" fontId="37" fillId="0" borderId="15" xfId="0" applyNumberFormat="1" applyFont="1" applyFill="1" applyBorder="1" applyAlignment="1">
      <alignment horizontal="center" vertical="center" shrinkToFit="1"/>
    </xf>
    <xf numFmtId="169" fontId="38" fillId="0" borderId="63" xfId="10" applyNumberFormat="1" applyFont="1" applyFill="1" applyBorder="1" applyAlignment="1">
      <alignment horizontal="center" vertical="center" shrinkToFit="1"/>
    </xf>
    <xf numFmtId="169" fontId="38" fillId="0" borderId="64" xfId="10" applyNumberFormat="1" applyFont="1" applyFill="1" applyBorder="1" applyAlignment="1">
      <alignment horizontal="center" vertical="center" shrinkToFit="1"/>
    </xf>
    <xf numFmtId="0" fontId="37" fillId="0" borderId="15" xfId="98" applyFont="1" applyFill="1" applyBorder="1" applyAlignment="1">
      <alignment horizontal="center" shrinkToFit="1"/>
    </xf>
    <xf numFmtId="1" fontId="41" fillId="0" borderId="0" xfId="0" applyNumberFormat="1" applyFont="1" applyFill="1" applyAlignment="1">
      <alignment horizontal="center" vertical="center" shrinkToFit="1"/>
    </xf>
    <xf numFmtId="3" fontId="41" fillId="0" borderId="0" xfId="0" applyNumberFormat="1" applyFont="1" applyFill="1" applyAlignment="1">
      <alignment horizontal="center" vertical="center" shrinkToFit="1"/>
    </xf>
    <xf numFmtId="0" fontId="110" fillId="0" borderId="16" xfId="143" applyFont="1" applyFill="1" applyBorder="1" applyAlignment="1">
      <alignment horizontal="right" vertical="center"/>
    </xf>
    <xf numFmtId="0" fontId="110" fillId="0" borderId="24" xfId="143" applyFont="1" applyFill="1" applyBorder="1" applyAlignment="1">
      <alignment horizontal="right" vertical="center"/>
    </xf>
    <xf numFmtId="0" fontId="110" fillId="0" borderId="27" xfId="143" applyFont="1" applyFill="1" applyBorder="1" applyAlignment="1">
      <alignment horizontal="right" vertical="center"/>
    </xf>
    <xf numFmtId="169" fontId="37" fillId="0" borderId="63" xfId="17" applyNumberFormat="1" applyFont="1" applyFill="1" applyBorder="1" applyAlignment="1">
      <alignment horizontal="center" vertical="center" shrinkToFit="1"/>
    </xf>
    <xf numFmtId="169" fontId="37" fillId="0" borderId="64" xfId="17" applyNumberFormat="1" applyFont="1" applyFill="1" applyBorder="1" applyAlignment="1">
      <alignment horizontal="center" vertical="center" shrinkToFit="1"/>
    </xf>
    <xf numFmtId="0" fontId="39" fillId="0" borderId="15" xfId="69" applyFont="1" applyFill="1" applyBorder="1" applyAlignment="1">
      <alignment horizontal="right" vertical="center"/>
    </xf>
    <xf numFmtId="49" fontId="39" fillId="0" borderId="0" xfId="10" applyNumberFormat="1" applyFont="1" applyFill="1" applyAlignment="1">
      <alignment horizontal="center" vertical="center"/>
    </xf>
    <xf numFmtId="169" fontId="34" fillId="0" borderId="0" xfId="0" applyNumberFormat="1" applyFont="1" applyFill="1" applyAlignment="1">
      <alignment horizontal="center" vertical="center"/>
    </xf>
    <xf numFmtId="169" fontId="34" fillId="0" borderId="0" xfId="0" applyNumberFormat="1" applyFont="1" applyFill="1" applyAlignment="1">
      <alignment horizontal="center" vertical="center" readingOrder="2"/>
    </xf>
    <xf numFmtId="49" fontId="41" fillId="0" borderId="8" xfId="0" applyNumberFormat="1" applyFont="1" applyFill="1" applyBorder="1" applyAlignment="1">
      <alignment horizontal="center" vertical="center" readingOrder="2"/>
    </xf>
    <xf numFmtId="49" fontId="41" fillId="0" borderId="10" xfId="0" applyNumberFormat="1" applyFont="1" applyFill="1" applyBorder="1" applyAlignment="1">
      <alignment horizontal="center" vertical="center" readingOrder="2"/>
    </xf>
    <xf numFmtId="49" fontId="41" fillId="0" borderId="7" xfId="0" applyNumberFormat="1" applyFont="1" applyFill="1" applyBorder="1" applyAlignment="1">
      <alignment horizontal="center" vertical="center" readingOrder="2"/>
    </xf>
    <xf numFmtId="49" fontId="41" fillId="0" borderId="17" xfId="10" applyNumberFormat="1" applyFont="1" applyFill="1" applyBorder="1" applyAlignment="1">
      <alignment horizontal="center" vertical="center" wrapText="1" readingOrder="2"/>
    </xf>
    <xf numFmtId="49" fontId="41" fillId="0" borderId="46" xfId="10" applyNumberFormat="1" applyFont="1" applyFill="1" applyBorder="1" applyAlignment="1">
      <alignment horizontal="center" vertical="center" wrapText="1" readingOrder="2"/>
    </xf>
    <xf numFmtId="49" fontId="41" fillId="0" borderId="14" xfId="10" applyNumberFormat="1" applyFont="1" applyFill="1" applyBorder="1" applyAlignment="1">
      <alignment horizontal="center" vertical="center" wrapText="1" readingOrder="2"/>
    </xf>
    <xf numFmtId="169" fontId="42" fillId="0" borderId="0" xfId="0" applyNumberFormat="1" applyFont="1" applyFill="1" applyAlignment="1">
      <alignment horizontal="right" vertical="center" shrinkToFit="1" readingOrder="2"/>
    </xf>
    <xf numFmtId="49" fontId="37" fillId="0" borderId="5" xfId="0" applyNumberFormat="1" applyFont="1" applyFill="1" applyBorder="1" applyAlignment="1">
      <alignment horizontal="center" vertical="center"/>
    </xf>
    <xf numFmtId="49" fontId="37" fillId="0" borderId="6" xfId="0" applyNumberFormat="1" applyFont="1" applyFill="1" applyBorder="1" applyAlignment="1">
      <alignment horizontal="center" vertical="center"/>
    </xf>
    <xf numFmtId="49" fontId="41" fillId="0" borderId="1" xfId="0" applyNumberFormat="1" applyFont="1" applyFill="1" applyBorder="1" applyAlignment="1">
      <alignment horizontal="right" vertical="center" readingOrder="2"/>
    </xf>
    <xf numFmtId="169" fontId="41" fillId="0" borderId="8" xfId="0" applyNumberFormat="1" applyFont="1" applyFill="1" applyBorder="1" applyAlignment="1">
      <alignment horizontal="center" vertical="center" readingOrder="2"/>
    </xf>
    <xf numFmtId="169" fontId="41" fillId="0" borderId="10" xfId="0" applyNumberFormat="1" applyFont="1" applyFill="1" applyBorder="1" applyAlignment="1">
      <alignment horizontal="center" vertical="center" readingOrder="2"/>
    </xf>
    <xf numFmtId="169" fontId="41" fillId="0" borderId="7" xfId="0" applyNumberFormat="1" applyFont="1" applyFill="1" applyBorder="1" applyAlignment="1">
      <alignment horizontal="center" vertical="center" readingOrder="2"/>
    </xf>
    <xf numFmtId="49" fontId="41" fillId="0" borderId="20" xfId="10" applyNumberFormat="1" applyFont="1" applyFill="1" applyBorder="1" applyAlignment="1">
      <alignment horizontal="center" vertical="center" readingOrder="2"/>
    </xf>
    <xf numFmtId="49" fontId="41" fillId="0" borderId="11" xfId="10" applyNumberFormat="1" applyFont="1" applyFill="1" applyBorder="1" applyAlignment="1">
      <alignment horizontal="center" vertical="center" readingOrder="2"/>
    </xf>
    <xf numFmtId="49" fontId="41" fillId="0" borderId="19" xfId="10" applyNumberFormat="1" applyFont="1" applyFill="1" applyBorder="1" applyAlignment="1">
      <alignment horizontal="center" vertical="center" readingOrder="2"/>
    </xf>
    <xf numFmtId="49" fontId="34" fillId="0" borderId="0" xfId="0" applyNumberFormat="1" applyFont="1" applyFill="1" applyAlignment="1">
      <alignment horizontal="center" vertical="center"/>
    </xf>
    <xf numFmtId="169" fontId="41" fillId="0" borderId="4" xfId="0" applyNumberFormat="1" applyFont="1" applyFill="1" applyBorder="1" applyAlignment="1">
      <alignment horizontal="center" vertical="center"/>
    </xf>
    <xf numFmtId="169" fontId="40" fillId="0" borderId="0" xfId="0" applyNumberFormat="1" applyFont="1" applyFill="1" applyAlignment="1">
      <alignment horizontal="right" vertical="center" readingOrder="2"/>
    </xf>
    <xf numFmtId="169" fontId="34" fillId="0" borderId="0" xfId="0" applyNumberFormat="1" applyFont="1" applyFill="1" applyAlignment="1">
      <alignment horizontal="right" vertical="center" wrapText="1" readingOrder="2"/>
    </xf>
    <xf numFmtId="49" fontId="41" fillId="0" borderId="15" xfId="10" applyNumberFormat="1" applyFont="1" applyFill="1" applyBorder="1" applyAlignment="1">
      <alignment horizontal="center" vertical="center" wrapText="1" readingOrder="2"/>
    </xf>
    <xf numFmtId="49" fontId="41" fillId="0" borderId="20" xfId="10" applyNumberFormat="1" applyFont="1" applyFill="1" applyBorder="1" applyAlignment="1">
      <alignment horizontal="center" vertical="center" wrapText="1" readingOrder="2"/>
    </xf>
    <xf numFmtId="49" fontId="41" fillId="0" borderId="11" xfId="10" applyNumberFormat="1" applyFont="1" applyFill="1" applyBorder="1" applyAlignment="1">
      <alignment horizontal="center" vertical="center" wrapText="1" readingOrder="2"/>
    </xf>
    <xf numFmtId="49" fontId="41" fillId="0" borderId="19" xfId="10" applyNumberFormat="1" applyFont="1" applyFill="1" applyBorder="1" applyAlignment="1">
      <alignment horizontal="center" vertical="center" wrapText="1" readingOrder="2"/>
    </xf>
    <xf numFmtId="49" fontId="37" fillId="0" borderId="16" xfId="0" applyNumberFormat="1" applyFont="1" applyFill="1" applyBorder="1" applyAlignment="1">
      <alignment horizontal="center" vertical="center"/>
    </xf>
    <xf numFmtId="49" fontId="37" fillId="0" borderId="27" xfId="0" applyNumberFormat="1" applyFont="1" applyFill="1" applyBorder="1" applyAlignment="1">
      <alignment horizontal="center" vertical="center"/>
    </xf>
    <xf numFmtId="169" fontId="42" fillId="0" borderId="0" xfId="0" applyNumberFormat="1" applyFont="1" applyFill="1" applyAlignment="1">
      <alignment horizontal="right" vertical="center" wrapText="1" readingOrder="2"/>
    </xf>
    <xf numFmtId="169" fontId="41" fillId="0" borderId="5" xfId="0" applyNumberFormat="1" applyFont="1" applyFill="1" applyBorder="1" applyAlignment="1">
      <alignment horizontal="center" vertical="center"/>
    </xf>
    <xf numFmtId="169" fontId="41" fillId="0" borderId="6" xfId="0" applyNumberFormat="1" applyFont="1" applyFill="1" applyBorder="1" applyAlignment="1">
      <alignment horizontal="center" vertical="center"/>
    </xf>
    <xf numFmtId="169" fontId="41" fillId="0" borderId="15" xfId="0" applyNumberFormat="1" applyFont="1" applyFill="1" applyBorder="1" applyAlignment="1">
      <alignment horizontal="center" vertical="center"/>
    </xf>
    <xf numFmtId="169" fontId="41" fillId="0" borderId="34" xfId="0" applyNumberFormat="1" applyFont="1" applyFill="1" applyBorder="1" applyAlignment="1">
      <alignment horizontal="center" vertical="center" readingOrder="2"/>
    </xf>
    <xf numFmtId="169" fontId="41" fillId="0" borderId="16" xfId="0" applyNumberFormat="1" applyFont="1" applyFill="1" applyBorder="1" applyAlignment="1">
      <alignment horizontal="center" vertical="center" shrinkToFit="1"/>
    </xf>
    <xf numFmtId="169" fontId="41" fillId="0" borderId="24" xfId="0" applyNumberFormat="1" applyFont="1" applyFill="1" applyBorder="1" applyAlignment="1">
      <alignment horizontal="center" vertical="center" shrinkToFit="1"/>
    </xf>
    <xf numFmtId="169" fontId="41" fillId="0" borderId="27" xfId="0" applyNumberFormat="1" applyFont="1" applyFill="1" applyBorder="1" applyAlignment="1">
      <alignment horizontal="center" vertical="center" shrinkToFit="1"/>
    </xf>
    <xf numFmtId="49" fontId="37" fillId="0" borderId="16" xfId="0" applyNumberFormat="1" applyFont="1" applyFill="1" applyBorder="1" applyAlignment="1">
      <alignment horizontal="center" vertical="center" shrinkToFit="1"/>
    </xf>
    <xf numFmtId="49" fontId="37" fillId="0" borderId="27" xfId="0" applyNumberFormat="1" applyFont="1" applyFill="1" applyBorder="1" applyAlignment="1">
      <alignment horizontal="center" vertical="center" shrinkToFit="1"/>
    </xf>
    <xf numFmtId="49" fontId="23" fillId="0" borderId="0" xfId="0" applyNumberFormat="1" applyFont="1" applyFill="1" applyAlignment="1">
      <alignment horizontal="center" vertical="center" shrinkToFit="1" readingOrder="2"/>
    </xf>
    <xf numFmtId="169" fontId="63" fillId="0" borderId="45" xfId="37" applyNumberFormat="1" applyFont="1" applyFill="1" applyBorder="1" applyAlignment="1">
      <alignment horizontal="center" vertical="center" wrapText="1" shrinkToFit="1"/>
    </xf>
    <xf numFmtId="169" fontId="63" fillId="0" borderId="68" xfId="37" applyNumberFormat="1" applyFont="1" applyFill="1" applyBorder="1" applyAlignment="1">
      <alignment horizontal="center" vertical="center" wrapText="1" shrinkToFit="1"/>
    </xf>
    <xf numFmtId="169" fontId="63" fillId="0" borderId="8" xfId="0" applyNumberFormat="1" applyFont="1" applyFill="1" applyBorder="1" applyAlignment="1">
      <alignment horizontal="center" vertical="center" wrapText="1" readingOrder="2"/>
    </xf>
    <xf numFmtId="169" fontId="63" fillId="0" borderId="10" xfId="0" applyNumberFormat="1" applyFont="1" applyFill="1" applyBorder="1" applyAlignment="1">
      <alignment horizontal="center" vertical="center" wrapText="1" readingOrder="2"/>
    </xf>
    <xf numFmtId="169" fontId="25" fillId="0" borderId="36" xfId="0" applyNumberFormat="1" applyFont="1" applyFill="1" applyBorder="1" applyAlignment="1">
      <alignment horizontal="center" vertical="center" shrinkToFit="1" readingOrder="2"/>
    </xf>
    <xf numFmtId="169" fontId="25" fillId="0" borderId="48" xfId="0" applyNumberFormat="1" applyFont="1" applyFill="1" applyBorder="1" applyAlignment="1">
      <alignment horizontal="center" vertical="center" shrinkToFit="1" readingOrder="2"/>
    </xf>
    <xf numFmtId="169" fontId="63" fillId="0" borderId="4" xfId="0" applyNumberFormat="1" applyFont="1" applyFill="1" applyBorder="1" applyAlignment="1">
      <alignment horizontal="center" vertical="center" wrapText="1" readingOrder="2"/>
    </xf>
    <xf numFmtId="169" fontId="29" fillId="0" borderId="4" xfId="0" applyNumberFormat="1" applyFont="1" applyFill="1" applyBorder="1" applyAlignment="1">
      <alignment horizontal="center" vertical="center" textRotation="90" shrinkToFit="1" readingOrder="2"/>
    </xf>
    <xf numFmtId="169" fontId="29" fillId="0" borderId="5" xfId="0" applyNumberFormat="1" applyFont="1" applyFill="1" applyBorder="1" applyAlignment="1">
      <alignment horizontal="center" vertical="center" textRotation="90" shrinkToFit="1" readingOrder="2"/>
    </xf>
    <xf numFmtId="169" fontId="29" fillId="0" borderId="20" xfId="0" applyNumberFormat="1" applyFont="1" applyFill="1" applyBorder="1" applyAlignment="1">
      <alignment horizontal="center" vertical="center" textRotation="90" shrinkToFit="1" readingOrder="2"/>
    </xf>
    <xf numFmtId="169" fontId="29" fillId="0" borderId="57" xfId="0" applyNumberFormat="1" applyFont="1" applyFill="1" applyBorder="1" applyAlignment="1">
      <alignment horizontal="center" vertical="center" shrinkToFit="1" readingOrder="2"/>
    </xf>
    <xf numFmtId="169" fontId="29" fillId="0" borderId="3" xfId="0" applyNumberFormat="1" applyFont="1" applyFill="1" applyBorder="1" applyAlignment="1">
      <alignment horizontal="center" vertical="center" shrinkToFit="1" readingOrder="2"/>
    </xf>
    <xf numFmtId="169" fontId="29" fillId="0" borderId="69" xfId="0" applyNumberFormat="1" applyFont="1" applyFill="1" applyBorder="1" applyAlignment="1">
      <alignment horizontal="center" vertical="center" shrinkToFit="1" readingOrder="2"/>
    </xf>
    <xf numFmtId="169" fontId="94" fillId="0" borderId="0" xfId="0" applyNumberFormat="1" applyFont="1" applyFill="1" applyAlignment="1">
      <alignment horizontal="right" vertical="center" wrapText="1" readingOrder="2"/>
    </xf>
    <xf numFmtId="169" fontId="63" fillId="0" borderId="15" xfId="1" applyNumberFormat="1" applyFont="1" applyFill="1" applyBorder="1" applyAlignment="1">
      <alignment horizontal="center" vertical="center" wrapText="1" readingOrder="2"/>
    </xf>
    <xf numFmtId="169" fontId="63" fillId="0" borderId="7" xfId="0" applyNumberFormat="1" applyFont="1" applyFill="1" applyBorder="1" applyAlignment="1">
      <alignment horizontal="center" vertical="center" wrapText="1" readingOrder="2"/>
    </xf>
    <xf numFmtId="169" fontId="94" fillId="0" borderId="0" xfId="0" applyNumberFormat="1" applyFont="1" applyFill="1" applyAlignment="1">
      <alignment horizontal="right" vertical="center" shrinkToFit="1" readingOrder="2"/>
    </xf>
    <xf numFmtId="49" fontId="63" fillId="0" borderId="4" xfId="1" applyNumberFormat="1" applyFont="1" applyFill="1" applyBorder="1" applyAlignment="1">
      <alignment horizontal="center" vertical="center" wrapText="1" readingOrder="2"/>
    </xf>
    <xf numFmtId="169" fontId="63" fillId="0" borderId="15" xfId="0" applyNumberFormat="1" applyFont="1" applyFill="1" applyBorder="1" applyAlignment="1">
      <alignment horizontal="center" vertical="center" wrapText="1" readingOrder="2"/>
    </xf>
    <xf numFmtId="0" fontId="37" fillId="0" borderId="16" xfId="74" applyFont="1" applyFill="1" applyBorder="1" applyAlignment="1">
      <alignment horizontal="center" vertical="center" shrinkToFit="1"/>
    </xf>
    <xf numFmtId="0" fontId="37" fillId="0" borderId="27" xfId="74" applyFont="1" applyFill="1" applyBorder="1" applyAlignment="1">
      <alignment horizontal="center" vertical="center" shrinkToFit="1"/>
    </xf>
    <xf numFmtId="169" fontId="29" fillId="0" borderId="15" xfId="0" applyNumberFormat="1" applyFont="1" applyFill="1" applyBorder="1" applyAlignment="1">
      <alignment horizontal="center" vertical="center" textRotation="90" shrinkToFit="1" readingOrder="2"/>
    </xf>
    <xf numFmtId="49" fontId="29" fillId="0" borderId="2" xfId="0" applyNumberFormat="1" applyFont="1" applyFill="1" applyBorder="1" applyAlignment="1">
      <alignment horizontal="center" vertical="center" shrinkToFit="1" readingOrder="2"/>
    </xf>
    <xf numFmtId="49" fontId="29" fillId="0" borderId="6" xfId="0" applyNumberFormat="1" applyFont="1" applyFill="1" applyBorder="1" applyAlignment="1">
      <alignment horizontal="center" vertical="center" shrinkToFit="1" readingOrder="2"/>
    </xf>
    <xf numFmtId="169" fontId="29" fillId="0" borderId="0" xfId="0" applyNumberFormat="1" applyFont="1" applyFill="1" applyAlignment="1">
      <alignment horizontal="center" vertical="center" shrinkToFit="1" readingOrder="2"/>
    </xf>
    <xf numFmtId="169" fontId="29" fillId="0" borderId="0" xfId="0" applyNumberFormat="1" applyFont="1" applyFill="1" applyAlignment="1">
      <alignment horizontal="center" vertical="center" readingOrder="2"/>
    </xf>
    <xf numFmtId="169" fontId="23" fillId="0" borderId="0" xfId="0" applyNumberFormat="1" applyFont="1" applyFill="1" applyAlignment="1">
      <alignment horizontal="right" vertical="center" shrinkToFit="1" readingOrder="2"/>
    </xf>
    <xf numFmtId="169" fontId="38" fillId="0" borderId="0" xfId="70" applyNumberFormat="1" applyFont="1" applyBorder="1" applyAlignment="1">
      <alignment horizontal="center" vertical="center" readingOrder="2"/>
    </xf>
    <xf numFmtId="0" fontId="39" fillId="0" borderId="15" xfId="98" applyFont="1" applyBorder="1" applyAlignment="1">
      <alignment horizontal="right" vertical="center" wrapText="1" shrinkToFit="1"/>
    </xf>
    <xf numFmtId="169" fontId="41" fillId="0" borderId="0" xfId="70" applyNumberFormat="1" applyFont="1" applyAlignment="1">
      <alignment horizontal="center" vertical="center" shrinkToFit="1" readingOrder="2"/>
    </xf>
    <xf numFmtId="49" fontId="41" fillId="0" borderId="0" xfId="70" applyNumberFormat="1" applyFont="1" applyAlignment="1">
      <alignment horizontal="center" vertical="center" shrinkToFit="1" readingOrder="2"/>
    </xf>
    <xf numFmtId="169" fontId="37" fillId="0" borderId="0" xfId="70" applyNumberFormat="1" applyFont="1" applyAlignment="1">
      <alignment horizontal="right" vertical="center" wrapText="1" shrinkToFit="1" readingOrder="2"/>
    </xf>
    <xf numFmtId="169" fontId="38" fillId="0" borderId="0" xfId="70" applyNumberFormat="1" applyFont="1" applyBorder="1" applyAlignment="1">
      <alignment horizontal="right" vertical="center" shrinkToFit="1" readingOrder="2"/>
    </xf>
    <xf numFmtId="49" fontId="44" fillId="0" borderId="26" xfId="70" applyNumberFormat="1" applyFont="1" applyBorder="1" applyAlignment="1">
      <alignment horizontal="center" vertical="center" shrinkToFit="1" readingOrder="2"/>
    </xf>
    <xf numFmtId="49" fontId="44" fillId="0" borderId="29" xfId="70" applyNumberFormat="1" applyFont="1" applyBorder="1" applyAlignment="1">
      <alignment horizontal="center" vertical="center" shrinkToFit="1" readingOrder="2"/>
    </xf>
    <xf numFmtId="169" fontId="44" fillId="0" borderId="30" xfId="70" applyNumberFormat="1" applyFont="1" applyBorder="1" applyAlignment="1">
      <alignment horizontal="center" vertical="center" wrapText="1" shrinkToFit="1" readingOrder="2"/>
    </xf>
    <xf numFmtId="169" fontId="44" fillId="0" borderId="32" xfId="70" applyNumberFormat="1" applyFont="1" applyBorder="1" applyAlignment="1">
      <alignment horizontal="center" vertical="center" wrapText="1" shrinkToFit="1" readingOrder="2"/>
    </xf>
    <xf numFmtId="169" fontId="44" fillId="0" borderId="31" xfId="70" applyNumberFormat="1" applyFont="1" applyBorder="1" applyAlignment="1">
      <alignment horizontal="center" vertical="center" wrapText="1" shrinkToFit="1" readingOrder="2"/>
    </xf>
    <xf numFmtId="169" fontId="44" fillId="0" borderId="42" xfId="70" applyNumberFormat="1" applyFont="1" applyBorder="1" applyAlignment="1">
      <alignment horizontal="center" vertical="center" wrapText="1" shrinkToFit="1" readingOrder="2"/>
    </xf>
    <xf numFmtId="169" fontId="44" fillId="0" borderId="28" xfId="70" applyNumberFormat="1" applyFont="1" applyBorder="1" applyAlignment="1">
      <alignment horizontal="center" vertical="center" wrapText="1" shrinkToFit="1" readingOrder="2"/>
    </xf>
    <xf numFmtId="169" fontId="44" fillId="0" borderId="23" xfId="70" applyNumberFormat="1" applyFont="1" applyBorder="1" applyAlignment="1">
      <alignment horizontal="center" vertical="center" wrapText="1" shrinkToFit="1" readingOrder="2"/>
    </xf>
    <xf numFmtId="170" fontId="38" fillId="0" borderId="15" xfId="1" applyNumberFormat="1" applyFont="1" applyFill="1" applyBorder="1" applyAlignment="1">
      <alignment horizontal="center" vertical="center"/>
    </xf>
    <xf numFmtId="169" fontId="44" fillId="0" borderId="26" xfId="70" applyNumberFormat="1" applyFont="1" applyBorder="1" applyAlignment="1">
      <alignment horizontal="center" vertical="center" wrapText="1" shrinkToFit="1" readingOrder="2"/>
    </xf>
    <xf numFmtId="169" fontId="44" fillId="0" borderId="29" xfId="70" applyNumberFormat="1" applyFont="1" applyBorder="1" applyAlignment="1">
      <alignment horizontal="center" vertical="center" wrapText="1" shrinkToFit="1" readingOrder="2"/>
    </xf>
    <xf numFmtId="169" fontId="46" fillId="0" borderId="15" xfId="70" applyNumberFormat="1" applyFont="1" applyBorder="1" applyAlignment="1">
      <alignment horizontal="center" vertical="center" wrapText="1" shrinkToFit="1" readingOrder="2"/>
    </xf>
    <xf numFmtId="169" fontId="37" fillId="0" borderId="0" xfId="70" applyNumberFormat="1" applyFont="1" applyAlignment="1">
      <alignment horizontal="right" vertical="top" wrapText="1" shrinkToFit="1" readingOrder="2"/>
    </xf>
    <xf numFmtId="0" fontId="39" fillId="0" borderId="15" xfId="69" applyFont="1" applyBorder="1" applyAlignment="1">
      <alignment horizontal="center" vertical="center" shrinkToFit="1"/>
    </xf>
    <xf numFmtId="169" fontId="42" fillId="0" borderId="38" xfId="70" applyNumberFormat="1" applyFont="1" applyBorder="1" applyAlignment="1">
      <alignment horizontal="center" vertical="center" shrinkToFit="1" readingOrder="2"/>
    </xf>
    <xf numFmtId="169" fontId="42" fillId="0" borderId="0" xfId="70" applyNumberFormat="1" applyFont="1" applyBorder="1" applyAlignment="1">
      <alignment horizontal="center" vertical="center" shrinkToFit="1" readingOrder="2"/>
    </xf>
    <xf numFmtId="170" fontId="38" fillId="0" borderId="16" xfId="1" applyNumberFormat="1" applyFont="1" applyFill="1" applyBorder="1" applyAlignment="1">
      <alignment horizontal="center" vertical="center" wrapText="1" readingOrder="2"/>
    </xf>
    <xf numFmtId="170" fontId="38" fillId="0" borderId="24" xfId="1" applyNumberFormat="1" applyFont="1" applyFill="1" applyBorder="1" applyAlignment="1">
      <alignment horizontal="center" vertical="center" wrapText="1" readingOrder="2"/>
    </xf>
    <xf numFmtId="170" fontId="38" fillId="0" borderId="27" xfId="1" applyNumberFormat="1" applyFont="1" applyFill="1" applyBorder="1" applyAlignment="1">
      <alignment horizontal="center" vertical="center" wrapText="1" readingOrder="2"/>
    </xf>
    <xf numFmtId="170" fontId="41" fillId="0" borderId="16" xfId="1" applyNumberFormat="1" applyFont="1" applyFill="1" applyBorder="1" applyAlignment="1">
      <alignment horizontal="center" wrapText="1" readingOrder="2"/>
    </xf>
    <xf numFmtId="170" fontId="41" fillId="0" borderId="24" xfId="1" applyNumberFormat="1" applyFont="1" applyFill="1" applyBorder="1" applyAlignment="1">
      <alignment horizontal="center" wrapText="1" readingOrder="2"/>
    </xf>
    <xf numFmtId="170" fontId="41" fillId="0" borderId="27" xfId="1" applyNumberFormat="1" applyFont="1" applyFill="1" applyBorder="1" applyAlignment="1">
      <alignment horizontal="center" wrapText="1" readingOrder="2"/>
    </xf>
    <xf numFmtId="169" fontId="41" fillId="0" borderId="0" xfId="70" applyNumberFormat="1" applyFont="1" applyAlignment="1">
      <alignment horizontal="right" vertical="center" wrapText="1" shrinkToFit="1" readingOrder="2"/>
    </xf>
    <xf numFmtId="169" fontId="37" fillId="0" borderId="26" xfId="0" applyNumberFormat="1" applyFont="1" applyBorder="1" applyAlignment="1">
      <alignment horizontal="center" vertical="center" shrinkToFit="1"/>
    </xf>
    <xf numFmtId="169" fontId="37" fillId="0" borderId="70" xfId="0" applyNumberFormat="1" applyFont="1" applyBorder="1" applyAlignment="1">
      <alignment horizontal="center" vertical="center" shrinkToFit="1"/>
    </xf>
    <xf numFmtId="49" fontId="42" fillId="0" borderId="26" xfId="70" applyNumberFormat="1" applyFont="1" applyBorder="1" applyAlignment="1">
      <alignment horizontal="center" vertical="center" textRotation="90" shrinkToFit="1" readingOrder="2"/>
    </xf>
    <xf numFmtId="49" fontId="42" fillId="0" borderId="70" xfId="70" applyNumberFormat="1" applyFont="1" applyBorder="1" applyAlignment="1">
      <alignment horizontal="center" vertical="center" textRotation="90" shrinkToFit="1" readingOrder="2"/>
    </xf>
    <xf numFmtId="169" fontId="37" fillId="0" borderId="30" xfId="126" applyNumberFormat="1" applyFont="1" applyBorder="1" applyAlignment="1">
      <alignment horizontal="center" vertical="center" shrinkToFit="1"/>
    </xf>
    <xf numFmtId="169" fontId="37" fillId="0" borderId="32" xfId="126" applyNumberFormat="1" applyFont="1" applyBorder="1" applyAlignment="1">
      <alignment horizontal="center" vertical="center" shrinkToFit="1"/>
    </xf>
    <xf numFmtId="169" fontId="37" fillId="0" borderId="31" xfId="126" applyNumberFormat="1" applyFont="1" applyBorder="1" applyAlignment="1">
      <alignment horizontal="center" vertical="center" shrinkToFit="1"/>
    </xf>
    <xf numFmtId="169" fontId="37" fillId="0" borderId="71" xfId="126" applyNumberFormat="1" applyFont="1" applyBorder="1" applyAlignment="1">
      <alignment horizontal="center" vertical="center" shrinkToFit="1"/>
    </xf>
    <xf numFmtId="169" fontId="37" fillId="0" borderId="51" xfId="126" applyNumberFormat="1" applyFont="1" applyBorder="1" applyAlignment="1">
      <alignment horizontal="center" vertical="center" shrinkToFit="1"/>
    </xf>
    <xf numFmtId="169" fontId="37" fillId="0" borderId="72" xfId="126" applyNumberFormat="1" applyFont="1" applyBorder="1" applyAlignment="1">
      <alignment horizontal="center" vertical="center" shrinkToFit="1"/>
    </xf>
    <xf numFmtId="169" fontId="37" fillId="0" borderId="30" xfId="34" applyNumberFormat="1" applyFont="1" applyFill="1" applyBorder="1" applyAlignment="1">
      <alignment horizontal="center" vertical="center" shrinkToFit="1"/>
    </xf>
    <xf numFmtId="169" fontId="37" fillId="0" borderId="32" xfId="34" applyNumberFormat="1" applyFont="1" applyFill="1" applyBorder="1" applyAlignment="1">
      <alignment horizontal="center" vertical="center" shrinkToFit="1"/>
    </xf>
    <xf numFmtId="169" fontId="37" fillId="0" borderId="31" xfId="34" applyNumberFormat="1" applyFont="1" applyFill="1" applyBorder="1" applyAlignment="1">
      <alignment horizontal="center" vertical="center" shrinkToFit="1"/>
    </xf>
    <xf numFmtId="169" fontId="37" fillId="0" borderId="71" xfId="34" applyNumberFormat="1" applyFont="1" applyFill="1" applyBorder="1" applyAlignment="1">
      <alignment horizontal="center" vertical="center" shrinkToFit="1"/>
    </xf>
    <xf numFmtId="169" fontId="37" fillId="0" borderId="51" xfId="34" applyNumberFormat="1" applyFont="1" applyFill="1" applyBorder="1" applyAlignment="1">
      <alignment horizontal="center" vertical="center" shrinkToFit="1"/>
    </xf>
    <xf numFmtId="169" fontId="37" fillId="0" borderId="72" xfId="34" applyNumberFormat="1" applyFont="1" applyFill="1" applyBorder="1" applyAlignment="1">
      <alignment horizontal="center" vertical="center" shrinkToFit="1"/>
    </xf>
    <xf numFmtId="171" fontId="41" fillId="0" borderId="16" xfId="1" applyNumberFormat="1" applyFont="1" applyFill="1" applyBorder="1" applyAlignment="1">
      <alignment horizontal="center" vertical="center" readingOrder="2"/>
    </xf>
    <xf numFmtId="171" fontId="41" fillId="0" borderId="24" xfId="1" applyNumberFormat="1" applyFont="1" applyFill="1" applyBorder="1" applyAlignment="1">
      <alignment horizontal="center" vertical="center" readingOrder="2"/>
    </xf>
    <xf numFmtId="171" fontId="41" fillId="0" borderId="27" xfId="1" applyNumberFormat="1" applyFont="1" applyFill="1" applyBorder="1" applyAlignment="1">
      <alignment horizontal="center" vertical="center" readingOrder="2"/>
    </xf>
    <xf numFmtId="49" fontId="34" fillId="0" borderId="26" xfId="70" applyNumberFormat="1" applyFont="1" applyBorder="1" applyAlignment="1">
      <alignment horizontal="center" vertical="center" textRotation="90" shrinkToFit="1" readingOrder="2"/>
    </xf>
    <xf numFmtId="49" fontId="34" fillId="0" borderId="41" xfId="70" applyNumberFormat="1" applyFont="1" applyBorder="1" applyAlignment="1">
      <alignment horizontal="center" vertical="center" textRotation="90" shrinkToFit="1" readingOrder="2"/>
    </xf>
    <xf numFmtId="49" fontId="34" fillId="0" borderId="29" xfId="70" applyNumberFormat="1" applyFont="1" applyBorder="1" applyAlignment="1">
      <alignment horizontal="center" vertical="center" textRotation="90" shrinkToFit="1" readingOrder="2"/>
    </xf>
    <xf numFmtId="169" fontId="37" fillId="0" borderId="26" xfId="70" applyNumberFormat="1" applyFont="1" applyBorder="1" applyAlignment="1">
      <alignment horizontal="center" vertical="center" shrinkToFit="1" readingOrder="2"/>
    </xf>
    <xf numFmtId="169" fontId="37" fillId="0" borderId="70" xfId="70" applyNumberFormat="1" applyFont="1" applyBorder="1" applyAlignment="1">
      <alignment horizontal="center" vertical="center" shrinkToFit="1" readingOrder="2"/>
    </xf>
    <xf numFmtId="49" fontId="37" fillId="0" borderId="26" xfId="0" applyNumberFormat="1" applyFont="1" applyBorder="1" applyAlignment="1">
      <alignment horizontal="center" vertical="center" shrinkToFit="1"/>
    </xf>
    <xf numFmtId="49" fontId="37" fillId="0" borderId="70" xfId="0" applyNumberFormat="1" applyFont="1" applyBorder="1" applyAlignment="1">
      <alignment horizontal="center" vertical="center" shrinkToFit="1"/>
    </xf>
    <xf numFmtId="169" fontId="38" fillId="0" borderId="1" xfId="70" applyNumberFormat="1" applyFont="1" applyBorder="1" applyAlignment="1">
      <alignment horizontal="center" vertical="center" wrapText="1" shrinkToFit="1" readingOrder="2"/>
    </xf>
    <xf numFmtId="49" fontId="35" fillId="0" borderId="0" xfId="0" applyNumberFormat="1" applyFont="1" applyAlignment="1">
      <alignment horizontal="right" vertical="center" shrinkToFit="1" readingOrder="2"/>
    </xf>
    <xf numFmtId="169" fontId="38" fillId="0" borderId="13" xfId="70" applyNumberFormat="1" applyFont="1" applyBorder="1" applyAlignment="1">
      <alignment horizontal="center" vertical="center" shrinkToFit="1" readingOrder="2"/>
    </xf>
    <xf numFmtId="170" fontId="24" fillId="0" borderId="15" xfId="70" applyNumberFormat="1" applyFont="1" applyBorder="1" applyAlignment="1">
      <alignment horizontal="center" vertical="center" shrinkToFit="1" readingOrder="2"/>
    </xf>
    <xf numFmtId="49" fontId="34" fillId="0" borderId="15" xfId="70" applyNumberFormat="1" applyFont="1" applyBorder="1" applyAlignment="1">
      <alignment horizontal="center" vertical="center" textRotation="90" shrinkToFit="1" readingOrder="2"/>
    </xf>
    <xf numFmtId="169" fontId="34" fillId="0" borderId="0" xfId="0" applyNumberFormat="1" applyFont="1" applyAlignment="1">
      <alignment horizontal="center" vertical="center" shrinkToFit="1" readingOrder="2"/>
    </xf>
    <xf numFmtId="49" fontId="38" fillId="0" borderId="0" xfId="0" applyNumberFormat="1" applyFont="1" applyAlignment="1">
      <alignment horizontal="right" vertical="center" shrinkToFit="1" readingOrder="2"/>
    </xf>
    <xf numFmtId="170" fontId="38" fillId="0" borderId="3" xfId="0" applyNumberFormat="1" applyFont="1" applyBorder="1" applyAlignment="1">
      <alignment horizontal="center" vertical="center" shrinkToFit="1" readingOrder="2"/>
    </xf>
    <xf numFmtId="170" fontId="38" fillId="0" borderId="33" xfId="0" applyNumberFormat="1" applyFont="1" applyBorder="1" applyAlignment="1">
      <alignment horizontal="center" vertical="center" shrinkToFit="1" readingOrder="2"/>
    </xf>
    <xf numFmtId="170" fontId="34" fillId="0" borderId="15" xfId="70" applyNumberFormat="1" applyFont="1" applyBorder="1" applyAlignment="1">
      <alignment horizontal="center" vertical="center" shrinkToFit="1" readingOrder="2"/>
    </xf>
    <xf numFmtId="0" fontId="37" fillId="0" borderId="15" xfId="98" applyFont="1" applyBorder="1" applyAlignment="1">
      <alignment horizontal="right" vertical="center" wrapText="1" shrinkToFit="1"/>
    </xf>
    <xf numFmtId="169" fontId="38" fillId="0" borderId="28" xfId="70" applyNumberFormat="1" applyFont="1" applyBorder="1" applyAlignment="1">
      <alignment horizontal="center" vertical="center" wrapText="1" shrinkToFit="1" readingOrder="2"/>
    </xf>
    <xf numFmtId="169" fontId="38" fillId="0" borderId="0" xfId="70" applyNumberFormat="1" applyFont="1" applyAlignment="1">
      <alignment horizontal="right" vertical="center" shrinkToFit="1" readingOrder="2"/>
    </xf>
    <xf numFmtId="169" fontId="38" fillId="0" borderId="0" xfId="70" applyNumberFormat="1" applyFont="1" applyBorder="1" applyAlignment="1">
      <alignment horizontal="center" vertical="center" shrinkToFit="1" readingOrder="2"/>
    </xf>
    <xf numFmtId="49" fontId="44" fillId="0" borderId="73" xfId="70" applyNumberFormat="1" applyFont="1" applyBorder="1" applyAlignment="1">
      <alignment horizontal="center" vertical="center" wrapText="1" shrinkToFit="1" readingOrder="2"/>
    </xf>
    <xf numFmtId="49" fontId="44" fillId="0" borderId="29" xfId="70" applyNumberFormat="1" applyFont="1" applyBorder="1" applyAlignment="1">
      <alignment horizontal="center" vertical="center" wrapText="1" shrinkToFit="1" readingOrder="2"/>
    </xf>
    <xf numFmtId="169" fontId="46" fillId="0" borderId="15" xfId="37" applyNumberFormat="1" applyFont="1" applyFill="1" applyBorder="1" applyAlignment="1">
      <alignment horizontal="center" vertical="center" wrapText="1" shrinkToFit="1"/>
    </xf>
    <xf numFmtId="169" fontId="44" fillId="0" borderId="15" xfId="70" applyNumberFormat="1" applyFont="1" applyBorder="1" applyAlignment="1">
      <alignment horizontal="center" vertical="center" wrapText="1" shrinkToFit="1" readingOrder="2"/>
    </xf>
    <xf numFmtId="0" fontId="37" fillId="0" borderId="16" xfId="98" applyFont="1" applyBorder="1" applyAlignment="1">
      <alignment horizontal="right" vertical="center" wrapText="1" shrinkToFit="1"/>
    </xf>
    <xf numFmtId="0" fontId="37" fillId="0" borderId="24" xfId="98" applyFont="1" applyBorder="1" applyAlignment="1">
      <alignment horizontal="right" vertical="center" wrapText="1" shrinkToFit="1"/>
    </xf>
    <xf numFmtId="0" fontId="37" fillId="0" borderId="27" xfId="98" applyFont="1" applyBorder="1" applyAlignment="1">
      <alignment horizontal="right" vertical="center" wrapText="1" shrinkToFit="1"/>
    </xf>
    <xf numFmtId="49" fontId="34" fillId="0" borderId="15" xfId="70" applyNumberFormat="1" applyFont="1" applyBorder="1" applyAlignment="1">
      <alignment horizontal="center" vertical="center" shrinkToFit="1" readingOrder="2"/>
    </xf>
    <xf numFmtId="49" fontId="46" fillId="0" borderId="15" xfId="70" applyNumberFormat="1" applyFont="1" applyBorder="1" applyAlignment="1">
      <alignment horizontal="center" vertical="center" wrapText="1" shrinkToFit="1" readingOrder="2"/>
    </xf>
    <xf numFmtId="0" fontId="37" fillId="0" borderId="16" xfId="98" applyFont="1" applyBorder="1" applyAlignment="1">
      <alignment vertical="center" wrapText="1" shrinkToFit="1"/>
    </xf>
    <xf numFmtId="0" fontId="37" fillId="0" borderId="24" xfId="98" applyFont="1" applyBorder="1" applyAlignment="1">
      <alignment vertical="center" wrapText="1" shrinkToFit="1"/>
    </xf>
    <xf numFmtId="0" fontId="37" fillId="0" borderId="27" xfId="98" applyFont="1" applyBorder="1" applyAlignment="1">
      <alignment vertical="center" wrapText="1" shrinkToFit="1"/>
    </xf>
    <xf numFmtId="0" fontId="39" fillId="0" borderId="15" xfId="98" applyFont="1" applyBorder="1" applyAlignment="1">
      <alignment vertical="center" wrapText="1" shrinkToFit="1"/>
    </xf>
    <xf numFmtId="0" fontId="37" fillId="0" borderId="15" xfId="98" applyFont="1" applyBorder="1" applyAlignment="1">
      <alignment vertical="center" wrapText="1" shrinkToFit="1"/>
    </xf>
    <xf numFmtId="0" fontId="37" fillId="0" borderId="16" xfId="98" applyFont="1" applyBorder="1" applyAlignment="1">
      <alignment vertical="center" shrinkToFit="1"/>
    </xf>
    <xf numFmtId="0" fontId="37" fillId="0" borderId="24" xfId="98" applyFont="1" applyBorder="1" applyAlignment="1">
      <alignment vertical="center" shrinkToFit="1"/>
    </xf>
    <xf numFmtId="0" fontId="37" fillId="0" borderId="27" xfId="98" applyFont="1" applyBorder="1" applyAlignment="1">
      <alignment vertical="center" shrinkToFit="1"/>
    </xf>
    <xf numFmtId="169" fontId="44" fillId="0" borderId="28" xfId="34" applyNumberFormat="1" applyFont="1" applyFill="1" applyBorder="1" applyAlignment="1">
      <alignment horizontal="center" readingOrder="2"/>
    </xf>
    <xf numFmtId="49" fontId="34" fillId="0" borderId="15" xfId="1" applyNumberFormat="1" applyFont="1" applyFill="1" applyBorder="1" applyAlignment="1">
      <alignment horizontal="center" vertical="center" shrinkToFit="1"/>
    </xf>
    <xf numFmtId="49" fontId="37" fillId="0" borderId="41" xfId="70" applyNumberFormat="1" applyFont="1" applyBorder="1" applyAlignment="1">
      <alignment horizontal="center" vertical="center" textRotation="90" shrinkToFit="1" readingOrder="2"/>
    </xf>
    <xf numFmtId="49" fontId="37" fillId="0" borderId="29" xfId="70" applyNumberFormat="1" applyFont="1" applyBorder="1" applyAlignment="1">
      <alignment horizontal="center" vertical="center" textRotation="90" shrinkToFit="1" readingOrder="2"/>
    </xf>
    <xf numFmtId="169" fontId="39" fillId="0" borderId="15" xfId="70" applyNumberFormat="1" applyFont="1" applyBorder="1" applyAlignment="1">
      <alignment horizontal="center" vertical="center" shrinkToFit="1" readingOrder="2"/>
    </xf>
    <xf numFmtId="170" fontId="39" fillId="0" borderId="16" xfId="70" applyNumberFormat="1" applyFont="1" applyBorder="1" applyAlignment="1">
      <alignment horizontal="center" vertical="center" shrinkToFit="1" readingOrder="2"/>
    </xf>
    <xf numFmtId="170" fontId="39" fillId="0" borderId="24" xfId="70" applyNumberFormat="1" applyFont="1" applyBorder="1" applyAlignment="1">
      <alignment horizontal="center" vertical="center" shrinkToFit="1" readingOrder="2"/>
    </xf>
    <xf numFmtId="170" fontId="39" fillId="0" borderId="27" xfId="70" applyNumberFormat="1" applyFont="1" applyBorder="1" applyAlignment="1">
      <alignment horizontal="center" vertical="center" shrinkToFit="1" readingOrder="2"/>
    </xf>
    <xf numFmtId="170" fontId="23" fillId="0" borderId="15" xfId="70" applyNumberFormat="1" applyFont="1" applyBorder="1" applyAlignment="1">
      <alignment horizontal="center" vertical="center" shrinkToFit="1" readingOrder="2"/>
    </xf>
    <xf numFmtId="170" fontId="34" fillId="0" borderId="16" xfId="70" applyNumberFormat="1" applyFont="1" applyBorder="1" applyAlignment="1">
      <alignment horizontal="center" vertical="center" shrinkToFit="1" readingOrder="2"/>
    </xf>
    <xf numFmtId="170" fontId="34" fillId="0" borderId="24" xfId="70" applyNumberFormat="1" applyFont="1" applyBorder="1" applyAlignment="1">
      <alignment horizontal="center" vertical="center" shrinkToFit="1" readingOrder="2"/>
    </xf>
    <xf numFmtId="170" fontId="34" fillId="0" borderId="27" xfId="70" applyNumberFormat="1" applyFont="1" applyBorder="1" applyAlignment="1">
      <alignment horizontal="center" vertical="center" shrinkToFit="1" readingOrder="2"/>
    </xf>
    <xf numFmtId="170" fontId="24" fillId="0" borderId="16" xfId="70" applyNumberFormat="1" applyFont="1" applyBorder="1" applyAlignment="1">
      <alignment horizontal="center" vertical="center" shrinkToFit="1" readingOrder="2"/>
    </xf>
    <xf numFmtId="170" fontId="24" fillId="0" borderId="24" xfId="70" applyNumberFormat="1" applyFont="1" applyBorder="1" applyAlignment="1">
      <alignment horizontal="center" vertical="center" shrinkToFit="1" readingOrder="2"/>
    </xf>
    <xf numFmtId="170" fontId="24" fillId="0" borderId="27" xfId="70" applyNumberFormat="1" applyFont="1" applyBorder="1" applyAlignment="1">
      <alignment horizontal="center" vertical="center" shrinkToFit="1" readingOrder="2"/>
    </xf>
    <xf numFmtId="0" fontId="37" fillId="0" borderId="16" xfId="98" applyFont="1" applyBorder="1" applyAlignment="1">
      <alignment horizontal="right" vertical="center" shrinkToFit="1"/>
    </xf>
    <xf numFmtId="0" fontId="37" fillId="0" borderId="24" xfId="98" applyFont="1" applyBorder="1" applyAlignment="1">
      <alignment horizontal="right" vertical="center" shrinkToFit="1"/>
    </xf>
    <xf numFmtId="0" fontId="37" fillId="0" borderId="27" xfId="98" applyFont="1" applyBorder="1" applyAlignment="1">
      <alignment horizontal="right" vertical="center" shrinkToFit="1"/>
    </xf>
    <xf numFmtId="169" fontId="37" fillId="0" borderId="34" xfId="70" applyNumberFormat="1" applyFont="1" applyBorder="1" applyAlignment="1">
      <alignment horizontal="center" vertical="center" shrinkToFit="1" readingOrder="2"/>
    </xf>
    <xf numFmtId="49" fontId="37" fillId="0" borderId="15" xfId="1" applyNumberFormat="1" applyFont="1" applyFill="1" applyBorder="1" applyAlignment="1">
      <alignment horizontal="center" vertical="center" shrinkToFit="1"/>
    </xf>
    <xf numFmtId="169" fontId="38" fillId="0" borderId="34" xfId="70" applyNumberFormat="1" applyFont="1" applyBorder="1" applyAlignment="1">
      <alignment horizontal="center" vertical="center" shrinkToFit="1" readingOrder="2"/>
    </xf>
    <xf numFmtId="169" fontId="34" fillId="0" borderId="26" xfId="70" applyNumberFormat="1" applyFont="1" applyBorder="1" applyAlignment="1">
      <alignment horizontal="center" vertical="center" textRotation="90" shrinkToFit="1" readingOrder="2"/>
    </xf>
    <xf numFmtId="169" fontId="34" fillId="0" borderId="41" xfId="70" applyNumberFormat="1" applyFont="1" applyBorder="1" applyAlignment="1">
      <alignment horizontal="center" vertical="center" textRotation="90" shrinkToFit="1" readingOrder="2"/>
    </xf>
    <xf numFmtId="169" fontId="34" fillId="0" borderId="29" xfId="70" applyNumberFormat="1" applyFont="1" applyBorder="1" applyAlignment="1">
      <alignment horizontal="center" vertical="center" textRotation="90" shrinkToFit="1" readingOrder="2"/>
    </xf>
    <xf numFmtId="169" fontId="34" fillId="0" borderId="15" xfId="70" applyNumberFormat="1" applyFont="1" applyBorder="1" applyAlignment="1">
      <alignment horizontal="center" vertical="center" shrinkToFit="1" readingOrder="2"/>
    </xf>
    <xf numFmtId="169" fontId="38" fillId="0" borderId="0" xfId="70" applyNumberFormat="1" applyFont="1" applyAlignment="1">
      <alignment horizontal="center" vertical="center" shrinkToFit="1" readingOrder="2"/>
    </xf>
    <xf numFmtId="49" fontId="41" fillId="0" borderId="16" xfId="70" applyNumberFormat="1" applyFont="1" applyBorder="1" applyAlignment="1">
      <alignment horizontal="center" vertical="center" shrinkToFit="1" readingOrder="2"/>
    </xf>
    <xf numFmtId="49" fontId="41" fillId="0" borderId="27" xfId="70" applyNumberFormat="1" applyFont="1" applyBorder="1" applyAlignment="1">
      <alignment horizontal="center" vertical="center" shrinkToFit="1" readingOrder="2"/>
    </xf>
    <xf numFmtId="49" fontId="41" fillId="0" borderId="15" xfId="70" applyNumberFormat="1" applyFont="1" applyBorder="1" applyAlignment="1">
      <alignment horizontal="center" vertical="center" shrinkToFit="1" readingOrder="2"/>
    </xf>
    <xf numFmtId="49" fontId="37" fillId="0" borderId="16" xfId="0" applyNumberFormat="1" applyFont="1" applyBorder="1" applyAlignment="1">
      <alignment horizontal="center" vertical="center" shrinkToFit="1"/>
    </xf>
    <xf numFmtId="49" fontId="37" fillId="0" borderId="24" xfId="0" applyNumberFormat="1" applyFont="1" applyBorder="1" applyAlignment="1">
      <alignment horizontal="center" vertical="center" shrinkToFit="1"/>
    </xf>
    <xf numFmtId="49" fontId="37" fillId="0" borderId="27" xfId="0" applyNumberFormat="1" applyFont="1" applyBorder="1" applyAlignment="1">
      <alignment horizontal="center" vertical="center" shrinkToFit="1"/>
    </xf>
    <xf numFmtId="169" fontId="41" fillId="0" borderId="15" xfId="70" applyNumberFormat="1" applyFont="1" applyFill="1" applyBorder="1" applyAlignment="1">
      <alignment horizontal="center" vertical="center" shrinkToFit="1" readingOrder="2"/>
    </xf>
    <xf numFmtId="49" fontId="34" fillId="0" borderId="15" xfId="70" applyNumberFormat="1" applyFont="1" applyFill="1" applyBorder="1" applyAlignment="1">
      <alignment horizontal="center" vertical="center" textRotation="90" shrinkToFit="1" readingOrder="2"/>
    </xf>
    <xf numFmtId="169" fontId="38" fillId="0" borderId="0" xfId="70" applyNumberFormat="1" applyFont="1" applyFill="1" applyAlignment="1">
      <alignment horizontal="right" vertical="center" shrinkToFit="1" readingOrder="2"/>
    </xf>
    <xf numFmtId="169" fontId="42" fillId="0" borderId="0" xfId="70" applyNumberFormat="1" applyFont="1" applyFill="1" applyBorder="1" applyAlignment="1">
      <alignment horizontal="center" vertical="center" shrinkToFit="1" readingOrder="2"/>
    </xf>
    <xf numFmtId="169" fontId="42" fillId="0" borderId="1" xfId="70" applyNumberFormat="1" applyFont="1" applyFill="1" applyBorder="1" applyAlignment="1">
      <alignment horizontal="center" vertical="center" shrinkToFit="1" readingOrder="2"/>
    </xf>
    <xf numFmtId="0" fontId="42" fillId="0" borderId="15" xfId="0" applyFont="1" applyFill="1" applyBorder="1" applyAlignment="1">
      <alignment horizontal="center" vertical="center" textRotation="90"/>
    </xf>
    <xf numFmtId="0" fontId="42" fillId="0" borderId="26" xfId="0" applyFont="1" applyFill="1" applyBorder="1" applyAlignment="1">
      <alignment horizontal="center" vertical="center" textRotation="90"/>
    </xf>
    <xf numFmtId="49" fontId="42" fillId="0" borderId="6" xfId="70" applyNumberFormat="1" applyFont="1" applyFill="1" applyBorder="1" applyAlignment="1">
      <alignment horizontal="center" vertical="center" wrapText="1" shrinkToFit="1" readingOrder="2"/>
    </xf>
    <xf numFmtId="49" fontId="42" fillId="0" borderId="17" xfId="70" applyNumberFormat="1" applyFont="1" applyFill="1" applyBorder="1" applyAlignment="1">
      <alignment horizontal="center" vertical="center" wrapText="1" shrinkToFit="1" readingOrder="2"/>
    </xf>
    <xf numFmtId="169" fontId="42" fillId="0" borderId="4" xfId="70" applyNumberFormat="1" applyFont="1" applyFill="1" applyBorder="1" applyAlignment="1">
      <alignment horizontal="center" vertical="center" shrinkToFit="1" readingOrder="2"/>
    </xf>
    <xf numFmtId="169" fontId="42" fillId="0" borderId="8" xfId="70" applyNumberFormat="1" applyFont="1" applyFill="1" applyBorder="1" applyAlignment="1">
      <alignment horizontal="center" vertical="center" shrinkToFit="1" readingOrder="2"/>
    </xf>
    <xf numFmtId="169" fontId="42" fillId="0" borderId="6" xfId="70" applyNumberFormat="1" applyFont="1" applyFill="1" applyBorder="1" applyAlignment="1">
      <alignment horizontal="center" vertical="center" wrapText="1" shrinkToFit="1" readingOrder="2"/>
    </xf>
    <xf numFmtId="169" fontId="42" fillId="0" borderId="26" xfId="70" applyNumberFormat="1" applyFont="1" applyFill="1" applyBorder="1" applyAlignment="1">
      <alignment horizontal="center" vertical="center" wrapText="1" shrinkToFit="1" readingOrder="2"/>
    </xf>
    <xf numFmtId="169" fontId="42" fillId="0" borderId="29" xfId="70" applyNumberFormat="1" applyFont="1" applyFill="1" applyBorder="1" applyAlignment="1">
      <alignment horizontal="center" vertical="center" wrapText="1" shrinkToFit="1" readingOrder="2"/>
    </xf>
    <xf numFmtId="169" fontId="42" fillId="0" borderId="2" xfId="34" applyNumberFormat="1" applyFont="1" applyFill="1" applyBorder="1" applyAlignment="1">
      <alignment horizontal="center" vertical="center" wrapText="1" shrinkToFit="1" readingOrder="2"/>
    </xf>
    <xf numFmtId="169" fontId="42" fillId="0" borderId="15" xfId="70" applyNumberFormat="1" applyFont="1" applyFill="1" applyBorder="1" applyAlignment="1">
      <alignment horizontal="center" vertical="center" wrapText="1" shrinkToFit="1" readingOrder="2"/>
    </xf>
    <xf numFmtId="169" fontId="42" fillId="0" borderId="73" xfId="70" applyNumberFormat="1" applyFont="1" applyFill="1" applyBorder="1" applyAlignment="1">
      <alignment horizontal="center" vertical="center" wrapText="1" shrinkToFit="1" readingOrder="2"/>
    </xf>
    <xf numFmtId="169" fontId="42" fillId="0" borderId="74" xfId="70" applyNumberFormat="1" applyFont="1" applyFill="1" applyBorder="1" applyAlignment="1">
      <alignment horizontal="center" vertical="center" wrapText="1" shrinkToFit="1" readingOrder="2"/>
    </xf>
    <xf numFmtId="169" fontId="41" fillId="0" borderId="0" xfId="70" applyNumberFormat="1" applyFont="1" applyFill="1" applyAlignment="1">
      <alignment horizontal="center" vertical="center" shrinkToFit="1" readingOrder="2"/>
    </xf>
    <xf numFmtId="0" fontId="33" fillId="0" borderId="4" xfId="0" applyFont="1" applyFill="1" applyBorder="1"/>
    <xf numFmtId="169" fontId="41" fillId="0" borderId="4" xfId="70" applyNumberFormat="1" applyFont="1" applyFill="1" applyBorder="1" applyAlignment="1">
      <alignment horizontal="center" vertical="center" shrinkToFit="1" readingOrder="2"/>
    </xf>
    <xf numFmtId="49" fontId="34" fillId="0" borderId="84" xfId="70" applyNumberFormat="1" applyFont="1" applyFill="1" applyBorder="1" applyAlignment="1">
      <alignment horizontal="center" vertical="center" textRotation="90" shrinkToFit="1" readingOrder="2"/>
    </xf>
    <xf numFmtId="49" fontId="34" fillId="0" borderId="10" xfId="70" applyNumberFormat="1" applyFont="1" applyFill="1" applyBorder="1" applyAlignment="1">
      <alignment horizontal="center" vertical="center" textRotation="90" shrinkToFit="1" readingOrder="2"/>
    </xf>
    <xf numFmtId="49" fontId="34" fillId="0" borderId="7" xfId="70" applyNumberFormat="1" applyFont="1" applyFill="1" applyBorder="1" applyAlignment="1">
      <alignment horizontal="center" vertical="center" textRotation="90" shrinkToFit="1" readingOrder="2"/>
    </xf>
    <xf numFmtId="3" fontId="42" fillId="0" borderId="0" xfId="70" applyNumberFormat="1" applyFont="1" applyFill="1" applyAlignment="1">
      <alignment horizontal="center" vertical="center" shrinkToFit="1" readingOrder="2"/>
    </xf>
    <xf numFmtId="169" fontId="35" fillId="0" borderId="0" xfId="70" applyNumberFormat="1" applyFont="1" applyFill="1" applyAlignment="1">
      <alignment horizontal="center" vertical="center" readingOrder="2"/>
    </xf>
    <xf numFmtId="169" fontId="42" fillId="0" borderId="0" xfId="70" applyNumberFormat="1" applyFont="1" applyFill="1" applyAlignment="1">
      <alignment horizontal="center" vertical="center" shrinkToFit="1" readingOrder="2"/>
    </xf>
    <xf numFmtId="169" fontId="35" fillId="0" borderId="0" xfId="70" applyNumberFormat="1" applyFont="1" applyFill="1" applyAlignment="1">
      <alignment horizontal="center" vertical="center" shrinkToFit="1" readingOrder="2"/>
    </xf>
    <xf numFmtId="169" fontId="35" fillId="0" borderId="0" xfId="70" applyNumberFormat="1" applyFont="1" applyFill="1" applyBorder="1" applyAlignment="1">
      <alignment horizontal="right" vertical="center" shrinkToFit="1" readingOrder="2"/>
    </xf>
    <xf numFmtId="169" fontId="35" fillId="0" borderId="1" xfId="70" applyNumberFormat="1" applyFont="1" applyFill="1" applyBorder="1" applyAlignment="1">
      <alignment horizontal="right" vertical="center" shrinkToFit="1" readingOrder="2"/>
    </xf>
    <xf numFmtId="169" fontId="37" fillId="0" borderId="4" xfId="70" applyNumberFormat="1" applyFont="1" applyFill="1" applyBorder="1" applyAlignment="1">
      <alignment horizontal="center" vertical="center" shrinkToFit="1" readingOrder="2"/>
    </xf>
    <xf numFmtId="169" fontId="41" fillId="0" borderId="6" xfId="70" applyNumberFormat="1" applyFont="1" applyFill="1" applyBorder="1" applyAlignment="1">
      <alignment horizontal="center" vertical="center" shrinkToFit="1" readingOrder="2"/>
    </xf>
    <xf numFmtId="169" fontId="42" fillId="0" borderId="6" xfId="70" applyNumberFormat="1" applyFont="1" applyFill="1" applyBorder="1" applyAlignment="1">
      <alignment horizontal="center" vertical="center" shrinkToFit="1" readingOrder="2"/>
    </xf>
    <xf numFmtId="49" fontId="42" fillId="0" borderId="0" xfId="70" applyNumberFormat="1" applyFont="1" applyFill="1" applyAlignment="1">
      <alignment horizontal="center" vertical="center" shrinkToFit="1" readingOrder="2"/>
    </xf>
    <xf numFmtId="169" fontId="41" fillId="0" borderId="5" xfId="70" applyNumberFormat="1" applyFont="1" applyFill="1" applyBorder="1" applyAlignment="1">
      <alignment horizontal="center" vertical="center" shrinkToFit="1" readingOrder="2"/>
    </xf>
    <xf numFmtId="169" fontId="37" fillId="0" borderId="15" xfId="34" applyNumberFormat="1" applyFont="1" applyFill="1" applyBorder="1" applyAlignment="1">
      <alignment horizontal="center" vertical="center" shrinkToFit="1"/>
    </xf>
    <xf numFmtId="0" fontId="33" fillId="0" borderId="21" xfId="0" applyFont="1" applyFill="1" applyBorder="1" applyAlignment="1">
      <alignment vertical="center"/>
    </xf>
    <xf numFmtId="169" fontId="37" fillId="0" borderId="21" xfId="70" applyNumberFormat="1" applyFont="1" applyFill="1" applyBorder="1" applyAlignment="1">
      <alignment horizontal="center" vertical="center" shrinkToFit="1" readingOrder="2"/>
    </xf>
    <xf numFmtId="169" fontId="37" fillId="0" borderId="9" xfId="70" applyNumberFormat="1" applyFont="1" applyFill="1" applyBorder="1" applyAlignment="1">
      <alignment horizontal="center" vertical="center" shrinkToFit="1" readingOrder="2"/>
    </xf>
    <xf numFmtId="49" fontId="34" fillId="0" borderId="60" xfId="70" applyNumberFormat="1" applyFont="1" applyFill="1" applyBorder="1" applyAlignment="1">
      <alignment horizontal="center" vertical="center" textRotation="90" shrinkToFit="1" readingOrder="2"/>
    </xf>
    <xf numFmtId="49" fontId="34" fillId="0" borderId="11" xfId="70" applyNumberFormat="1" applyFont="1" applyFill="1" applyBorder="1" applyAlignment="1">
      <alignment horizontal="center" vertical="center" textRotation="90" shrinkToFit="1" readingOrder="2"/>
    </xf>
    <xf numFmtId="49" fontId="34" fillId="0" borderId="19" xfId="70" applyNumberFormat="1" applyFont="1" applyFill="1" applyBorder="1" applyAlignment="1">
      <alignment horizontal="center" vertical="center" textRotation="90" shrinkToFit="1" readingOrder="2"/>
    </xf>
    <xf numFmtId="169" fontId="37" fillId="0" borderId="10" xfId="70" applyNumberFormat="1" applyFont="1" applyFill="1" applyBorder="1" applyAlignment="1">
      <alignment horizontal="center" vertical="center" shrinkToFit="1" readingOrder="2"/>
    </xf>
    <xf numFmtId="169" fontId="47" fillId="0" borderId="0" xfId="70" applyNumberFormat="1" applyFont="1" applyFill="1" applyAlignment="1">
      <alignment horizontal="right" vertical="center" shrinkToFit="1" readingOrder="2"/>
    </xf>
    <xf numFmtId="49" fontId="34" fillId="0" borderId="0" xfId="70" applyNumberFormat="1" applyFont="1" applyFill="1" applyBorder="1" applyAlignment="1">
      <alignment horizontal="center" vertical="center" shrinkToFit="1" readingOrder="2"/>
    </xf>
    <xf numFmtId="174" fontId="39" fillId="0" borderId="15" xfId="70" applyNumberFormat="1" applyFont="1" applyBorder="1" applyAlignment="1">
      <alignment vertical="center" shrinkToFit="1"/>
    </xf>
    <xf numFmtId="0" fontId="33" fillId="0" borderId="16" xfId="0" applyFont="1" applyBorder="1" applyAlignment="1">
      <alignment vertical="center" shrinkToFit="1"/>
    </xf>
    <xf numFmtId="0" fontId="33" fillId="0" borderId="27" xfId="0" applyFont="1" applyBorder="1" applyAlignment="1">
      <alignment vertical="center" shrinkToFit="1"/>
    </xf>
    <xf numFmtId="174" fontId="39" fillId="0" borderId="15" xfId="70" applyNumberFormat="1" applyFont="1" applyBorder="1" applyAlignment="1">
      <alignment horizontal="right" vertical="center" shrinkToFit="1"/>
    </xf>
    <xf numFmtId="0" fontId="25" fillId="0" borderId="16" xfId="0" applyFont="1" applyBorder="1" applyAlignment="1">
      <alignment vertical="center" shrinkToFit="1"/>
    </xf>
    <xf numFmtId="0" fontId="25" fillId="0" borderId="27" xfId="0" applyFont="1" applyBorder="1" applyAlignment="1">
      <alignment vertical="center" shrinkToFit="1"/>
    </xf>
    <xf numFmtId="49" fontId="39" fillId="0" borderId="16" xfId="0" applyNumberFormat="1" applyFont="1" applyBorder="1" applyAlignment="1">
      <alignment horizontal="center" vertical="center" shrinkToFit="1"/>
    </xf>
    <xf numFmtId="49" fontId="39" fillId="0" borderId="24" xfId="0" applyNumberFormat="1" applyFont="1" applyBorder="1" applyAlignment="1">
      <alignment horizontal="center" vertical="center" shrinkToFit="1"/>
    </xf>
    <xf numFmtId="49" fontId="39" fillId="0" borderId="27" xfId="0" applyNumberFormat="1" applyFont="1" applyBorder="1" applyAlignment="1">
      <alignment horizontal="center" vertical="center" shrinkToFit="1"/>
    </xf>
    <xf numFmtId="169" fontId="39" fillId="0" borderId="15" xfId="122" applyNumberFormat="1" applyFont="1" applyBorder="1" applyAlignment="1">
      <alignment vertical="center" shrinkToFit="1"/>
    </xf>
    <xf numFmtId="169" fontId="24" fillId="0" borderId="15" xfId="0" applyNumberFormat="1" applyFont="1" applyBorder="1" applyAlignment="1">
      <alignment vertical="center" shrinkToFit="1"/>
    </xf>
    <xf numFmtId="174" fontId="39" fillId="0" borderId="15" xfId="70" applyNumberFormat="1" applyFont="1" applyFill="1" applyBorder="1" applyAlignment="1">
      <alignment vertical="center"/>
    </xf>
    <xf numFmtId="0" fontId="24" fillId="0" borderId="16" xfId="98" applyFont="1" applyFill="1" applyBorder="1" applyAlignment="1">
      <alignment vertical="center" shrinkToFit="1"/>
    </xf>
    <xf numFmtId="0" fontId="24" fillId="0" borderId="27" xfId="98" applyFont="1" applyFill="1" applyBorder="1" applyAlignment="1">
      <alignment vertical="center" shrinkToFit="1"/>
    </xf>
    <xf numFmtId="174" fontId="39" fillId="0" borderId="15" xfId="70" applyNumberFormat="1" applyFont="1" applyFill="1" applyBorder="1" applyAlignment="1">
      <alignment vertical="center" shrinkToFit="1"/>
    </xf>
    <xf numFmtId="169" fontId="39" fillId="0" borderId="16" xfId="0" applyNumberFormat="1" applyFont="1" applyFill="1" applyBorder="1" applyAlignment="1">
      <alignment vertical="center" shrinkToFit="1"/>
    </xf>
    <xf numFmtId="169" fontId="39" fillId="0" borderId="27" xfId="0" applyNumberFormat="1" applyFont="1" applyFill="1" applyBorder="1" applyAlignment="1">
      <alignment vertical="center" shrinkToFit="1"/>
    </xf>
    <xf numFmtId="0" fontId="110" fillId="0" borderId="16" xfId="168" applyFont="1" applyBorder="1" applyAlignment="1">
      <alignment shrinkToFit="1"/>
    </xf>
    <xf numFmtId="0" fontId="110" fillId="0" borderId="27" xfId="168" applyFont="1" applyBorder="1" applyAlignment="1">
      <alignment shrinkToFit="1"/>
    </xf>
    <xf numFmtId="174" fontId="37" fillId="0" borderId="16" xfId="98" applyNumberFormat="1" applyFont="1" applyBorder="1" applyAlignment="1">
      <alignment horizontal="center" vertical="center" shrinkToFit="1"/>
    </xf>
    <xf numFmtId="174" fontId="37" fillId="0" borderId="27" xfId="98" applyNumberFormat="1" applyFont="1" applyBorder="1" applyAlignment="1">
      <alignment horizontal="center" vertical="center" shrinkToFit="1"/>
    </xf>
    <xf numFmtId="174" fontId="42" fillId="0" borderId="26" xfId="70" applyNumberFormat="1" applyFont="1" applyBorder="1" applyAlignment="1">
      <alignment horizontal="center" vertical="center" textRotation="90"/>
    </xf>
    <xf numFmtId="174" fontId="42" fillId="0" borderId="41" xfId="70" applyNumberFormat="1" applyFont="1" applyBorder="1" applyAlignment="1">
      <alignment horizontal="center" vertical="center" textRotation="90"/>
    </xf>
    <xf numFmtId="174" fontId="42" fillId="0" borderId="29" xfId="70" applyNumberFormat="1" applyFont="1" applyBorder="1" applyAlignment="1">
      <alignment horizontal="center" vertical="center" textRotation="90"/>
    </xf>
    <xf numFmtId="174" fontId="33" fillId="0" borderId="16" xfId="70" applyNumberFormat="1" applyFont="1" applyBorder="1" applyAlignment="1">
      <alignment horizontal="center" vertical="center" shrinkToFit="1"/>
    </xf>
    <xf numFmtId="174" fontId="33" fillId="0" borderId="27" xfId="70" applyNumberFormat="1" applyFont="1" applyBorder="1" applyAlignment="1">
      <alignment horizontal="center" vertical="center" shrinkToFit="1"/>
    </xf>
    <xf numFmtId="174" fontId="39" fillId="0" borderId="15" xfId="69" applyNumberFormat="1" applyFont="1" applyBorder="1" applyAlignment="1">
      <alignment horizontal="right" vertical="center" shrinkToFit="1"/>
    </xf>
    <xf numFmtId="174" fontId="39" fillId="0" borderId="16" xfId="69" applyNumberFormat="1" applyFont="1" applyBorder="1" applyAlignment="1">
      <alignment horizontal="center" vertical="center" shrinkToFit="1"/>
    </xf>
    <xf numFmtId="174" fontId="39" fillId="0" borderId="27" xfId="69" applyNumberFormat="1" applyFont="1" applyBorder="1" applyAlignment="1">
      <alignment horizontal="center" vertical="center" shrinkToFit="1"/>
    </xf>
    <xf numFmtId="174" fontId="42" fillId="0" borderId="0" xfId="70" applyNumberFormat="1" applyFont="1" applyAlignment="1">
      <alignment horizontal="center" vertical="center"/>
    </xf>
    <xf numFmtId="174" fontId="41" fillId="0" borderId="0" xfId="70" applyNumberFormat="1" applyFont="1" applyAlignment="1">
      <alignment horizontal="center" vertical="center" readingOrder="2"/>
    </xf>
    <xf numFmtId="174" fontId="42" fillId="2" borderId="15" xfId="70" applyNumberFormat="1" applyFont="1" applyFill="1" applyBorder="1" applyAlignment="1">
      <alignment horizontal="center" vertical="center" readingOrder="2"/>
    </xf>
    <xf numFmtId="174" fontId="38" fillId="0" borderId="0" xfId="70" applyNumberFormat="1" applyFont="1" applyAlignment="1">
      <alignment horizontal="right" vertical="center" readingOrder="2"/>
    </xf>
    <xf numFmtId="174" fontId="44" fillId="2" borderId="28" xfId="34" applyNumberFormat="1" applyFont="1" applyFill="1" applyBorder="1" applyAlignment="1">
      <alignment horizontal="center" vertical="center" readingOrder="2"/>
    </xf>
    <xf numFmtId="174" fontId="42" fillId="2" borderId="15" xfId="70" applyNumberFormat="1" applyFont="1" applyFill="1" applyBorder="1" applyAlignment="1">
      <alignment horizontal="center" vertical="center" wrapText="1" readingOrder="2"/>
    </xf>
    <xf numFmtId="174" fontId="33" fillId="0" borderId="15" xfId="70" applyNumberFormat="1" applyFont="1" applyBorder="1" applyAlignment="1">
      <alignment horizontal="center" vertical="center"/>
    </xf>
    <xf numFmtId="49" fontId="33" fillId="0" borderId="15" xfId="70" applyNumberFormat="1" applyFont="1" applyBorder="1" applyAlignment="1">
      <alignment horizontal="center" vertical="center"/>
    </xf>
    <xf numFmtId="174" fontId="39" fillId="0" borderId="15" xfId="69" applyNumberFormat="1" applyFont="1" applyBorder="1" applyAlignment="1">
      <alignment horizontal="right" vertical="center"/>
    </xf>
    <xf numFmtId="174" fontId="37" fillId="0" borderId="15" xfId="98" applyNumberFormat="1" applyFont="1" applyBorder="1" applyAlignment="1">
      <alignment horizontal="right" vertical="center" shrinkToFit="1"/>
    </xf>
    <xf numFmtId="174" fontId="33" fillId="0" borderId="15" xfId="70" applyNumberFormat="1" applyFont="1" applyBorder="1" applyAlignment="1">
      <alignment horizontal="right" vertical="center" shrinkToFit="1"/>
    </xf>
    <xf numFmtId="174" fontId="37" fillId="0" borderId="16" xfId="98" applyNumberFormat="1" applyFont="1" applyBorder="1" applyAlignment="1">
      <alignment horizontal="right" vertical="center" shrinkToFit="1"/>
    </xf>
    <xf numFmtId="174" fontId="37" fillId="0" borderId="27" xfId="98" applyNumberFormat="1" applyFont="1" applyBorder="1" applyAlignment="1">
      <alignment horizontal="right" vertical="center" shrinkToFit="1"/>
    </xf>
    <xf numFmtId="174" fontId="39" fillId="0" borderId="16" xfId="0" applyNumberFormat="1" applyFont="1" applyBorder="1" applyAlignment="1">
      <alignment horizontal="center" vertical="center" shrinkToFit="1"/>
    </xf>
    <xf numFmtId="174" fontId="39" fillId="0" borderId="24" xfId="0" applyNumberFormat="1" applyFont="1" applyBorder="1" applyAlignment="1">
      <alignment horizontal="center" vertical="center" shrinkToFit="1"/>
    </xf>
    <xf numFmtId="174" fontId="39" fillId="0" borderId="27" xfId="0" applyNumberFormat="1" applyFont="1" applyBorder="1" applyAlignment="1">
      <alignment horizontal="center" vertical="center" shrinkToFit="1"/>
    </xf>
    <xf numFmtId="174" fontId="42" fillId="0" borderId="15" xfId="70" applyNumberFormat="1" applyFont="1" applyBorder="1" applyAlignment="1">
      <alignment horizontal="center" vertical="center" textRotation="90"/>
    </xf>
    <xf numFmtId="169" fontId="39" fillId="0" borderId="15" xfId="122" applyNumberFormat="1" applyFont="1" applyBorder="1" applyAlignment="1">
      <alignment horizontal="right" vertical="center" shrinkToFit="1"/>
    </xf>
    <xf numFmtId="174" fontId="39" fillId="0" borderId="0" xfId="0" applyNumberFormat="1" applyFont="1" applyAlignment="1">
      <alignment horizontal="right" vertical="center" wrapText="1" readingOrder="2"/>
    </xf>
    <xf numFmtId="174" fontId="42" fillId="0" borderId="16" xfId="70" applyNumberFormat="1" applyFont="1" applyBorder="1" applyAlignment="1">
      <alignment horizontal="center" vertical="center" textRotation="1"/>
    </xf>
    <xf numFmtId="174" fontId="42" fillId="0" borderId="24" xfId="70" applyNumberFormat="1" applyFont="1" applyBorder="1" applyAlignment="1">
      <alignment horizontal="center" vertical="center" textRotation="1"/>
    </xf>
    <xf numFmtId="174" fontId="42" fillId="0" borderId="27" xfId="70" applyNumberFormat="1" applyFont="1" applyBorder="1" applyAlignment="1">
      <alignment horizontal="center" vertical="center" textRotation="1"/>
    </xf>
    <xf numFmtId="174" fontId="38" fillId="2" borderId="16" xfId="70" applyNumberFormat="1" applyFont="1" applyFill="1" applyBorder="1" applyAlignment="1">
      <alignment horizontal="center" vertical="center" readingOrder="2"/>
    </xf>
    <xf numFmtId="174" fontId="38" fillId="2" borderId="24" xfId="70" applyNumberFormat="1" applyFont="1" applyFill="1" applyBorder="1" applyAlignment="1">
      <alignment horizontal="center" vertical="center" readingOrder="2"/>
    </xf>
    <xf numFmtId="174" fontId="38" fillId="2" borderId="27" xfId="70" applyNumberFormat="1" applyFont="1" applyFill="1" applyBorder="1" applyAlignment="1">
      <alignment horizontal="center" vertical="center" readingOrder="2"/>
    </xf>
    <xf numFmtId="174" fontId="39" fillId="0" borderId="15" xfId="70" applyNumberFormat="1" applyFont="1" applyBorder="1" applyAlignment="1">
      <alignment horizontal="center" vertical="center" readingOrder="2"/>
    </xf>
    <xf numFmtId="170" fontId="46" fillId="0" borderId="2" xfId="1" applyNumberFormat="1" applyFont="1" applyFill="1" applyBorder="1" applyAlignment="1">
      <alignment horizontal="center" vertical="center" shrinkToFit="1"/>
    </xf>
    <xf numFmtId="170" fontId="74" fillId="0" borderId="6" xfId="70" applyNumberFormat="1" applyFont="1" applyFill="1" applyBorder="1" applyAlignment="1">
      <alignment horizontal="center" vertical="center" wrapText="1" shrinkToFit="1"/>
    </xf>
    <xf numFmtId="170" fontId="46" fillId="0" borderId="15" xfId="37" applyNumberFormat="1" applyFont="1" applyFill="1" applyBorder="1" applyAlignment="1">
      <alignment horizontal="center" vertical="center" wrapText="1" shrinkToFit="1"/>
    </xf>
    <xf numFmtId="170" fontId="46" fillId="0" borderId="15" xfId="70" applyNumberFormat="1" applyFont="1" applyFill="1" applyBorder="1" applyAlignment="1">
      <alignment horizontal="center" vertical="center" wrapText="1" shrinkToFit="1"/>
    </xf>
    <xf numFmtId="170" fontId="46" fillId="0" borderId="16" xfId="70" applyNumberFormat="1" applyFont="1" applyFill="1" applyBorder="1" applyAlignment="1">
      <alignment horizontal="center" vertical="center" wrapText="1" shrinkToFit="1"/>
    </xf>
    <xf numFmtId="170" fontId="46" fillId="0" borderId="24" xfId="70" applyNumberFormat="1" applyFont="1" applyFill="1" applyBorder="1" applyAlignment="1">
      <alignment horizontal="center" vertical="center" wrapText="1" shrinkToFit="1"/>
    </xf>
    <xf numFmtId="170" fontId="46" fillId="0" borderId="27" xfId="70" applyNumberFormat="1" applyFont="1" applyFill="1" applyBorder="1" applyAlignment="1">
      <alignment horizontal="center" vertical="center" wrapText="1" shrinkToFit="1"/>
    </xf>
    <xf numFmtId="49" fontId="41" fillId="0" borderId="15" xfId="70" applyNumberFormat="1" applyFont="1" applyFill="1" applyBorder="1" applyAlignment="1">
      <alignment horizontal="center" vertical="center" textRotation="90" readingOrder="2"/>
    </xf>
    <xf numFmtId="169" fontId="38" fillId="0" borderId="16" xfId="70" applyNumberFormat="1" applyFont="1" applyFill="1" applyBorder="1" applyAlignment="1">
      <alignment horizontal="center" vertical="center" shrinkToFit="1"/>
    </xf>
    <xf numFmtId="169" fontId="38" fillId="0" borderId="24" xfId="70" applyNumberFormat="1" applyFont="1" applyFill="1" applyBorder="1" applyAlignment="1">
      <alignment horizontal="center" vertical="center" shrinkToFit="1"/>
    </xf>
    <xf numFmtId="169" fontId="38" fillId="0" borderId="27" xfId="70" applyNumberFormat="1" applyFont="1" applyFill="1" applyBorder="1" applyAlignment="1">
      <alignment horizontal="center" vertical="center" shrinkToFit="1"/>
    </xf>
    <xf numFmtId="0" fontId="117" fillId="0" borderId="0" xfId="0" applyFont="1" applyFill="1" applyAlignment="1">
      <alignment horizontal="right" vertical="center" wrapText="1" shrinkToFit="1" readingOrder="2"/>
    </xf>
    <xf numFmtId="49" fontId="46" fillId="0" borderId="15" xfId="70" applyNumberFormat="1" applyFont="1" applyFill="1" applyBorder="1" applyAlignment="1">
      <alignment horizontal="center" vertical="center" wrapText="1" shrinkToFit="1"/>
    </xf>
    <xf numFmtId="49" fontId="41" fillId="0" borderId="0" xfId="70" applyNumberFormat="1" applyFont="1" applyFill="1" applyBorder="1" applyAlignment="1">
      <alignment horizontal="center" vertical="center" readingOrder="2"/>
    </xf>
    <xf numFmtId="170" fontId="46" fillId="0" borderId="15" xfId="70" applyNumberFormat="1" applyFont="1" applyFill="1" applyBorder="1" applyAlignment="1">
      <alignment horizontal="center" vertical="center" shrinkToFit="1"/>
    </xf>
    <xf numFmtId="170" fontId="46" fillId="0" borderId="6" xfId="1" applyNumberFormat="1" applyFont="1" applyFill="1" applyBorder="1" applyAlignment="1">
      <alignment horizontal="center" vertical="center" wrapText="1" shrinkToFit="1"/>
    </xf>
    <xf numFmtId="169" fontId="38" fillId="0" borderId="15" xfId="70" applyNumberFormat="1" applyFont="1" applyFill="1" applyBorder="1" applyAlignment="1">
      <alignment horizontal="center" vertical="center" shrinkToFit="1"/>
    </xf>
    <xf numFmtId="169" fontId="41" fillId="0" borderId="0" xfId="70" applyNumberFormat="1" applyFont="1" applyFill="1" applyBorder="1" applyAlignment="1">
      <alignment horizontal="right" vertical="center" readingOrder="2"/>
    </xf>
    <xf numFmtId="170" fontId="40" fillId="0" borderId="0" xfId="70" applyNumberFormat="1" applyFont="1" applyFill="1" applyAlignment="1">
      <alignment horizontal="center" vertical="center" shrinkToFit="1" readingOrder="2"/>
    </xf>
    <xf numFmtId="169" fontId="34" fillId="0" borderId="15" xfId="70" applyNumberFormat="1" applyFont="1" applyFill="1" applyBorder="1" applyAlignment="1">
      <alignment horizontal="center" vertical="center" textRotation="90" wrapText="1" shrinkToFit="1"/>
    </xf>
    <xf numFmtId="49" fontId="41" fillId="0" borderId="10" xfId="70" applyNumberFormat="1" applyFont="1" applyFill="1" applyBorder="1" applyAlignment="1">
      <alignment horizontal="center" vertical="center" textRotation="90" readingOrder="2"/>
    </xf>
    <xf numFmtId="49" fontId="41" fillId="0" borderId="7" xfId="70" applyNumberFormat="1" applyFont="1" applyFill="1" applyBorder="1" applyAlignment="1">
      <alignment horizontal="center" vertical="center" textRotation="90" readingOrder="2"/>
    </xf>
    <xf numFmtId="169" fontId="37" fillId="0" borderId="2" xfId="34" applyNumberFormat="1" applyFont="1" applyFill="1" applyBorder="1" applyAlignment="1">
      <alignment horizontal="center" vertical="center" shrinkToFit="1" readingOrder="2"/>
    </xf>
    <xf numFmtId="169" fontId="37" fillId="0" borderId="6" xfId="34" applyNumberFormat="1" applyFont="1" applyFill="1" applyBorder="1" applyAlignment="1">
      <alignment horizontal="center" vertical="center" shrinkToFit="1" readingOrder="2"/>
    </xf>
    <xf numFmtId="49" fontId="41" fillId="0" borderId="0" xfId="70" applyNumberFormat="1" applyFont="1" applyFill="1" applyAlignment="1">
      <alignment horizontal="center" vertical="center" shrinkToFit="1"/>
    </xf>
    <xf numFmtId="169" fontId="41" fillId="0" borderId="1" xfId="70" applyNumberFormat="1" applyFont="1" applyFill="1" applyBorder="1" applyAlignment="1">
      <alignment horizontal="right" vertical="center" readingOrder="2"/>
    </xf>
    <xf numFmtId="169" fontId="46" fillId="0" borderId="4" xfId="70" applyNumberFormat="1" applyFont="1" applyFill="1" applyBorder="1" applyAlignment="1">
      <alignment horizontal="center" vertical="center" wrapText="1" shrinkToFit="1"/>
    </xf>
    <xf numFmtId="170" fontId="40" fillId="0" borderId="0" xfId="70" applyNumberFormat="1" applyFont="1" applyFill="1" applyBorder="1" applyAlignment="1">
      <alignment horizontal="center" vertical="center" shrinkToFit="1" readingOrder="2"/>
    </xf>
    <xf numFmtId="0" fontId="117" fillId="0" borderId="0" xfId="0" applyFont="1" applyFill="1" applyAlignment="1">
      <alignment horizontal="right" vertical="center" shrinkToFit="1" readingOrder="2"/>
    </xf>
    <xf numFmtId="0" fontId="26" fillId="0" borderId="0" xfId="0" applyFont="1" applyFill="1" applyAlignment="1">
      <alignment horizontal="right" vertical="center" shrinkToFit="1" readingOrder="2"/>
    </xf>
    <xf numFmtId="171" fontId="46" fillId="0" borderId="15" xfId="1" applyNumberFormat="1" applyFont="1" applyFill="1" applyBorder="1" applyAlignment="1">
      <alignment horizontal="center" vertical="center" shrinkToFit="1"/>
    </xf>
    <xf numFmtId="170" fontId="39" fillId="0" borderId="50" xfId="70" applyNumberFormat="1" applyFont="1" applyFill="1" applyBorder="1" applyAlignment="1">
      <alignment horizontal="center" vertical="center" shrinkToFit="1"/>
    </xf>
    <xf numFmtId="0" fontId="117" fillId="0" borderId="0" xfId="0" applyFont="1" applyFill="1" applyAlignment="1">
      <alignment horizontal="right" vertical="center" wrapText="1" readingOrder="2"/>
    </xf>
    <xf numFmtId="169" fontId="38" fillId="0" borderId="42" xfId="70" applyNumberFormat="1" applyFont="1" applyFill="1" applyBorder="1" applyAlignment="1">
      <alignment horizontal="center" vertical="center" shrinkToFit="1"/>
    </xf>
    <xf numFmtId="169" fontId="38" fillId="0" borderId="28" xfId="70" applyNumberFormat="1" applyFont="1" applyFill="1" applyBorder="1" applyAlignment="1">
      <alignment horizontal="center" vertical="center" shrinkToFit="1"/>
    </xf>
    <xf numFmtId="170" fontId="46" fillId="0" borderId="15" xfId="1" applyNumberFormat="1" applyFont="1" applyFill="1" applyBorder="1" applyAlignment="1">
      <alignment horizontal="center" vertical="center" shrinkToFit="1"/>
    </xf>
    <xf numFmtId="169" fontId="33" fillId="0" borderId="15" xfId="34" applyNumberFormat="1" applyFont="1" applyFill="1" applyBorder="1" applyAlignment="1">
      <alignment horizontal="center" vertical="center" shrinkToFit="1" readingOrder="2"/>
    </xf>
    <xf numFmtId="169" fontId="37" fillId="0" borderId="15" xfId="34" applyNumberFormat="1" applyFont="1" applyFill="1" applyBorder="1" applyAlignment="1">
      <alignment horizontal="center" vertical="center" shrinkToFit="1" readingOrder="2"/>
    </xf>
    <xf numFmtId="169" fontId="41" fillId="0" borderId="0" xfId="70" applyNumberFormat="1" applyFont="1" applyFill="1" applyAlignment="1">
      <alignment horizontal="center" vertical="center" readingOrder="2"/>
    </xf>
    <xf numFmtId="0" fontId="117" fillId="0" borderId="0" xfId="0" applyFont="1" applyFill="1" applyAlignment="1">
      <alignment horizontal="right" vertical="center" readingOrder="2"/>
    </xf>
    <xf numFmtId="169" fontId="37" fillId="0" borderId="16" xfId="70" applyNumberFormat="1" applyFont="1" applyFill="1" applyBorder="1" applyAlignment="1">
      <alignment horizontal="center" vertical="center" shrinkToFit="1"/>
    </xf>
    <xf numFmtId="169" fontId="37" fillId="0" borderId="24" xfId="70" applyNumberFormat="1" applyFont="1" applyFill="1" applyBorder="1" applyAlignment="1">
      <alignment horizontal="center" vertical="center" shrinkToFit="1"/>
    </xf>
    <xf numFmtId="169" fontId="37" fillId="0" borderId="27" xfId="70" applyNumberFormat="1" applyFont="1" applyFill="1" applyBorder="1" applyAlignment="1">
      <alignment horizontal="center" vertical="center" shrinkToFit="1"/>
    </xf>
    <xf numFmtId="49" fontId="41" fillId="0" borderId="41" xfId="70" applyNumberFormat="1" applyFont="1" applyFill="1" applyBorder="1" applyAlignment="1">
      <alignment horizontal="center" vertical="center" textRotation="90" readingOrder="2"/>
    </xf>
    <xf numFmtId="169" fontId="33" fillId="0" borderId="98" xfId="70" applyNumberFormat="1" applyFont="1" applyFill="1" applyBorder="1" applyAlignment="1">
      <alignment horizontal="center" vertical="center" shrinkToFit="1" readingOrder="2"/>
    </xf>
    <xf numFmtId="169" fontId="33" fillId="0" borderId="48" xfId="70" applyNumberFormat="1" applyFont="1" applyFill="1" applyBorder="1" applyAlignment="1">
      <alignment horizontal="center" vertical="center" shrinkToFit="1" readingOrder="2"/>
    </xf>
    <xf numFmtId="169" fontId="37" fillId="0" borderId="29" xfId="34" applyNumberFormat="1" applyFont="1" applyFill="1" applyBorder="1" applyAlignment="1">
      <alignment horizontal="center" vertical="center" shrinkToFit="1" readingOrder="2"/>
    </xf>
    <xf numFmtId="170" fontId="40" fillId="0" borderId="1" xfId="70" applyNumberFormat="1" applyFont="1" applyFill="1" applyBorder="1" applyAlignment="1">
      <alignment horizontal="center" vertical="center" shrinkToFit="1" readingOrder="2"/>
    </xf>
    <xf numFmtId="169" fontId="38" fillId="0" borderId="23" xfId="70" applyNumberFormat="1" applyFont="1" applyFill="1" applyBorder="1" applyAlignment="1">
      <alignment horizontal="center" vertical="center" shrinkToFit="1"/>
    </xf>
    <xf numFmtId="169" fontId="40" fillId="0" borderId="0" xfId="70" applyNumberFormat="1" applyFont="1" applyFill="1" applyAlignment="1">
      <alignment horizontal="right" vertical="center" shrinkToFit="1" readingOrder="2"/>
    </xf>
    <xf numFmtId="0" fontId="33" fillId="0" borderId="1" xfId="0" applyFont="1" applyFill="1" applyBorder="1" applyAlignment="1">
      <alignment vertical="center"/>
    </xf>
    <xf numFmtId="169" fontId="46" fillId="0" borderId="8" xfId="70" applyNumberFormat="1" applyFont="1" applyFill="1" applyBorder="1" applyAlignment="1">
      <alignment horizontal="center" vertical="center" wrapText="1" shrinkToFit="1"/>
    </xf>
    <xf numFmtId="169" fontId="46" fillId="0" borderId="7" xfId="70" applyNumberFormat="1" applyFont="1" applyFill="1" applyBorder="1" applyAlignment="1">
      <alignment horizontal="center" vertical="center" wrapText="1" shrinkToFit="1"/>
    </xf>
    <xf numFmtId="49" fontId="41" fillId="0" borderId="0" xfId="70" applyNumberFormat="1" applyFont="1" applyFill="1" applyBorder="1" applyAlignment="1">
      <alignment horizontal="center" vertical="center" shrinkToFit="1"/>
    </xf>
    <xf numFmtId="169" fontId="36" fillId="0" borderId="0" xfId="70" applyNumberFormat="1" applyFont="1" applyFill="1" applyAlignment="1">
      <alignment horizontal="right" vertical="center" shrinkToFit="1" readingOrder="2"/>
    </xf>
    <xf numFmtId="169" fontId="42" fillId="0" borderId="4" xfId="70" applyNumberFormat="1" applyFont="1" applyFill="1" applyBorder="1" applyAlignment="1">
      <alignment horizontal="center" vertical="center" wrapText="1" shrinkToFit="1"/>
    </xf>
    <xf numFmtId="169" fontId="35" fillId="0" borderId="0" xfId="70" applyNumberFormat="1" applyFont="1" applyFill="1" applyBorder="1" applyAlignment="1">
      <alignment horizontal="center" vertical="center" shrinkToFit="1" readingOrder="2"/>
    </xf>
    <xf numFmtId="49" fontId="34" fillId="0" borderId="10" xfId="70" applyNumberFormat="1" applyFont="1" applyFill="1" applyBorder="1" applyAlignment="1">
      <alignment horizontal="center" vertical="center" textRotation="90" shrinkToFit="1"/>
    </xf>
    <xf numFmtId="49" fontId="34" fillId="0" borderId="7" xfId="70" applyNumberFormat="1" applyFont="1" applyFill="1" applyBorder="1" applyAlignment="1">
      <alignment horizontal="center" vertical="center" textRotation="90" shrinkToFit="1"/>
    </xf>
    <xf numFmtId="169" fontId="37" fillId="0" borderId="7" xfId="70" applyNumberFormat="1" applyFont="1" applyFill="1" applyBorder="1" applyAlignment="1">
      <alignment horizontal="center" vertical="center" shrinkToFit="1" readingOrder="2"/>
    </xf>
    <xf numFmtId="170" fontId="39" fillId="0" borderId="0" xfId="1" applyNumberFormat="1" applyFont="1" applyFill="1" applyBorder="1" applyAlignment="1">
      <alignment horizontal="center" vertical="center" shrinkToFit="1"/>
    </xf>
    <xf numFmtId="169" fontId="33" fillId="0" borderId="27" xfId="34" applyNumberFormat="1" applyFont="1" applyFill="1" applyBorder="1" applyAlignment="1">
      <alignment horizontal="center" vertical="center" shrinkToFit="1" readingOrder="2"/>
    </xf>
    <xf numFmtId="49" fontId="42" fillId="0" borderId="15" xfId="70" applyNumberFormat="1" applyFont="1" applyFill="1" applyBorder="1" applyAlignment="1">
      <alignment horizontal="center" vertical="center" textRotation="90" readingOrder="2"/>
    </xf>
    <xf numFmtId="49" fontId="41" fillId="0" borderId="15" xfId="70" applyNumberFormat="1" applyFont="1" applyFill="1" applyBorder="1" applyAlignment="1">
      <alignment horizontal="center" vertical="center" shrinkToFit="1"/>
    </xf>
    <xf numFmtId="49" fontId="41" fillId="0" borderId="16" xfId="70" applyNumberFormat="1" applyFont="1" applyFill="1" applyBorder="1" applyAlignment="1">
      <alignment horizontal="center" vertical="center" shrinkToFit="1"/>
    </xf>
    <xf numFmtId="49" fontId="41" fillId="0" borderId="7" xfId="70" applyNumberFormat="1" applyFont="1" applyFill="1" applyBorder="1" applyAlignment="1">
      <alignment horizontal="center" vertical="center" shrinkToFit="1"/>
    </xf>
    <xf numFmtId="49" fontId="41" fillId="0" borderId="19" xfId="70" applyNumberFormat="1" applyFont="1" applyFill="1" applyBorder="1" applyAlignment="1">
      <alignment horizontal="center" vertical="center" shrinkToFit="1"/>
    </xf>
    <xf numFmtId="49" fontId="41" fillId="0" borderId="0" xfId="70" applyNumberFormat="1" applyFont="1" applyFill="1" applyAlignment="1">
      <alignment horizontal="center" vertical="center" shrinkToFit="1" readingOrder="2"/>
    </xf>
    <xf numFmtId="169" fontId="37" fillId="0" borderId="0" xfId="70" applyNumberFormat="1" applyFont="1" applyFill="1" applyAlignment="1">
      <alignment horizontal="right" vertical="center" shrinkToFit="1" readingOrder="2"/>
    </xf>
    <xf numFmtId="170" fontId="41" fillId="0" borderId="6" xfId="70" applyNumberFormat="1" applyFont="1" applyFill="1" applyBorder="1" applyAlignment="1">
      <alignment horizontal="center" shrinkToFit="1" readingOrder="2"/>
    </xf>
    <xf numFmtId="170" fontId="41" fillId="0" borderId="4" xfId="70" applyNumberFormat="1" applyFont="1" applyFill="1" applyBorder="1" applyAlignment="1">
      <alignment horizontal="center" shrinkToFit="1" readingOrder="2"/>
    </xf>
    <xf numFmtId="170" fontId="44" fillId="0" borderId="0" xfId="70" applyNumberFormat="1" applyFont="1" applyFill="1" applyAlignment="1">
      <alignment horizontal="center" shrinkToFit="1"/>
    </xf>
    <xf numFmtId="170" fontId="41" fillId="0" borderId="4" xfId="0" applyNumberFormat="1" applyFont="1" applyFill="1" applyBorder="1" applyAlignment="1">
      <alignment horizontal="center" vertical="center" wrapText="1" shrinkToFit="1"/>
    </xf>
    <xf numFmtId="170" fontId="41" fillId="0" borderId="8" xfId="0" applyNumberFormat="1" applyFont="1" applyFill="1" applyBorder="1" applyAlignment="1">
      <alignment horizontal="center" vertical="center" wrapText="1" shrinkToFit="1"/>
    </xf>
    <xf numFmtId="169" fontId="35" fillId="0" borderId="0" xfId="0" applyNumberFormat="1" applyFont="1" applyFill="1" applyAlignment="1">
      <alignment horizontal="center" vertical="center" readingOrder="2"/>
    </xf>
    <xf numFmtId="49" fontId="41" fillId="0" borderId="8" xfId="70" applyNumberFormat="1" applyFont="1" applyFill="1" applyBorder="1" applyAlignment="1">
      <alignment horizontal="center" vertical="center" shrinkToFit="1"/>
    </xf>
    <xf numFmtId="49" fontId="35" fillId="0" borderId="15" xfId="70" applyNumberFormat="1" applyFont="1" applyFill="1" applyBorder="1" applyAlignment="1">
      <alignment horizontal="center" vertical="center" shrinkToFit="1"/>
    </xf>
    <xf numFmtId="49" fontId="41" fillId="0" borderId="20" xfId="0" applyNumberFormat="1" applyFont="1" applyFill="1" applyBorder="1" applyAlignment="1">
      <alignment horizontal="center" vertical="center" textRotation="90" shrinkToFit="1"/>
    </xf>
    <xf numFmtId="49" fontId="41" fillId="0" borderId="11" xfId="0" applyNumberFormat="1" applyFont="1" applyFill="1" applyBorder="1" applyAlignment="1">
      <alignment horizontal="center" vertical="center" textRotation="90" shrinkToFit="1"/>
    </xf>
    <xf numFmtId="49" fontId="41" fillId="0" borderId="7" xfId="0" applyNumberFormat="1" applyFont="1" applyFill="1" applyBorder="1" applyAlignment="1">
      <alignment horizontal="center" vertical="center" textRotation="90" shrinkToFit="1"/>
    </xf>
    <xf numFmtId="49" fontId="41" fillId="0" borderId="19" xfId="0" applyNumberFormat="1" applyFont="1" applyFill="1" applyBorder="1" applyAlignment="1">
      <alignment horizontal="center" vertical="center" textRotation="90" shrinkToFit="1"/>
    </xf>
    <xf numFmtId="0" fontId="37" fillId="0" borderId="24" xfId="74" applyFont="1" applyFill="1" applyBorder="1" applyAlignment="1">
      <alignment horizontal="center" vertical="center" shrinkToFit="1"/>
    </xf>
    <xf numFmtId="49" fontId="41" fillId="0" borderId="26" xfId="0" applyNumberFormat="1" applyFont="1" applyFill="1" applyBorder="1" applyAlignment="1">
      <alignment horizontal="center" vertical="center" textRotation="90" shrinkToFit="1"/>
    </xf>
    <xf numFmtId="49" fontId="41" fillId="0" borderId="41" xfId="0" applyNumberFormat="1" applyFont="1" applyFill="1" applyBorder="1" applyAlignment="1">
      <alignment horizontal="center" vertical="center" textRotation="90" shrinkToFit="1"/>
    </xf>
    <xf numFmtId="49" fontId="41" fillId="0" borderId="29" xfId="0" applyNumberFormat="1" applyFont="1" applyFill="1" applyBorder="1" applyAlignment="1">
      <alignment horizontal="center" vertical="center" textRotation="90" shrinkToFit="1"/>
    </xf>
    <xf numFmtId="49" fontId="41" fillId="0" borderId="27" xfId="0" applyNumberFormat="1" applyFont="1" applyFill="1" applyBorder="1" applyAlignment="1">
      <alignment horizontal="center" vertical="center" wrapText="1" shrinkToFit="1"/>
    </xf>
    <xf numFmtId="169" fontId="35" fillId="0" borderId="15" xfId="0" applyNumberFormat="1" applyFont="1" applyFill="1" applyBorder="1" applyAlignment="1">
      <alignment horizontal="center" vertical="center" wrapText="1" shrinkToFit="1"/>
    </xf>
    <xf numFmtId="169" fontId="41" fillId="0" borderId="88" xfId="0" applyNumberFormat="1" applyFont="1" applyFill="1" applyBorder="1" applyAlignment="1">
      <alignment horizontal="center" vertical="center" shrinkToFit="1"/>
    </xf>
    <xf numFmtId="169" fontId="41" fillId="0" borderId="83" xfId="0" applyNumberFormat="1" applyFont="1" applyFill="1" applyBorder="1" applyAlignment="1">
      <alignment horizontal="center" vertical="center" shrinkToFit="1"/>
    </xf>
    <xf numFmtId="49" fontId="41" fillId="0" borderId="17" xfId="70" applyNumberFormat="1" applyFont="1" applyFill="1" applyBorder="1" applyAlignment="1">
      <alignment horizontal="center" vertical="center" shrinkToFit="1"/>
    </xf>
    <xf numFmtId="49" fontId="41" fillId="0" borderId="20" xfId="70" applyNumberFormat="1" applyFont="1" applyFill="1" applyBorder="1" applyAlignment="1">
      <alignment horizontal="center" vertical="center" shrinkToFit="1"/>
    </xf>
    <xf numFmtId="169" fontId="41" fillId="0" borderId="31" xfId="70" applyNumberFormat="1" applyFont="1" applyFill="1" applyBorder="1" applyAlignment="1">
      <alignment horizontal="center" vertical="center" shrinkToFit="1"/>
    </xf>
    <xf numFmtId="169" fontId="41" fillId="0" borderId="26" xfId="70" applyNumberFormat="1" applyFont="1" applyFill="1" applyBorder="1" applyAlignment="1">
      <alignment horizontal="center" vertical="center" shrinkToFit="1"/>
    </xf>
    <xf numFmtId="169" fontId="41" fillId="0" borderId="43" xfId="0" applyNumberFormat="1" applyFont="1" applyFill="1" applyBorder="1" applyAlignment="1">
      <alignment horizontal="center" vertical="center" shrinkToFit="1"/>
    </xf>
    <xf numFmtId="169" fontId="41" fillId="0" borderId="79" xfId="0" applyNumberFormat="1" applyFont="1" applyFill="1" applyBorder="1" applyAlignment="1">
      <alignment horizontal="center" vertical="center" shrinkToFit="1"/>
    </xf>
    <xf numFmtId="49" fontId="41" fillId="0" borderId="15" xfId="0" applyNumberFormat="1" applyFont="1" applyFill="1" applyBorder="1" applyAlignment="1">
      <alignment horizontal="center" vertical="center" wrapText="1" shrinkToFit="1"/>
    </xf>
    <xf numFmtId="170" fontId="41" fillId="0" borderId="15" xfId="70" applyNumberFormat="1" applyFont="1" applyFill="1" applyBorder="1" applyAlignment="1">
      <alignment horizontal="center" shrinkToFit="1" readingOrder="2"/>
    </xf>
    <xf numFmtId="170" fontId="41" fillId="0" borderId="15" xfId="0" applyNumberFormat="1" applyFont="1" applyFill="1" applyBorder="1" applyAlignment="1">
      <alignment horizontal="center" vertical="center" wrapText="1" shrinkToFit="1"/>
    </xf>
    <xf numFmtId="49" fontId="41" fillId="0" borderId="15" xfId="0" applyNumberFormat="1" applyFont="1" applyFill="1" applyBorder="1" applyAlignment="1">
      <alignment horizontal="center" vertical="center" textRotation="90" shrinkToFit="1"/>
    </xf>
    <xf numFmtId="169" fontId="41" fillId="0" borderId="0" xfId="70" applyNumberFormat="1" applyFont="1" applyFill="1" applyAlignment="1">
      <alignment horizontal="right" vertical="center" shrinkToFit="1" readingOrder="2"/>
    </xf>
    <xf numFmtId="3" fontId="41" fillId="0" borderId="0" xfId="70" applyNumberFormat="1" applyFont="1" applyFill="1" applyAlignment="1">
      <alignment horizontal="center" vertical="center" shrinkToFit="1" readingOrder="2"/>
    </xf>
    <xf numFmtId="170" fontId="35" fillId="0" borderId="4" xfId="0" applyNumberFormat="1" applyFont="1" applyFill="1" applyBorder="1" applyAlignment="1">
      <alignment horizontal="center" vertical="center" wrapText="1" shrinkToFit="1"/>
    </xf>
    <xf numFmtId="170" fontId="35" fillId="0" borderId="8" xfId="0" applyNumberFormat="1" applyFont="1" applyFill="1" applyBorder="1" applyAlignment="1">
      <alignment horizontal="center" vertical="center" wrapText="1" shrinkToFit="1"/>
    </xf>
    <xf numFmtId="49" fontId="41" fillId="0" borderId="26" xfId="0" applyNumberFormat="1" applyFont="1" applyFill="1" applyBorder="1" applyAlignment="1">
      <alignment horizontal="center" vertical="center" wrapText="1" shrinkToFit="1"/>
    </xf>
    <xf numFmtId="169" fontId="35" fillId="0" borderId="26" xfId="0" applyNumberFormat="1" applyFont="1" applyFill="1" applyBorder="1" applyAlignment="1">
      <alignment horizontal="center" vertical="center" wrapText="1" shrinkToFit="1"/>
    </xf>
    <xf numFmtId="170" fontId="41" fillId="0" borderId="6" xfId="70" applyNumberFormat="1" applyFont="1" applyFill="1" applyBorder="1" applyAlignment="1">
      <alignment horizontal="center" vertical="center" shrinkToFit="1" readingOrder="2"/>
    </xf>
    <xf numFmtId="170" fontId="41" fillId="0" borderId="4" xfId="70" applyNumberFormat="1" applyFont="1" applyFill="1" applyBorder="1" applyAlignment="1">
      <alignment horizontal="center" vertical="center" shrinkToFit="1" readingOrder="2"/>
    </xf>
    <xf numFmtId="169" fontId="41" fillId="0" borderId="15" xfId="0" applyNumberFormat="1" applyFont="1" applyFill="1" applyBorder="1" applyAlignment="1">
      <alignment horizontal="center" vertical="center" shrinkToFit="1"/>
    </xf>
    <xf numFmtId="174" fontId="34" fillId="0" borderId="15" xfId="1" applyNumberFormat="1" applyFont="1" applyFill="1" applyBorder="1" applyAlignment="1">
      <alignment horizontal="center" vertical="center" wrapText="1" shrinkToFit="1"/>
    </xf>
    <xf numFmtId="174" fontId="34" fillId="0" borderId="26" xfId="1" applyNumberFormat="1" applyFont="1" applyFill="1" applyBorder="1" applyAlignment="1">
      <alignment horizontal="center" vertical="center" wrapText="1" shrinkToFit="1"/>
    </xf>
    <xf numFmtId="174" fontId="34" fillId="0" borderId="29" xfId="1" applyNumberFormat="1" applyFont="1" applyFill="1" applyBorder="1" applyAlignment="1">
      <alignment horizontal="center" vertical="center" wrapText="1" shrinkToFit="1"/>
    </xf>
    <xf numFmtId="1" fontId="42" fillId="0" borderId="0" xfId="0" applyNumberFormat="1" applyFont="1" applyAlignment="1">
      <alignment horizontal="center"/>
    </xf>
    <xf numFmtId="174" fontId="41" fillId="0" borderId="16" xfId="0" applyNumberFormat="1" applyFont="1" applyBorder="1" applyAlignment="1">
      <alignment horizontal="center" vertical="center" shrinkToFit="1"/>
    </xf>
    <xf numFmtId="174" fontId="41" fillId="0" borderId="27" xfId="0" applyNumberFormat="1" applyFont="1" applyBorder="1" applyAlignment="1">
      <alignment horizontal="center" vertical="center" shrinkToFit="1"/>
    </xf>
    <xf numFmtId="169" fontId="35" fillId="0" borderId="0" xfId="70" applyNumberFormat="1" applyFont="1" applyAlignment="1">
      <alignment horizontal="center" vertical="center" readingOrder="2"/>
    </xf>
    <xf numFmtId="0" fontId="41" fillId="0" borderId="16" xfId="0" applyFont="1" applyBorder="1" applyAlignment="1">
      <alignment horizontal="center"/>
    </xf>
    <xf numFmtId="0" fontId="41" fillId="0" borderId="27" xfId="0" applyFont="1" applyBorder="1" applyAlignment="1">
      <alignment horizontal="center"/>
    </xf>
    <xf numFmtId="174" fontId="34" fillId="0" borderId="63" xfId="0" applyNumberFormat="1" applyFont="1" applyBorder="1" applyAlignment="1">
      <alignment horizontal="center" vertical="center" shrinkToFit="1"/>
    </xf>
    <xf numFmtId="174" fontId="34" fillId="0" borderId="64" xfId="0" applyNumberFormat="1" applyFont="1" applyBorder="1" applyAlignment="1">
      <alignment horizontal="center" vertical="center" shrinkToFit="1"/>
    </xf>
    <xf numFmtId="174" fontId="39" fillId="0" borderId="38" xfId="1" applyNumberFormat="1" applyFont="1" applyFill="1" applyBorder="1" applyAlignment="1">
      <alignment horizontal="center" vertical="center" shrinkToFit="1"/>
    </xf>
    <xf numFmtId="169" fontId="45" fillId="0" borderId="0" xfId="70" applyNumberFormat="1" applyFont="1" applyAlignment="1">
      <alignment horizontal="right" vertical="center" wrapText="1" shrinkToFit="1" readingOrder="2"/>
    </xf>
    <xf numFmtId="169" fontId="34" fillId="0" borderId="15" xfId="70" applyNumberFormat="1" applyFont="1" applyBorder="1" applyAlignment="1">
      <alignment horizontal="center" vertical="center" wrapText="1" shrinkToFit="1" readingOrder="2"/>
    </xf>
    <xf numFmtId="174" fontId="42" fillId="0" borderId="0" xfId="0" applyNumberFormat="1" applyFont="1" applyAlignment="1">
      <alignment horizontal="center" shrinkToFit="1"/>
    </xf>
    <xf numFmtId="174" fontId="42" fillId="0" borderId="26" xfId="1" applyNumberFormat="1" applyFont="1" applyFill="1" applyBorder="1" applyAlignment="1">
      <alignment horizontal="center" vertical="center" wrapText="1" shrinkToFit="1"/>
    </xf>
    <xf numFmtId="174" fontId="42" fillId="0" borderId="29" xfId="1" applyNumberFormat="1" applyFont="1" applyFill="1" applyBorder="1" applyAlignment="1">
      <alignment horizontal="center" vertical="center" wrapText="1" shrinkToFit="1"/>
    </xf>
    <xf numFmtId="49" fontId="34" fillId="0" borderId="15" xfId="70" applyNumberFormat="1" applyFont="1" applyBorder="1" applyAlignment="1">
      <alignment horizontal="center" vertical="center" wrapText="1" shrinkToFit="1" readingOrder="2"/>
    </xf>
    <xf numFmtId="174" fontId="42" fillId="0" borderId="32" xfId="0" applyNumberFormat="1" applyFont="1" applyBorder="1" applyAlignment="1">
      <alignment horizontal="center" shrinkToFit="1"/>
    </xf>
    <xf numFmtId="174" fontId="42" fillId="0" borderId="92" xfId="0" applyNumberFormat="1" applyFont="1" applyBorder="1" applyAlignment="1">
      <alignment horizontal="center" shrinkToFit="1"/>
    </xf>
    <xf numFmtId="0" fontId="34" fillId="0" borderId="16" xfId="0" applyFont="1" applyBorder="1" applyAlignment="1">
      <alignment horizontal="center"/>
    </xf>
    <xf numFmtId="0" fontId="34" fillId="0" borderId="27" xfId="0" applyFont="1" applyBorder="1" applyAlignment="1">
      <alignment horizontal="center"/>
    </xf>
    <xf numFmtId="174" fontId="46" fillId="0" borderId="26" xfId="1" applyNumberFormat="1" applyFont="1" applyFill="1" applyBorder="1" applyAlignment="1">
      <alignment horizontal="center" vertical="center" wrapText="1" shrinkToFit="1"/>
    </xf>
    <xf numFmtId="174" fontId="46" fillId="0" borderId="29" xfId="1" applyNumberFormat="1" applyFont="1" applyFill="1" applyBorder="1" applyAlignment="1">
      <alignment horizontal="center" vertical="center" wrapText="1" shrinkToFit="1"/>
    </xf>
    <xf numFmtId="174" fontId="44" fillId="0" borderId="15" xfId="1" applyNumberFormat="1" applyFont="1" applyFill="1" applyBorder="1" applyAlignment="1">
      <alignment horizontal="center" vertical="center" wrapText="1" shrinkToFit="1"/>
    </xf>
    <xf numFmtId="0" fontId="36" fillId="0" borderId="16" xfId="0" applyFont="1" applyBorder="1" applyAlignment="1">
      <alignment horizontal="center" vertical="center" shrinkToFit="1"/>
    </xf>
    <xf numFmtId="0" fontId="36" fillId="0" borderId="27" xfId="0" applyFont="1" applyBorder="1" applyAlignment="1">
      <alignment horizontal="center" vertical="center" shrinkToFit="1"/>
    </xf>
    <xf numFmtId="0" fontId="40" fillId="0" borderId="0" xfId="0" applyFont="1" applyAlignment="1">
      <alignment horizontal="center" vertical="center" shrinkToFit="1"/>
    </xf>
    <xf numFmtId="169" fontId="38" fillId="0" borderId="0" xfId="0" applyNumberFormat="1" applyFont="1" applyAlignment="1">
      <alignment horizontal="right" vertical="top" wrapText="1" shrinkToFit="1"/>
    </xf>
    <xf numFmtId="169" fontId="37" fillId="0" borderId="16" xfId="70" applyNumberFormat="1" applyFont="1" applyBorder="1" applyAlignment="1">
      <alignment horizontal="center" vertical="center" readingOrder="2"/>
    </xf>
    <xf numFmtId="169" fontId="37" fillId="0" borderId="27" xfId="70" applyNumberFormat="1" applyFont="1" applyBorder="1" applyAlignment="1">
      <alignment horizontal="center" vertical="center" readingOrder="2"/>
    </xf>
    <xf numFmtId="174" fontId="47" fillId="0" borderId="32" xfId="1" applyNumberFormat="1" applyFont="1" applyFill="1" applyBorder="1" applyAlignment="1">
      <alignment horizontal="center" vertical="center" shrinkToFit="1"/>
    </xf>
    <xf numFmtId="169" fontId="44" fillId="0" borderId="0" xfId="70" applyNumberFormat="1" applyFont="1" applyAlignment="1">
      <alignment horizontal="right" vertical="center" wrapText="1" shrinkToFit="1" readingOrder="2"/>
    </xf>
    <xf numFmtId="0" fontId="42" fillId="0" borderId="16" xfId="0" applyFont="1" applyBorder="1" applyAlignment="1">
      <alignment horizontal="center" vertical="center"/>
    </xf>
    <xf numFmtId="0" fontId="42" fillId="0" borderId="27" xfId="0" applyFont="1" applyBorder="1" applyAlignment="1">
      <alignment horizontal="center" vertical="center"/>
    </xf>
    <xf numFmtId="0" fontId="24" fillId="0" borderId="0" xfId="0" applyFont="1" applyAlignment="1">
      <alignment horizontal="right" vertical="top" wrapText="1" readingOrder="2"/>
    </xf>
    <xf numFmtId="174" fontId="44" fillId="0" borderId="0" xfId="1" applyNumberFormat="1" applyFont="1" applyFill="1" applyAlignment="1">
      <alignment horizontal="center" shrinkToFit="1"/>
    </xf>
    <xf numFmtId="169" fontId="41" fillId="0" borderId="28" xfId="70" applyNumberFormat="1" applyFont="1" applyBorder="1" applyAlignment="1">
      <alignment horizontal="right" vertical="center" readingOrder="2"/>
    </xf>
    <xf numFmtId="49" fontId="38" fillId="0" borderId="15" xfId="70" applyNumberFormat="1" applyFont="1" applyFill="1" applyBorder="1" applyAlignment="1">
      <alignment horizontal="center" vertical="center" shrinkToFit="1"/>
    </xf>
    <xf numFmtId="49" fontId="38" fillId="0" borderId="29" xfId="70" applyNumberFormat="1" applyFont="1" applyFill="1" applyBorder="1" applyAlignment="1">
      <alignment horizontal="center" vertical="center" shrinkToFit="1"/>
    </xf>
    <xf numFmtId="49" fontId="38" fillId="0" borderId="16" xfId="70" applyNumberFormat="1" applyFont="1" applyFill="1" applyBorder="1" applyAlignment="1">
      <alignment horizontal="center" vertical="center" shrinkToFit="1"/>
    </xf>
    <xf numFmtId="49" fontId="38" fillId="0" borderId="24" xfId="70" applyNumberFormat="1" applyFont="1" applyFill="1" applyBorder="1" applyAlignment="1">
      <alignment horizontal="center" vertical="center" shrinkToFit="1"/>
    </xf>
    <xf numFmtId="49" fontId="38" fillId="0" borderId="27" xfId="70" applyNumberFormat="1" applyFont="1" applyFill="1" applyBorder="1" applyAlignment="1">
      <alignment horizontal="center" vertical="center" shrinkToFit="1"/>
    </xf>
    <xf numFmtId="49" fontId="37" fillId="0" borderId="0" xfId="70" applyNumberFormat="1" applyFont="1" applyFill="1" applyBorder="1" applyAlignment="1">
      <alignment horizontal="center" vertical="center" shrinkToFit="1"/>
    </xf>
    <xf numFmtId="169" fontId="40" fillId="0" borderId="0" xfId="70" applyNumberFormat="1" applyFont="1" applyFill="1" applyAlignment="1">
      <alignment horizontal="center" vertical="center" readingOrder="2"/>
    </xf>
    <xf numFmtId="169" fontId="34" fillId="0" borderId="15" xfId="70" applyNumberFormat="1" applyFont="1" applyFill="1" applyBorder="1" applyAlignment="1">
      <alignment horizontal="center" vertical="center" textRotation="90" shrinkToFit="1"/>
    </xf>
    <xf numFmtId="49" fontId="42" fillId="0" borderId="15" xfId="70" applyNumberFormat="1" applyFont="1" applyFill="1" applyBorder="1" applyAlignment="1">
      <alignment horizontal="center" vertical="center" shrinkToFit="1" readingOrder="2"/>
    </xf>
    <xf numFmtId="169" fontId="42" fillId="0" borderId="16" xfId="70" applyNumberFormat="1" applyFont="1" applyFill="1" applyBorder="1" applyAlignment="1">
      <alignment horizontal="center" vertical="center" shrinkToFit="1" readingOrder="2"/>
    </xf>
    <xf numFmtId="169" fontId="42" fillId="0" borderId="15" xfId="70" applyNumberFormat="1" applyFont="1" applyFill="1" applyBorder="1" applyAlignment="1">
      <alignment horizontal="center" vertical="center" wrapText="1" shrinkToFit="1"/>
    </xf>
    <xf numFmtId="169" fontId="42" fillId="0" borderId="26" xfId="70" applyNumberFormat="1" applyFont="1" applyFill="1" applyBorder="1" applyAlignment="1">
      <alignment horizontal="center" vertical="center" wrapText="1" shrinkToFit="1"/>
    </xf>
    <xf numFmtId="169" fontId="42" fillId="0" borderId="29" xfId="70" applyNumberFormat="1" applyFont="1" applyFill="1" applyBorder="1" applyAlignment="1">
      <alignment horizontal="center" vertical="center" wrapText="1" shrinkToFit="1"/>
    </xf>
    <xf numFmtId="169" fontId="46" fillId="0" borderId="15" xfId="70" applyNumberFormat="1" applyFont="1" applyFill="1" applyBorder="1" applyAlignment="1">
      <alignment horizontal="center" vertical="center" wrapText="1" shrinkToFit="1"/>
    </xf>
    <xf numFmtId="169" fontId="42" fillId="0" borderId="15" xfId="70" applyNumberFormat="1" applyFont="1" applyFill="1" applyBorder="1" applyAlignment="1">
      <alignment horizontal="center" vertical="center" shrinkToFit="1"/>
    </xf>
    <xf numFmtId="169" fontId="40" fillId="0" borderId="0" xfId="70" applyNumberFormat="1" applyFont="1" applyFill="1" applyAlignment="1">
      <alignment horizontal="center" vertical="center" shrinkToFit="1" readingOrder="2"/>
    </xf>
    <xf numFmtId="169" fontId="39" fillId="0" borderId="0" xfId="70" applyNumberFormat="1" applyFont="1" applyFill="1" applyAlignment="1">
      <alignment horizontal="center" vertical="center" shrinkToFit="1"/>
    </xf>
    <xf numFmtId="169" fontId="38" fillId="0" borderId="63" xfId="3" applyNumberFormat="1" applyFont="1" applyFill="1" applyBorder="1" applyAlignment="1">
      <alignment horizontal="center" vertical="center" shrinkToFit="1"/>
    </xf>
    <xf numFmtId="169" fontId="38" fillId="0" borderId="33" xfId="3" applyNumberFormat="1" applyFont="1" applyFill="1" applyBorder="1" applyAlignment="1">
      <alignment horizontal="center" vertical="center" shrinkToFit="1"/>
    </xf>
    <xf numFmtId="169" fontId="38" fillId="0" borderId="64" xfId="3" applyNumberFormat="1" applyFont="1" applyFill="1" applyBorder="1" applyAlignment="1">
      <alignment horizontal="center" vertical="center" shrinkToFit="1"/>
    </xf>
    <xf numFmtId="169" fontId="39" fillId="0" borderId="0" xfId="70" applyNumberFormat="1" applyFont="1" applyFill="1" applyBorder="1" applyAlignment="1">
      <alignment horizontal="center" vertical="center" shrinkToFit="1"/>
    </xf>
    <xf numFmtId="169" fontId="41" fillId="0" borderId="0" xfId="70" applyNumberFormat="1" applyFont="1" applyFill="1" applyBorder="1" applyAlignment="1">
      <alignment horizontal="center" vertical="center" shrinkToFit="1" readingOrder="2"/>
    </xf>
    <xf numFmtId="170" fontId="37" fillId="0" borderId="16" xfId="0" applyNumberFormat="1" applyFont="1" applyFill="1" applyBorder="1" applyAlignment="1">
      <alignment horizontal="center" vertical="center" shrinkToFit="1"/>
    </xf>
    <xf numFmtId="170" fontId="37" fillId="0" borderId="24" xfId="0" applyNumberFormat="1" applyFont="1" applyFill="1" applyBorder="1" applyAlignment="1">
      <alignment horizontal="center" vertical="center" shrinkToFit="1"/>
    </xf>
    <xf numFmtId="170" fontId="37" fillId="0" borderId="27" xfId="0" applyNumberFormat="1" applyFont="1" applyFill="1" applyBorder="1" applyAlignment="1">
      <alignment horizontal="center" vertical="center" shrinkToFit="1"/>
    </xf>
    <xf numFmtId="169" fontId="41" fillId="0" borderId="0" xfId="3" applyNumberFormat="1" applyFont="1" applyFill="1" applyBorder="1" applyAlignment="1">
      <alignment horizontal="right" vertical="center" shrinkToFit="1"/>
    </xf>
    <xf numFmtId="169" fontId="45" fillId="0" borderId="0" xfId="3" applyNumberFormat="1" applyFont="1" applyFill="1" applyBorder="1" applyAlignment="1">
      <alignment horizontal="right" vertical="center" wrapText="1" shrinkToFit="1"/>
    </xf>
    <xf numFmtId="169" fontId="34" fillId="0" borderId="0" xfId="70" applyNumberFormat="1" applyFont="1" applyFill="1" applyBorder="1" applyAlignment="1">
      <alignment horizontal="center" vertical="center" shrinkToFit="1"/>
    </xf>
    <xf numFmtId="49" fontId="37" fillId="0" borderId="24" xfId="0" applyNumberFormat="1" applyFont="1" applyFill="1" applyBorder="1" applyAlignment="1">
      <alignment horizontal="center" vertical="center" shrinkToFit="1"/>
    </xf>
    <xf numFmtId="169" fontId="34" fillId="0" borderId="41" xfId="70" applyNumberFormat="1" applyFont="1" applyFill="1" applyBorder="1" applyAlignment="1">
      <alignment horizontal="center" vertical="center" textRotation="90" shrinkToFit="1"/>
    </xf>
    <xf numFmtId="169" fontId="34" fillId="0" borderId="29" xfId="70" applyNumberFormat="1" applyFont="1" applyFill="1" applyBorder="1" applyAlignment="1">
      <alignment horizontal="center" vertical="center" textRotation="90" shrinkToFit="1"/>
    </xf>
    <xf numFmtId="49" fontId="39" fillId="0" borderId="16" xfId="76" applyNumberFormat="1" applyFont="1" applyFill="1" applyBorder="1" applyAlignment="1">
      <alignment horizontal="center" vertical="center" shrinkToFit="1"/>
    </xf>
    <xf numFmtId="49" fontId="39" fillId="0" borderId="27" xfId="76" applyNumberFormat="1" applyFont="1" applyFill="1" applyBorder="1" applyAlignment="1">
      <alignment horizontal="center" vertical="center" shrinkToFit="1"/>
    </xf>
    <xf numFmtId="0" fontId="37" fillId="0" borderId="15" xfId="70" applyNumberFormat="1" applyFont="1" applyFill="1" applyBorder="1" applyAlignment="1">
      <alignment horizontal="center" vertical="center" shrinkToFit="1"/>
    </xf>
    <xf numFmtId="169" fontId="34" fillId="0" borderId="30" xfId="70" applyNumberFormat="1" applyFont="1" applyFill="1" applyBorder="1" applyAlignment="1">
      <alignment horizontal="center" vertical="center" textRotation="90" shrinkToFit="1"/>
    </xf>
    <xf numFmtId="169" fontId="34" fillId="0" borderId="75" xfId="70" applyNumberFormat="1" applyFont="1" applyFill="1" applyBorder="1" applyAlignment="1">
      <alignment horizontal="center" vertical="center" textRotation="90" shrinkToFit="1"/>
    </xf>
    <xf numFmtId="169" fontId="34" fillId="0" borderId="42" xfId="70" applyNumberFormat="1" applyFont="1" applyFill="1" applyBorder="1" applyAlignment="1">
      <alignment horizontal="center" vertical="center" textRotation="90" shrinkToFit="1"/>
    </xf>
    <xf numFmtId="49" fontId="34" fillId="0" borderId="15" xfId="70" applyNumberFormat="1" applyFont="1" applyFill="1" applyBorder="1" applyAlignment="1">
      <alignment horizontal="center" vertical="center" shrinkToFit="1"/>
    </xf>
    <xf numFmtId="169" fontId="34" fillId="0" borderId="26" xfId="70" applyNumberFormat="1" applyFont="1" applyFill="1" applyBorder="1" applyAlignment="1">
      <alignment horizontal="center" vertical="center" textRotation="90" shrinkToFit="1"/>
    </xf>
    <xf numFmtId="169" fontId="40" fillId="0" borderId="28" xfId="70" applyNumberFormat="1" applyFont="1" applyFill="1" applyBorder="1" applyAlignment="1">
      <alignment horizontal="center" vertical="center" shrinkToFit="1" readingOrder="2"/>
    </xf>
    <xf numFmtId="49" fontId="34" fillId="0" borderId="0" xfId="70" applyNumberFormat="1" applyFont="1" applyAlignment="1">
      <alignment horizontal="center" vertical="center" shrinkToFit="1" readingOrder="2"/>
    </xf>
    <xf numFmtId="169" fontId="42" fillId="0" borderId="15" xfId="70" applyNumberFormat="1" applyFont="1" applyBorder="1" applyAlignment="1">
      <alignment horizontal="center" vertical="center" shrinkToFit="1"/>
    </xf>
    <xf numFmtId="169" fontId="34" fillId="0" borderId="0" xfId="70" applyNumberFormat="1" applyFont="1" applyAlignment="1">
      <alignment horizontal="right" vertical="center" shrinkToFit="1" readingOrder="2"/>
    </xf>
    <xf numFmtId="169" fontId="41" fillId="2" borderId="16" xfId="70" applyNumberFormat="1" applyFont="1" applyFill="1" applyBorder="1" applyAlignment="1">
      <alignment horizontal="center" vertical="center" shrinkToFit="1" readingOrder="2"/>
    </xf>
    <xf numFmtId="169" fontId="41" fillId="2" borderId="27" xfId="70" applyNumberFormat="1" applyFont="1" applyFill="1" applyBorder="1" applyAlignment="1">
      <alignment horizontal="center" vertical="center" shrinkToFit="1" readingOrder="2"/>
    </xf>
    <xf numFmtId="169" fontId="34" fillId="0" borderId="0" xfId="70" applyNumberFormat="1" applyFont="1" applyFill="1" applyAlignment="1">
      <alignment horizontal="center" shrinkToFit="1" readingOrder="2"/>
    </xf>
    <xf numFmtId="169" fontId="34" fillId="0" borderId="26" xfId="70" applyNumberFormat="1" applyFont="1" applyFill="1" applyBorder="1" applyAlignment="1">
      <alignment horizontal="center" vertical="center" wrapText="1" shrinkToFit="1"/>
    </xf>
    <xf numFmtId="169" fontId="34" fillId="0" borderId="29" xfId="70" applyNumberFormat="1" applyFont="1" applyFill="1" applyBorder="1" applyAlignment="1">
      <alignment horizontal="center" vertical="center" wrapText="1" shrinkToFit="1"/>
    </xf>
    <xf numFmtId="169" fontId="42" fillId="0" borderId="15" xfId="70" applyNumberFormat="1" applyFont="1" applyFill="1" applyBorder="1" applyAlignment="1">
      <alignment horizontal="center" vertical="center" shrinkToFit="1" readingOrder="2"/>
    </xf>
    <xf numFmtId="49" fontId="39" fillId="0" borderId="16" xfId="70" applyNumberFormat="1" applyFont="1" applyFill="1" applyBorder="1" applyAlignment="1">
      <alignment horizontal="center" vertical="center" shrinkToFit="1"/>
    </xf>
    <xf numFmtId="49" fontId="39" fillId="0" borderId="24" xfId="70" applyNumberFormat="1" applyFont="1" applyFill="1" applyBorder="1" applyAlignment="1">
      <alignment horizontal="center" vertical="center" shrinkToFit="1"/>
    </xf>
    <xf numFmtId="0" fontId="42" fillId="0" borderId="26" xfId="0" applyFont="1" applyFill="1" applyBorder="1" applyAlignment="1">
      <alignment horizontal="center" vertical="center" wrapText="1"/>
    </xf>
    <xf numFmtId="0" fontId="42" fillId="0" borderId="29" xfId="0" applyFont="1" applyFill="1" applyBorder="1" applyAlignment="1">
      <alignment horizontal="center" vertical="center" wrapText="1"/>
    </xf>
    <xf numFmtId="0" fontId="110" fillId="0" borderId="0" xfId="149" applyFont="1" applyFill="1" applyAlignment="1">
      <alignment horizontal="center" shrinkToFit="1"/>
    </xf>
    <xf numFmtId="0" fontId="42" fillId="0" borderId="26" xfId="0" applyFont="1" applyFill="1" applyBorder="1" applyAlignment="1">
      <alignment horizontal="center" vertical="center"/>
    </xf>
    <xf numFmtId="0" fontId="42" fillId="0" borderId="29" xfId="0" applyFont="1" applyFill="1" applyBorder="1" applyAlignment="1">
      <alignment horizontal="center" vertical="center"/>
    </xf>
    <xf numFmtId="0" fontId="42" fillId="0" borderId="0" xfId="0" applyFont="1" applyFill="1" applyAlignment="1">
      <alignment horizontal="center"/>
    </xf>
    <xf numFmtId="169" fontId="42" fillId="0" borderId="0" xfId="70" applyNumberFormat="1" applyFont="1" applyFill="1" applyBorder="1" applyAlignment="1">
      <alignment horizontal="right" shrinkToFit="1" readingOrder="2"/>
    </xf>
    <xf numFmtId="169" fontId="38" fillId="0" borderId="80" xfId="1" applyNumberFormat="1" applyFont="1" applyFill="1" applyBorder="1" applyAlignment="1">
      <alignment horizontal="center" vertical="center" shrinkToFit="1"/>
    </xf>
    <xf numFmtId="169" fontId="38" fillId="0" borderId="81" xfId="1" applyNumberFormat="1" applyFont="1" applyFill="1" applyBorder="1" applyAlignment="1">
      <alignment horizontal="center" vertical="center" shrinkToFit="1"/>
    </xf>
    <xf numFmtId="49" fontId="42" fillId="0" borderId="26" xfId="70" applyNumberFormat="1" applyFont="1" applyFill="1" applyBorder="1" applyAlignment="1">
      <alignment horizontal="center" vertical="center" shrinkToFit="1" readingOrder="2"/>
    </xf>
    <xf numFmtId="49" fontId="42" fillId="0" borderId="29" xfId="70" applyNumberFormat="1" applyFont="1" applyFill="1" applyBorder="1" applyAlignment="1">
      <alignment horizontal="center" vertical="center" shrinkToFit="1" readingOrder="2"/>
    </xf>
    <xf numFmtId="49" fontId="34" fillId="0" borderId="0" xfId="70" applyNumberFormat="1" applyFont="1" applyFill="1" applyBorder="1" applyAlignment="1">
      <alignment horizontal="center" vertical="center" shrinkToFit="1"/>
    </xf>
    <xf numFmtId="169" fontId="42" fillId="0" borderId="26" xfId="70" applyNumberFormat="1" applyFont="1" applyFill="1" applyBorder="1" applyAlignment="1">
      <alignment horizontal="center" vertical="center" shrinkToFit="1" readingOrder="2"/>
    </xf>
    <xf numFmtId="169" fontId="42" fillId="0" borderId="29" xfId="70" applyNumberFormat="1" applyFont="1" applyFill="1" applyBorder="1" applyAlignment="1">
      <alignment horizontal="center" vertical="center" shrinkToFit="1" readingOrder="2"/>
    </xf>
    <xf numFmtId="49" fontId="42" fillId="0" borderId="16" xfId="70" applyNumberFormat="1" applyFont="1" applyFill="1" applyBorder="1" applyAlignment="1">
      <alignment horizontal="center" vertical="center" shrinkToFit="1" readingOrder="2"/>
    </xf>
    <xf numFmtId="49" fontId="42" fillId="0" borderId="27" xfId="70" applyNumberFormat="1" applyFont="1" applyFill="1" applyBorder="1" applyAlignment="1">
      <alignment horizontal="center" vertical="center" shrinkToFit="1" readingOrder="2"/>
    </xf>
    <xf numFmtId="0" fontId="41" fillId="0" borderId="0" xfId="0" applyFont="1" applyAlignment="1">
      <alignment horizontal="center"/>
    </xf>
    <xf numFmtId="169" fontId="42" fillId="0" borderId="15" xfId="70" applyNumberFormat="1" applyFont="1" applyBorder="1" applyAlignment="1">
      <alignment horizontal="center" vertical="center" shrinkToFit="1" readingOrder="2"/>
    </xf>
    <xf numFmtId="169" fontId="42" fillId="0" borderId="15" xfId="70" applyNumberFormat="1" applyFont="1" applyBorder="1" applyAlignment="1">
      <alignment horizontal="center" vertical="center" wrapText="1" shrinkToFit="1" readingOrder="2"/>
    </xf>
    <xf numFmtId="169" fontId="41" fillId="0" borderId="0" xfId="70" applyNumberFormat="1" applyFont="1" applyAlignment="1">
      <alignment horizontal="center" shrinkToFit="1" readingOrder="2"/>
    </xf>
    <xf numFmtId="169" fontId="41" fillId="0" borderId="0" xfId="70" applyNumberFormat="1" applyFont="1" applyAlignment="1">
      <alignment horizontal="right" vertical="center" shrinkToFit="1" readingOrder="2"/>
    </xf>
    <xf numFmtId="0" fontId="42" fillId="0" borderId="26"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90" xfId="0" applyFont="1" applyBorder="1" applyAlignment="1">
      <alignment horizontal="center" vertical="center" wrapText="1"/>
    </xf>
    <xf numFmtId="49" fontId="34" fillId="0" borderId="55" xfId="75" applyNumberFormat="1" applyFont="1" applyBorder="1" applyAlignment="1">
      <alignment horizontal="center" vertical="center" shrinkToFit="1"/>
    </xf>
    <xf numFmtId="49" fontId="34" fillId="0" borderId="88" xfId="75" applyNumberFormat="1" applyFont="1" applyBorder="1" applyAlignment="1">
      <alignment horizontal="center" vertical="center" shrinkToFit="1"/>
    </xf>
    <xf numFmtId="49" fontId="34" fillId="0" borderId="83" xfId="75" applyNumberFormat="1" applyFont="1" applyBorder="1" applyAlignment="1">
      <alignment horizontal="center" vertical="center" shrinkToFit="1"/>
    </xf>
    <xf numFmtId="0" fontId="42" fillId="0" borderId="76" xfId="0" applyFont="1" applyBorder="1" applyAlignment="1">
      <alignment horizontal="center"/>
    </xf>
    <xf numFmtId="0" fontId="42" fillId="0" borderId="93" xfId="0" applyFont="1" applyBorder="1" applyAlignment="1">
      <alignment horizontal="center"/>
    </xf>
    <xf numFmtId="0" fontId="42" fillId="0" borderId="77" xfId="0" applyFont="1" applyBorder="1" applyAlignment="1">
      <alignment horizontal="center"/>
    </xf>
    <xf numFmtId="0" fontId="42" fillId="0" borderId="15" xfId="0" applyFont="1" applyBorder="1" applyAlignment="1">
      <alignment horizontal="center" vertical="center" textRotation="90" shrinkToFit="1"/>
    </xf>
    <xf numFmtId="0" fontId="42" fillId="0" borderId="26" xfId="0" applyFont="1" applyBorder="1" applyAlignment="1">
      <alignment horizontal="center" vertical="center" textRotation="90" shrinkToFit="1"/>
    </xf>
    <xf numFmtId="0" fontId="42" fillId="0" borderId="29" xfId="0" applyFont="1" applyBorder="1" applyAlignment="1">
      <alignment horizontal="center" vertical="center" textRotation="90" shrinkToFit="1"/>
    </xf>
    <xf numFmtId="49" fontId="39" fillId="0" borderId="55" xfId="70" applyNumberFormat="1" applyFont="1" applyBorder="1" applyAlignment="1">
      <alignment horizontal="center" vertical="center" shrinkToFit="1"/>
    </xf>
    <xf numFmtId="49" fontId="39" fillId="0" borderId="88" xfId="70" applyNumberFormat="1" applyFont="1" applyBorder="1" applyAlignment="1">
      <alignment horizontal="center" vertical="center" shrinkToFit="1"/>
    </xf>
    <xf numFmtId="49" fontId="39" fillId="0" borderId="83" xfId="70" applyNumberFormat="1" applyFont="1" applyBorder="1" applyAlignment="1">
      <alignment horizontal="center" vertical="center" shrinkToFit="1"/>
    </xf>
    <xf numFmtId="0" fontId="44" fillId="0" borderId="15" xfId="0" applyFont="1" applyBorder="1" applyAlignment="1">
      <alignment horizontal="center" vertical="center"/>
    </xf>
    <xf numFmtId="49" fontId="44" fillId="0" borderId="15" xfId="70" applyNumberFormat="1" applyFont="1" applyBorder="1" applyAlignment="1">
      <alignment horizontal="center" vertical="center" wrapText="1" shrinkToFit="1" readingOrder="2"/>
    </xf>
    <xf numFmtId="0" fontId="44" fillId="0" borderId="2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15" xfId="0" applyFont="1" applyBorder="1" applyAlignment="1">
      <alignment horizontal="center" vertical="center" wrapText="1"/>
    </xf>
    <xf numFmtId="0" fontId="33" fillId="0" borderId="76" xfId="0" applyFont="1" applyBorder="1" applyAlignment="1">
      <alignment horizontal="center"/>
    </xf>
    <xf numFmtId="0" fontId="33" fillId="0" borderId="88" xfId="0" applyFont="1" applyBorder="1" applyAlignment="1">
      <alignment horizontal="center"/>
    </xf>
    <xf numFmtId="0" fontId="33" fillId="0" borderId="83" xfId="0" applyFont="1" applyBorder="1" applyAlignment="1">
      <alignment horizontal="center"/>
    </xf>
    <xf numFmtId="49" fontId="38" fillId="0" borderId="0" xfId="70" applyNumberFormat="1" applyFont="1" applyBorder="1" applyAlignment="1">
      <alignment horizontal="center" vertical="center" shrinkToFit="1"/>
    </xf>
    <xf numFmtId="0" fontId="37" fillId="0" borderId="0" xfId="0" applyFont="1" applyAlignment="1">
      <alignment horizontal="center"/>
    </xf>
    <xf numFmtId="169" fontId="37" fillId="0" borderId="0" xfId="70" applyNumberFormat="1" applyFont="1" applyAlignment="1">
      <alignment horizontal="right" vertical="center" wrapText="1" readingOrder="2"/>
    </xf>
    <xf numFmtId="0" fontId="44" fillId="0" borderId="26" xfId="0" applyFont="1" applyBorder="1" applyAlignment="1">
      <alignment horizontal="center" vertical="center"/>
    </xf>
    <xf numFmtId="0" fontId="42" fillId="0" borderId="63" xfId="0" applyFont="1" applyBorder="1" applyAlignment="1">
      <alignment horizontal="center"/>
    </xf>
    <xf numFmtId="0" fontId="42" fillId="0" borderId="64" xfId="0" applyFont="1" applyBorder="1" applyAlignment="1">
      <alignment horizontal="center"/>
    </xf>
    <xf numFmtId="0" fontId="42" fillId="0" borderId="0" xfId="0" applyFont="1" applyAlignment="1">
      <alignment horizontal="center"/>
    </xf>
    <xf numFmtId="169" fontId="41" fillId="0" borderId="0" xfId="0" applyNumberFormat="1" applyFont="1" applyAlignment="1">
      <alignment horizontal="center" vertical="center" shrinkToFit="1" readingOrder="2"/>
    </xf>
    <xf numFmtId="0" fontId="42" fillId="0" borderId="15" xfId="0" applyFont="1" applyBorder="1" applyAlignment="1">
      <alignment horizontal="center" vertical="center" wrapText="1"/>
    </xf>
    <xf numFmtId="169" fontId="41" fillId="0" borderId="0" xfId="0" applyNumberFormat="1" applyFont="1" applyAlignment="1">
      <alignment horizontal="center" vertical="center" readingOrder="2"/>
    </xf>
    <xf numFmtId="0" fontId="61" fillId="0" borderId="38" xfId="0" applyFont="1" applyFill="1" applyBorder="1" applyAlignment="1">
      <alignment horizontal="center" vertical="center" shrinkToFit="1" readingOrder="2"/>
    </xf>
    <xf numFmtId="169" fontId="23" fillId="0" borderId="0" xfId="0" applyNumberFormat="1" applyFont="1" applyFill="1" applyAlignment="1">
      <alignment horizontal="center" vertical="center" shrinkToFit="1"/>
    </xf>
    <xf numFmtId="169" fontId="94" fillId="0" borderId="15" xfId="0" applyNumberFormat="1" applyFont="1" applyFill="1" applyBorder="1" applyAlignment="1">
      <alignment horizontal="center" vertical="center" shrinkToFit="1" readingOrder="2"/>
    </xf>
    <xf numFmtId="169" fontId="94" fillId="0" borderId="15" xfId="0" applyNumberFormat="1" applyFont="1" applyFill="1" applyBorder="1" applyAlignment="1">
      <alignment horizontal="center" vertical="center" wrapText="1" shrinkToFit="1"/>
    </xf>
    <xf numFmtId="169" fontId="94" fillId="0" borderId="15" xfId="0" applyNumberFormat="1" applyFont="1" applyFill="1" applyBorder="1" applyAlignment="1">
      <alignment horizontal="center" vertical="center" wrapText="1" shrinkToFit="1" readingOrder="2"/>
    </xf>
    <xf numFmtId="169" fontId="94" fillId="0" borderId="15" xfId="0" applyNumberFormat="1" applyFont="1" applyFill="1" applyBorder="1" applyAlignment="1">
      <alignment horizontal="center" vertical="center" shrinkToFit="1"/>
    </xf>
    <xf numFmtId="171" fontId="29" fillId="0" borderId="16" xfId="3" applyNumberFormat="1" applyFont="1" applyFill="1" applyBorder="1" applyAlignment="1">
      <alignment horizontal="center" vertical="center" shrinkToFit="1"/>
    </xf>
    <xf numFmtId="171" fontId="29" fillId="0" borderId="27" xfId="3" applyNumberFormat="1" applyFont="1" applyFill="1" applyBorder="1" applyAlignment="1">
      <alignment horizontal="center" vertical="center" shrinkToFit="1"/>
    </xf>
    <xf numFmtId="49" fontId="29" fillId="0" borderId="16" xfId="0" applyNumberFormat="1" applyFont="1" applyFill="1" applyBorder="1" applyAlignment="1">
      <alignment horizontal="center" vertical="center" shrinkToFit="1"/>
    </xf>
    <xf numFmtId="49" fontId="29" fillId="0" borderId="27" xfId="0" applyNumberFormat="1" applyFont="1" applyFill="1" applyBorder="1" applyAlignment="1">
      <alignment horizontal="center" vertical="center" shrinkToFit="1"/>
    </xf>
    <xf numFmtId="169" fontId="69" fillId="0" borderId="63" xfId="0" applyNumberFormat="1" applyFont="1" applyFill="1" applyBorder="1" applyAlignment="1">
      <alignment horizontal="center" vertical="center" shrinkToFit="1" readingOrder="2"/>
    </xf>
    <xf numFmtId="169" fontId="69" fillId="0" borderId="64" xfId="0" applyNumberFormat="1" applyFont="1" applyFill="1" applyBorder="1" applyAlignment="1">
      <alignment horizontal="center" vertical="center" shrinkToFit="1" readingOrder="2"/>
    </xf>
    <xf numFmtId="49" fontId="29" fillId="0" borderId="4" xfId="0" applyNumberFormat="1" applyFont="1" applyFill="1" applyBorder="1" applyAlignment="1">
      <alignment horizontal="center" vertical="center" shrinkToFit="1" readingOrder="2"/>
    </xf>
    <xf numFmtId="49" fontId="29" fillId="0" borderId="8" xfId="0" applyNumberFormat="1" applyFont="1" applyFill="1" applyBorder="1" applyAlignment="1">
      <alignment horizontal="center" vertical="center" shrinkToFit="1" readingOrder="2"/>
    </xf>
    <xf numFmtId="169" fontId="69" fillId="0" borderId="4" xfId="0" applyNumberFormat="1" applyFont="1" applyFill="1" applyBorder="1" applyAlignment="1">
      <alignment horizontal="center" vertical="center" shrinkToFit="1" readingOrder="2"/>
    </xf>
    <xf numFmtId="169" fontId="69" fillId="0" borderId="8" xfId="0" applyNumberFormat="1" applyFont="1" applyFill="1" applyBorder="1" applyAlignment="1">
      <alignment horizontal="center" vertical="center" shrinkToFit="1" readingOrder="2"/>
    </xf>
    <xf numFmtId="169" fontId="116" fillId="0" borderId="0" xfId="70" applyNumberFormat="1" applyFont="1" applyFill="1" applyAlignment="1">
      <alignment horizontal="right" vertical="center" shrinkToFit="1" readingOrder="2"/>
    </xf>
    <xf numFmtId="171" fontId="29" fillId="0" borderId="0" xfId="3" applyNumberFormat="1" applyFont="1" applyFill="1" applyBorder="1" applyAlignment="1">
      <alignment horizontal="center" vertical="center" shrinkToFit="1"/>
    </xf>
    <xf numFmtId="169" fontId="29" fillId="0" borderId="28" xfId="70" applyNumberFormat="1" applyFont="1" applyFill="1" applyBorder="1" applyAlignment="1">
      <alignment horizontal="right" vertical="center" shrinkToFit="1" readingOrder="2"/>
    </xf>
    <xf numFmtId="169" fontId="63" fillId="0" borderId="28" xfId="0" applyNumberFormat="1" applyFont="1" applyFill="1" applyBorder="1" applyAlignment="1">
      <alignment horizontal="center" vertical="center" shrinkToFit="1" readingOrder="2"/>
    </xf>
    <xf numFmtId="169" fontId="94" fillId="0" borderId="30" xfId="0" applyNumberFormat="1" applyFont="1" applyFill="1" applyBorder="1" applyAlignment="1">
      <alignment horizontal="center" vertical="center" wrapText="1" shrinkToFit="1"/>
    </xf>
    <xf numFmtId="169" fontId="94" fillId="0" borderId="31" xfId="0" applyNumberFormat="1" applyFont="1" applyFill="1" applyBorder="1" applyAlignment="1">
      <alignment horizontal="center" vertical="center" wrapText="1" shrinkToFit="1"/>
    </xf>
    <xf numFmtId="169" fontId="94" fillId="0" borderId="42" xfId="0" applyNumberFormat="1" applyFont="1" applyFill="1" applyBorder="1" applyAlignment="1">
      <alignment horizontal="center" vertical="center" wrapText="1" shrinkToFit="1"/>
    </xf>
    <xf numFmtId="169" fontId="94" fillId="0" borderId="23" xfId="0" applyNumberFormat="1" applyFont="1" applyFill="1" applyBorder="1" applyAlignment="1">
      <alignment horizontal="center" vertical="center" wrapText="1" shrinkToFit="1"/>
    </xf>
    <xf numFmtId="0" fontId="63" fillId="0" borderId="32" xfId="0" applyFont="1" applyFill="1" applyBorder="1" applyAlignment="1">
      <alignment horizontal="center" vertical="center"/>
    </xf>
    <xf numFmtId="169" fontId="63" fillId="0" borderId="0" xfId="0" applyNumberFormat="1" applyFont="1" applyFill="1" applyAlignment="1">
      <alignment horizontal="center" vertical="center" shrinkToFit="1" readingOrder="2"/>
    </xf>
    <xf numFmtId="174" fontId="42" fillId="0" borderId="0" xfId="0" applyNumberFormat="1" applyFont="1" applyAlignment="1">
      <alignment horizontal="center" vertical="center" shrinkToFit="1" readingOrder="2"/>
    </xf>
    <xf numFmtId="49" fontId="41" fillId="0" borderId="15" xfId="0" applyNumberFormat="1" applyFont="1" applyBorder="1" applyAlignment="1">
      <alignment horizontal="center" vertical="center" shrinkToFit="1" readingOrder="2"/>
    </xf>
    <xf numFmtId="174" fontId="41" fillId="0" borderId="15" xfId="0" applyNumberFormat="1" applyFont="1" applyBorder="1" applyAlignment="1">
      <alignment horizontal="center" vertical="center" shrinkToFit="1" readingOrder="2"/>
    </xf>
    <xf numFmtId="174" fontId="41" fillId="0" borderId="15" xfId="0" applyNumberFormat="1" applyFont="1" applyBorder="1" applyAlignment="1">
      <alignment horizontal="center" vertical="center" shrinkToFit="1"/>
    </xf>
    <xf numFmtId="169" fontId="40" fillId="0" borderId="0" xfId="70" applyNumberFormat="1" applyFont="1" applyAlignment="1">
      <alignment horizontal="right" vertical="center" shrinkToFit="1" readingOrder="2"/>
    </xf>
    <xf numFmtId="174" fontId="29" fillId="0" borderId="28" xfId="0" applyNumberFormat="1" applyFont="1" applyBorder="1" applyAlignment="1">
      <alignment horizontal="center" vertical="center" shrinkToFit="1" readingOrder="2"/>
    </xf>
    <xf numFmtId="0" fontId="70" fillId="0" borderId="0" xfId="0" applyFont="1" applyAlignment="1">
      <alignment horizontal="right" vertical="center" wrapText="1" readingOrder="2"/>
    </xf>
    <xf numFmtId="169" fontId="36" fillId="0" borderId="0" xfId="70" applyNumberFormat="1" applyFont="1" applyAlignment="1">
      <alignment horizontal="right" vertical="top" wrapText="1" shrinkToFit="1" readingOrder="2"/>
    </xf>
    <xf numFmtId="174" fontId="44" fillId="0" borderId="0" xfId="70" applyNumberFormat="1" applyFont="1" applyAlignment="1">
      <alignment horizontal="center" shrinkToFit="1"/>
    </xf>
    <xf numFmtId="3" fontId="42" fillId="0" borderId="0" xfId="0" applyNumberFormat="1" applyFont="1" applyAlignment="1">
      <alignment horizontal="center" vertical="center"/>
    </xf>
    <xf numFmtId="169" fontId="44" fillId="0" borderId="15" xfId="0" applyNumberFormat="1" applyFont="1" applyBorder="1" applyAlignment="1">
      <alignment horizontal="center" vertical="center" wrapText="1" shrinkToFit="1" readingOrder="2"/>
    </xf>
    <xf numFmtId="49" fontId="41" fillId="0" borderId="0" xfId="0" applyNumberFormat="1" applyFont="1" applyAlignment="1">
      <alignment horizontal="center" vertical="center" shrinkToFit="1"/>
    </xf>
    <xf numFmtId="169" fontId="44" fillId="0" borderId="15" xfId="0" applyNumberFormat="1" applyFont="1" applyBorder="1" applyAlignment="1">
      <alignment horizontal="center" vertical="center" shrinkToFit="1"/>
    </xf>
    <xf numFmtId="169" fontId="35" fillId="0" borderId="0" xfId="0" applyNumberFormat="1" applyFont="1" applyAlignment="1">
      <alignment horizontal="center" vertical="center" shrinkToFit="1" readingOrder="2"/>
    </xf>
    <xf numFmtId="169" fontId="35" fillId="0" borderId="0" xfId="0" applyNumberFormat="1" applyFont="1" applyAlignment="1">
      <alignment horizontal="center" vertical="center" readingOrder="2"/>
    </xf>
    <xf numFmtId="169" fontId="34" fillId="0" borderId="0" xfId="0" applyNumberFormat="1" applyFont="1" applyAlignment="1">
      <alignment horizontal="right" vertical="center" readingOrder="2"/>
    </xf>
    <xf numFmtId="169" fontId="42" fillId="0" borderId="0" xfId="0" applyNumberFormat="1" applyFont="1" applyAlignment="1">
      <alignment horizontal="right" vertical="center" readingOrder="2"/>
    </xf>
    <xf numFmtId="169" fontId="42" fillId="0" borderId="0" xfId="0" applyNumberFormat="1" applyFont="1" applyAlignment="1">
      <alignment horizontal="center" vertical="center" shrinkToFit="1" readingOrder="2"/>
    </xf>
    <xf numFmtId="169" fontId="44" fillId="0" borderId="26" xfId="0" applyNumberFormat="1" applyFont="1" applyBorder="1" applyAlignment="1">
      <alignment horizontal="center" vertical="center" shrinkToFit="1" readingOrder="2"/>
    </xf>
    <xf numFmtId="169" fontId="44" fillId="0" borderId="29" xfId="0" applyNumberFormat="1" applyFont="1" applyBorder="1" applyAlignment="1">
      <alignment horizontal="center" vertical="center" shrinkToFit="1" readingOrder="2"/>
    </xf>
    <xf numFmtId="169" fontId="38" fillId="0" borderId="70" xfId="0" applyNumberFormat="1" applyFont="1" applyBorder="1" applyAlignment="1">
      <alignment horizontal="center" vertical="center" shrinkToFit="1"/>
    </xf>
    <xf numFmtId="169" fontId="44" fillId="0" borderId="15" xfId="0" applyNumberFormat="1" applyFont="1" applyBorder="1" applyAlignment="1">
      <alignment horizontal="center" vertical="center" shrinkToFit="1" readingOrder="2"/>
    </xf>
    <xf numFmtId="49" fontId="44" fillId="0" borderId="15" xfId="0" applyNumberFormat="1" applyFont="1" applyBorder="1" applyAlignment="1">
      <alignment horizontal="center" vertical="center" shrinkToFit="1"/>
    </xf>
    <xf numFmtId="169" fontId="44" fillId="0" borderId="30" xfId="0" applyNumberFormat="1" applyFont="1" applyBorder="1" applyAlignment="1">
      <alignment horizontal="center" vertical="center" shrinkToFit="1" readingOrder="2"/>
    </xf>
    <xf numFmtId="169" fontId="44" fillId="0" borderId="92" xfId="0" applyNumberFormat="1" applyFont="1" applyBorder="1" applyAlignment="1">
      <alignment horizontal="center" vertical="center" shrinkToFit="1" readingOrder="2"/>
    </xf>
    <xf numFmtId="169" fontId="44" fillId="0" borderId="31" xfId="0" applyNumberFormat="1" applyFont="1" applyBorder="1" applyAlignment="1">
      <alignment horizontal="center" vertical="center" shrinkToFit="1" readingOrder="2"/>
    </xf>
    <xf numFmtId="169" fontId="44" fillId="0" borderId="42" xfId="0" applyNumberFormat="1" applyFont="1" applyBorder="1" applyAlignment="1">
      <alignment horizontal="center" vertical="center" shrinkToFit="1" readingOrder="2"/>
    </xf>
    <xf numFmtId="169" fontId="44" fillId="0" borderId="28" xfId="0" applyNumberFormat="1" applyFont="1" applyBorder="1" applyAlignment="1">
      <alignment horizontal="center" vertical="center" shrinkToFit="1" readingOrder="2"/>
    </xf>
    <xf numFmtId="169" fontId="44" fillId="0" borderId="23" xfId="0" applyNumberFormat="1" applyFont="1" applyBorder="1" applyAlignment="1">
      <alignment horizontal="center" vertical="center" shrinkToFit="1" readingOrder="2"/>
    </xf>
    <xf numFmtId="169" fontId="44" fillId="0" borderId="32" xfId="0" applyNumberFormat="1" applyFont="1" applyBorder="1" applyAlignment="1">
      <alignment horizontal="center" vertical="center" shrinkToFit="1" readingOrder="2"/>
    </xf>
    <xf numFmtId="170" fontId="110" fillId="0" borderId="16" xfId="170" applyNumberFormat="1" applyFont="1" applyBorder="1" applyAlignment="1">
      <alignment horizontal="center" shrinkToFit="1"/>
    </xf>
    <xf numFmtId="170" fontId="110" fillId="0" borderId="27" xfId="170" applyNumberFormat="1" applyFont="1" applyBorder="1" applyAlignment="1">
      <alignment horizontal="center" shrinkToFit="1"/>
    </xf>
    <xf numFmtId="0" fontId="23" fillId="3" borderId="0" xfId="0" applyFont="1" applyFill="1" applyAlignment="1">
      <alignment horizontal="right" vertical="center" wrapText="1" readingOrder="2"/>
    </xf>
    <xf numFmtId="169" fontId="42" fillId="0" borderId="28" xfId="0" applyNumberFormat="1" applyFont="1" applyBorder="1" applyAlignment="1">
      <alignment horizontal="center" vertical="center" shrinkToFit="1" readingOrder="2"/>
    </xf>
    <xf numFmtId="0" fontId="42" fillId="0" borderId="24" xfId="0" applyFont="1" applyBorder="1" applyAlignment="1">
      <alignment horizontal="center" vertical="center"/>
    </xf>
    <xf numFmtId="0" fontId="25" fillId="0" borderId="26" xfId="0" applyFont="1" applyBorder="1" applyAlignment="1">
      <alignment horizontal="center" vertical="center" wrapText="1" readingOrder="2"/>
    </xf>
    <xf numFmtId="0" fontId="25" fillId="0" borderId="41" xfId="0" applyFont="1" applyBorder="1" applyAlignment="1">
      <alignment horizontal="center" vertical="center" wrapText="1" readingOrder="2"/>
    </xf>
    <xf numFmtId="0" fontId="29" fillId="0" borderId="15" xfId="0" applyFont="1" applyBorder="1" applyAlignment="1">
      <alignment horizontal="center" vertical="center" wrapText="1" readingOrder="2"/>
    </xf>
    <xf numFmtId="0" fontId="37" fillId="0" borderId="15" xfId="0" applyFont="1" applyBorder="1" applyAlignment="1">
      <alignment horizontal="center" wrapText="1"/>
    </xf>
    <xf numFmtId="0" fontId="37" fillId="0" borderId="15" xfId="0" applyFont="1" applyBorder="1" applyAlignment="1">
      <alignment horizontal="center" vertical="center"/>
    </xf>
    <xf numFmtId="0" fontId="38" fillId="0" borderId="16" xfId="98" applyFont="1" applyBorder="1" applyAlignment="1">
      <alignment vertical="center" wrapText="1" shrinkToFit="1"/>
    </xf>
    <xf numFmtId="0" fontId="38" fillId="0" borderId="24" xfId="98" applyFont="1" applyBorder="1" applyAlignment="1">
      <alignment vertical="center" wrapText="1" shrinkToFit="1"/>
    </xf>
    <xf numFmtId="0" fontId="38" fillId="0" borderId="27" xfId="98" applyFont="1" applyBorder="1" applyAlignment="1">
      <alignment vertical="center" wrapText="1" shrinkToFit="1"/>
    </xf>
    <xf numFmtId="169" fontId="37" fillId="0" borderId="0" xfId="70" applyNumberFormat="1" applyFont="1" applyAlignment="1">
      <alignment horizontal="right" vertical="center" shrinkToFit="1" readingOrder="2"/>
    </xf>
    <xf numFmtId="49" fontId="42" fillId="0" borderId="8" xfId="70" applyNumberFormat="1" applyFont="1" applyBorder="1" applyAlignment="1">
      <alignment horizontal="center" vertical="center" wrapText="1" shrinkToFit="1"/>
    </xf>
    <xf numFmtId="49" fontId="42" fillId="0" borderId="10" xfId="70" applyNumberFormat="1" applyFont="1" applyBorder="1" applyAlignment="1">
      <alignment horizontal="center" vertical="center" wrapText="1" shrinkToFit="1"/>
    </xf>
    <xf numFmtId="49" fontId="42" fillId="0" borderId="7" xfId="70" applyNumberFormat="1" applyFont="1" applyBorder="1" applyAlignment="1">
      <alignment horizontal="center" vertical="center" wrapText="1" shrinkToFit="1"/>
    </xf>
    <xf numFmtId="169" fontId="42" fillId="0" borderId="20" xfId="70" applyNumberFormat="1" applyFont="1" applyBorder="1" applyAlignment="1">
      <alignment horizontal="center" vertical="center" wrapText="1" shrinkToFit="1"/>
    </xf>
    <xf numFmtId="169" fontId="42" fillId="0" borderId="13" xfId="70" applyNumberFormat="1" applyFont="1" applyBorder="1" applyAlignment="1">
      <alignment horizontal="center" vertical="center" wrapText="1" shrinkToFit="1"/>
    </xf>
    <xf numFmtId="169" fontId="42" fillId="0" borderId="65" xfId="70" applyNumberFormat="1" applyFont="1" applyBorder="1" applyAlignment="1">
      <alignment horizontal="center" vertical="center" wrapText="1" shrinkToFit="1"/>
    </xf>
    <xf numFmtId="169" fontId="42" fillId="0" borderId="11" xfId="70" applyNumberFormat="1" applyFont="1" applyBorder="1" applyAlignment="1">
      <alignment horizontal="center" vertical="center" wrapText="1" shrinkToFit="1"/>
    </xf>
    <xf numFmtId="169" fontId="42" fillId="0" borderId="0" xfId="70" applyNumberFormat="1" applyFont="1" applyBorder="1" applyAlignment="1">
      <alignment horizontal="center" vertical="center" wrapText="1" shrinkToFit="1"/>
    </xf>
    <xf numFmtId="169" fontId="42" fillId="0" borderId="22" xfId="70" applyNumberFormat="1" applyFont="1" applyBorder="1" applyAlignment="1">
      <alignment horizontal="center" vertical="center" wrapText="1" shrinkToFit="1"/>
    </xf>
    <xf numFmtId="169" fontId="42" fillId="0" borderId="19" xfId="70" applyNumberFormat="1" applyFont="1" applyBorder="1" applyAlignment="1">
      <alignment horizontal="center" vertical="center" wrapText="1" shrinkToFit="1"/>
    </xf>
    <xf numFmtId="169" fontId="42" fillId="0" borderId="1" xfId="70" applyNumberFormat="1" applyFont="1" applyBorder="1" applyAlignment="1">
      <alignment horizontal="center" vertical="center" wrapText="1" shrinkToFit="1"/>
    </xf>
    <xf numFmtId="169" fontId="42" fillId="0" borderId="82" xfId="70" applyNumberFormat="1" applyFont="1" applyBorder="1" applyAlignment="1">
      <alignment horizontal="center" vertical="center" wrapText="1" shrinkToFit="1"/>
    </xf>
    <xf numFmtId="169" fontId="42" fillId="0" borderId="15" xfId="34" applyNumberFormat="1" applyFont="1" applyFill="1" applyBorder="1" applyAlignment="1">
      <alignment horizontal="center" vertical="center" wrapText="1"/>
    </xf>
    <xf numFmtId="169" fontId="38" fillId="0" borderId="68" xfId="0" applyNumberFormat="1" applyFont="1" applyBorder="1" applyAlignment="1">
      <alignment vertical="center" shrinkToFit="1"/>
    </xf>
    <xf numFmtId="169" fontId="38" fillId="0" borderId="94" xfId="0" applyNumberFormat="1" applyFont="1" applyBorder="1" applyAlignment="1">
      <alignment vertical="center" shrinkToFit="1"/>
    </xf>
    <xf numFmtId="169" fontId="38" fillId="0" borderId="89" xfId="0" applyNumberFormat="1" applyFont="1" applyBorder="1" applyAlignment="1">
      <alignment vertical="center" shrinkToFit="1"/>
    </xf>
    <xf numFmtId="169" fontId="42" fillId="0" borderId="26" xfId="34" applyNumberFormat="1" applyFont="1" applyFill="1" applyBorder="1" applyAlignment="1">
      <alignment horizontal="center" vertical="center" wrapText="1"/>
    </xf>
    <xf numFmtId="169" fontId="42" fillId="0" borderId="29" xfId="34" applyNumberFormat="1" applyFont="1" applyFill="1" applyBorder="1" applyAlignment="1">
      <alignment horizontal="center" vertical="center" wrapText="1"/>
    </xf>
    <xf numFmtId="0" fontId="38" fillId="0" borderId="16" xfId="98" applyFont="1" applyBorder="1" applyAlignment="1">
      <alignment horizontal="right" wrapText="1" shrinkToFit="1"/>
    </xf>
    <xf numFmtId="0" fontId="38" fillId="0" borderId="24" xfId="98" applyFont="1" applyBorder="1" applyAlignment="1">
      <alignment horizontal="right" wrapText="1" shrinkToFit="1"/>
    </xf>
    <xf numFmtId="0" fontId="38" fillId="0" borderId="27" xfId="98" applyFont="1" applyBorder="1" applyAlignment="1">
      <alignment horizontal="right" wrapText="1" shrinkToFit="1"/>
    </xf>
    <xf numFmtId="0" fontId="39" fillId="0" borderId="15" xfId="69" applyFont="1" applyBorder="1" applyAlignment="1">
      <alignment horizontal="right" vertical="center" wrapText="1"/>
    </xf>
    <xf numFmtId="0" fontId="38" fillId="0" borderId="16" xfId="98" applyFont="1" applyBorder="1" applyAlignment="1">
      <alignment vertical="center" shrinkToFit="1"/>
    </xf>
    <xf numFmtId="0" fontId="38" fillId="0" borderId="24" xfId="98" applyFont="1" applyBorder="1" applyAlignment="1">
      <alignment vertical="center" shrinkToFit="1"/>
    </xf>
    <xf numFmtId="0" fontId="38" fillId="0" borderId="27" xfId="98" applyFont="1" applyBorder="1" applyAlignment="1">
      <alignment vertical="center" shrinkToFit="1"/>
    </xf>
    <xf numFmtId="0" fontId="38" fillId="0" borderId="16" xfId="0" applyFont="1" applyBorder="1" applyAlignment="1">
      <alignment vertical="center" shrinkToFit="1"/>
    </xf>
    <xf numFmtId="0" fontId="38" fillId="0" borderId="24" xfId="0" applyFont="1" applyBorder="1" applyAlignment="1">
      <alignment vertical="center" shrinkToFit="1"/>
    </xf>
    <xf numFmtId="0" fontId="38" fillId="0" borderId="27" xfId="0" applyFont="1" applyBorder="1" applyAlignment="1">
      <alignment vertical="center" shrinkToFit="1"/>
    </xf>
    <xf numFmtId="169" fontId="38" fillId="0" borderId="21" xfId="70" applyNumberFormat="1" applyFont="1" applyBorder="1" applyAlignment="1">
      <alignment horizontal="center" shrinkToFit="1"/>
    </xf>
    <xf numFmtId="169" fontId="38" fillId="0" borderId="0" xfId="70" applyNumberFormat="1" applyFont="1" applyAlignment="1">
      <alignment horizontal="right" vertical="top" wrapText="1" readingOrder="2"/>
    </xf>
    <xf numFmtId="3" fontId="42" fillId="0" borderId="0" xfId="70" applyNumberFormat="1" applyFont="1" applyAlignment="1">
      <alignment horizontal="center"/>
    </xf>
    <xf numFmtId="0" fontId="110" fillId="0" borderId="16" xfId="168" applyFont="1" applyBorder="1" applyAlignment="1">
      <alignment horizontal="right"/>
    </xf>
    <xf numFmtId="0" fontId="110" fillId="0" borderId="24" xfId="168" applyFont="1" applyBorder="1" applyAlignment="1">
      <alignment horizontal="right"/>
    </xf>
    <xf numFmtId="0" fontId="110" fillId="0" borderId="27" xfId="168" applyFont="1" applyBorder="1" applyAlignment="1">
      <alignment horizontal="right"/>
    </xf>
    <xf numFmtId="169" fontId="37" fillId="0" borderId="30" xfId="70" applyNumberFormat="1" applyFont="1" applyBorder="1" applyAlignment="1">
      <alignment horizontal="right" vertical="center" shrinkToFit="1"/>
    </xf>
    <xf numFmtId="169" fontId="37" fillId="0" borderId="32" xfId="70" applyNumberFormat="1" applyFont="1" applyBorder="1" applyAlignment="1">
      <alignment horizontal="right" vertical="center" shrinkToFit="1"/>
    </xf>
    <xf numFmtId="169" fontId="37" fillId="0" borderId="31" xfId="70" applyNumberFormat="1" applyFont="1" applyBorder="1" applyAlignment="1">
      <alignment horizontal="right" vertical="center" shrinkToFit="1"/>
    </xf>
    <xf numFmtId="169" fontId="25" fillId="0" borderId="95" xfId="70" applyNumberFormat="1" applyFont="1" applyBorder="1" applyAlignment="1">
      <alignment horizontal="center" vertical="center" shrinkToFit="1" readingOrder="2"/>
    </xf>
    <xf numFmtId="169" fontId="25" fillId="0" borderId="96" xfId="70" applyNumberFormat="1" applyFont="1" applyBorder="1" applyAlignment="1">
      <alignment horizontal="center" vertical="center" shrinkToFit="1" readingOrder="2"/>
    </xf>
    <xf numFmtId="49" fontId="39" fillId="0" borderId="95" xfId="34" applyNumberFormat="1" applyFont="1" applyFill="1" applyBorder="1" applyAlignment="1">
      <alignment horizontal="center" vertical="center" shrinkToFit="1"/>
    </xf>
    <xf numFmtId="49" fontId="39" fillId="0" borderId="97" xfId="34" applyNumberFormat="1" applyFont="1" applyFill="1" applyBorder="1" applyAlignment="1">
      <alignment horizontal="center" vertical="center" shrinkToFit="1"/>
    </xf>
    <xf numFmtId="49" fontId="39" fillId="0" borderId="96" xfId="34" applyNumberFormat="1" applyFont="1" applyFill="1" applyBorder="1" applyAlignment="1">
      <alignment horizontal="center" vertical="center" shrinkToFit="1"/>
    </xf>
    <xf numFmtId="0" fontId="110" fillId="0" borderId="16" xfId="77" applyFont="1" applyBorder="1" applyAlignment="1">
      <alignment horizontal="right" shrinkToFit="1"/>
    </xf>
    <xf numFmtId="0" fontId="110" fillId="0" borderId="24" xfId="77" applyFont="1" applyBorder="1" applyAlignment="1">
      <alignment horizontal="right" shrinkToFit="1"/>
    </xf>
    <xf numFmtId="0" fontId="110" fillId="0" borderId="27" xfId="77" applyFont="1" applyBorder="1" applyAlignment="1">
      <alignment horizontal="right" shrinkToFit="1"/>
    </xf>
    <xf numFmtId="169" fontId="25" fillId="0" borderId="16" xfId="70" applyNumberFormat="1" applyFont="1" applyBorder="1" applyAlignment="1">
      <alignment horizontal="center" vertical="center" shrinkToFit="1" readingOrder="2"/>
    </xf>
    <xf numFmtId="169" fontId="25" fillId="0" borderId="27" xfId="70" applyNumberFormat="1" applyFont="1" applyBorder="1" applyAlignment="1">
      <alignment horizontal="center" vertical="center" shrinkToFit="1" readingOrder="2"/>
    </xf>
    <xf numFmtId="169" fontId="26" fillId="0" borderId="16" xfId="0" applyNumberFormat="1" applyFont="1" applyBorder="1" applyAlignment="1">
      <alignment horizontal="center" vertical="center" shrinkToFit="1"/>
    </xf>
    <xf numFmtId="169" fontId="26" fillId="0" borderId="27" xfId="0" applyNumberFormat="1" applyFont="1" applyBorder="1" applyAlignment="1">
      <alignment horizontal="center" vertical="center" shrinkToFit="1"/>
    </xf>
    <xf numFmtId="170" fontId="38" fillId="0" borderId="16" xfId="0" applyNumberFormat="1" applyFont="1" applyBorder="1" applyAlignment="1">
      <alignment horizontal="center" vertical="center" shrinkToFit="1"/>
    </xf>
    <xf numFmtId="170" fontId="38" fillId="0" borderId="24" xfId="0" applyNumberFormat="1" applyFont="1" applyBorder="1" applyAlignment="1">
      <alignment horizontal="center" vertical="center" shrinkToFit="1"/>
    </xf>
    <xf numFmtId="170" fontId="38" fillId="0" borderId="27" xfId="0" applyNumberFormat="1" applyFont="1" applyBorder="1" applyAlignment="1">
      <alignment horizontal="center" vertical="center" shrinkToFit="1"/>
    </xf>
    <xf numFmtId="169" fontId="25" fillId="0" borderId="16" xfId="0" applyNumberFormat="1" applyFont="1" applyBorder="1" applyAlignment="1">
      <alignment horizontal="center" vertical="center" shrinkToFit="1"/>
    </xf>
    <xf numFmtId="169" fontId="25" fillId="0" borderId="27" xfId="0" applyNumberFormat="1" applyFont="1" applyBorder="1" applyAlignment="1">
      <alignment horizontal="center" vertical="center" shrinkToFit="1"/>
    </xf>
    <xf numFmtId="169" fontId="34" fillId="0" borderId="30" xfId="70" applyNumberFormat="1" applyFont="1" applyBorder="1" applyAlignment="1">
      <alignment horizontal="center" vertical="center" shrinkToFit="1" readingOrder="2"/>
    </xf>
    <xf numFmtId="169" fontId="34" fillId="0" borderId="32" xfId="70" applyNumberFormat="1" applyFont="1" applyBorder="1" applyAlignment="1">
      <alignment horizontal="center" vertical="center" shrinkToFit="1" readingOrder="2"/>
    </xf>
    <xf numFmtId="169" fontId="34" fillId="0" borderId="31" xfId="70" applyNumberFormat="1" applyFont="1" applyBorder="1" applyAlignment="1">
      <alignment horizontal="center" vertical="center" shrinkToFit="1" readingOrder="2"/>
    </xf>
    <xf numFmtId="169" fontId="37" fillId="0" borderId="16" xfId="0" applyNumberFormat="1" applyFont="1" applyBorder="1" applyAlignment="1">
      <alignment horizontal="right" vertical="center" shrinkToFit="1"/>
    </xf>
    <xf numFmtId="169" fontId="37" fillId="0" borderId="24" xfId="0" applyNumberFormat="1" applyFont="1" applyBorder="1" applyAlignment="1">
      <alignment horizontal="right" vertical="center" shrinkToFit="1"/>
    </xf>
    <xf numFmtId="169" fontId="37" fillId="0" borderId="27" xfId="0" applyNumberFormat="1" applyFont="1" applyBorder="1" applyAlignment="1">
      <alignment horizontal="right" vertical="center" shrinkToFit="1"/>
    </xf>
    <xf numFmtId="0" fontId="37" fillId="4" borderId="16" xfId="74" applyFont="1" applyFill="1" applyBorder="1" applyAlignment="1">
      <alignment horizontal="center" vertical="center" shrinkToFit="1"/>
    </xf>
    <xf numFmtId="0" fontId="37" fillId="4" borderId="24" xfId="74" applyFont="1" applyFill="1" applyBorder="1" applyAlignment="1">
      <alignment horizontal="center" vertical="center" shrinkToFit="1"/>
    </xf>
    <xf numFmtId="0" fontId="37" fillId="4" borderId="27" xfId="74" applyFont="1" applyFill="1" applyBorder="1" applyAlignment="1">
      <alignment horizontal="center" vertical="center" shrinkToFit="1"/>
    </xf>
    <xf numFmtId="169" fontId="24" fillId="0" borderId="48" xfId="70" applyNumberFormat="1" applyFont="1" applyBorder="1" applyAlignment="1">
      <alignment horizontal="center" vertical="center" shrinkToFit="1" readingOrder="2"/>
    </xf>
    <xf numFmtId="0" fontId="110" fillId="0" borderId="16" xfId="168" applyFont="1" applyBorder="1" applyAlignment="1">
      <alignment horizontal="center" shrinkToFit="1"/>
    </xf>
    <xf numFmtId="0" fontId="110" fillId="0" borderId="24" xfId="168" applyFont="1" applyBorder="1" applyAlignment="1">
      <alignment horizontal="center" shrinkToFit="1"/>
    </xf>
    <xf numFmtId="0" fontId="110" fillId="0" borderId="27" xfId="168" applyFont="1" applyBorder="1" applyAlignment="1">
      <alignment horizontal="center" shrinkToFit="1"/>
    </xf>
    <xf numFmtId="169" fontId="41" fillId="0" borderId="0" xfId="70" applyNumberFormat="1" applyFont="1" applyAlignment="1">
      <alignment horizontal="center" vertical="center"/>
    </xf>
    <xf numFmtId="3" fontId="42" fillId="0" borderId="0" xfId="70" applyNumberFormat="1" applyFont="1" applyAlignment="1">
      <alignment horizontal="center" vertical="center"/>
    </xf>
    <xf numFmtId="169" fontId="24" fillId="0" borderId="26" xfId="70" applyNumberFormat="1" applyFont="1" applyBorder="1" applyAlignment="1">
      <alignment horizontal="center" vertical="center" shrinkToFit="1" readingOrder="2"/>
    </xf>
    <xf numFmtId="169" fontId="24" fillId="0" borderId="29" xfId="70" applyNumberFormat="1" applyFont="1" applyBorder="1" applyAlignment="1">
      <alignment horizontal="center" vertical="center" shrinkToFit="1" readingOrder="2"/>
    </xf>
    <xf numFmtId="169" fontId="34" fillId="0" borderId="36" xfId="70" applyNumberFormat="1" applyFont="1" applyBorder="1" applyAlignment="1">
      <alignment horizontal="center" vertical="center" shrinkToFit="1" readingOrder="2"/>
    </xf>
    <xf numFmtId="169" fontId="34" fillId="0" borderId="48" xfId="70" applyNumberFormat="1" applyFont="1" applyBorder="1" applyAlignment="1">
      <alignment horizontal="center" vertical="center" shrinkToFit="1" readingOrder="2"/>
    </xf>
    <xf numFmtId="169" fontId="24" fillId="0" borderId="15" xfId="70" applyNumberFormat="1" applyFont="1" applyBorder="1" applyAlignment="1">
      <alignment horizontal="center" vertical="center" shrinkToFit="1" readingOrder="2"/>
    </xf>
    <xf numFmtId="169" fontId="24" fillId="0" borderId="16" xfId="70" applyNumberFormat="1" applyFont="1" applyBorder="1" applyAlignment="1">
      <alignment horizontal="center" vertical="center" shrinkToFit="1" readingOrder="2"/>
    </xf>
    <xf numFmtId="169" fontId="24" fillId="0" borderId="27" xfId="70" applyNumberFormat="1" applyFont="1" applyBorder="1" applyAlignment="1">
      <alignment horizontal="center" vertical="center" shrinkToFit="1" readingOrder="2"/>
    </xf>
    <xf numFmtId="0" fontId="37" fillId="0" borderId="42" xfId="98" applyFont="1" applyBorder="1" applyAlignment="1">
      <alignment horizontal="right" vertical="center" shrinkToFit="1"/>
    </xf>
    <xf numFmtId="0" fontId="37" fillId="0" borderId="28" xfId="98" applyFont="1" applyBorder="1" applyAlignment="1">
      <alignment horizontal="right" vertical="center" shrinkToFit="1"/>
    </xf>
    <xf numFmtId="0" fontId="37" fillId="0" borderId="23" xfId="98" applyFont="1" applyBorder="1" applyAlignment="1">
      <alignment horizontal="right" vertical="center" shrinkToFit="1"/>
    </xf>
    <xf numFmtId="169" fontId="33" fillId="0" borderId="15" xfId="70" applyNumberFormat="1" applyFont="1" applyBorder="1" applyAlignment="1">
      <alignment horizontal="center" vertical="center" textRotation="90" shrinkToFit="1"/>
    </xf>
    <xf numFmtId="169" fontId="33" fillId="0" borderId="26" xfId="70" applyNumberFormat="1" applyFont="1" applyBorder="1" applyAlignment="1">
      <alignment horizontal="center" vertical="center" textRotation="90" shrinkToFit="1"/>
    </xf>
    <xf numFmtId="169" fontId="41" fillId="0" borderId="15" xfId="70" applyNumberFormat="1" applyFont="1" applyBorder="1" applyAlignment="1">
      <alignment horizontal="center" vertical="center" shrinkToFit="1"/>
    </xf>
    <xf numFmtId="169" fontId="34" fillId="0" borderId="15" xfId="70" applyNumberFormat="1" applyFont="1" applyBorder="1" applyAlignment="1">
      <alignment horizontal="center" vertical="center" wrapText="1" readingOrder="2"/>
    </xf>
    <xf numFmtId="169" fontId="46" fillId="0" borderId="15" xfId="70" applyNumberFormat="1" applyFont="1" applyBorder="1" applyAlignment="1">
      <alignment horizontal="center" vertical="center" readingOrder="2"/>
    </xf>
    <xf numFmtId="169" fontId="41" fillId="0" borderId="16" xfId="70" applyNumberFormat="1" applyFont="1" applyBorder="1" applyAlignment="1">
      <alignment horizontal="center" vertical="center" shrinkToFit="1"/>
    </xf>
    <xf numFmtId="169" fontId="41" fillId="0" borderId="24" xfId="70" applyNumberFormat="1" applyFont="1" applyBorder="1" applyAlignment="1">
      <alignment horizontal="center" vertical="center" shrinkToFit="1"/>
    </xf>
    <xf numFmtId="169" fontId="41" fillId="0" borderId="27" xfId="70" applyNumberFormat="1" applyFont="1" applyBorder="1" applyAlignment="1">
      <alignment horizontal="center" vertical="center" shrinkToFit="1"/>
    </xf>
    <xf numFmtId="169" fontId="37" fillId="0" borderId="16" xfId="70" applyNumberFormat="1" applyFont="1" applyBorder="1" applyAlignment="1">
      <alignment horizontal="center" vertical="center" shrinkToFit="1" readingOrder="2"/>
    </xf>
    <xf numFmtId="169" fontId="37" fillId="0" borderId="27" xfId="70" applyNumberFormat="1" applyFont="1" applyBorder="1" applyAlignment="1">
      <alignment horizontal="center" vertical="center" shrinkToFit="1" readingOrder="2"/>
    </xf>
    <xf numFmtId="169" fontId="41" fillId="0" borderId="28" xfId="70" applyNumberFormat="1" applyFont="1" applyBorder="1" applyAlignment="1">
      <alignment horizontal="center" vertical="center" shrinkToFit="1" readingOrder="2"/>
    </xf>
    <xf numFmtId="169" fontId="34" fillId="0" borderId="0" xfId="70" applyNumberFormat="1" applyFont="1" applyAlignment="1">
      <alignment horizontal="right" vertical="center" wrapText="1" readingOrder="2"/>
    </xf>
    <xf numFmtId="169" fontId="33" fillId="0" borderId="26" xfId="70" applyNumberFormat="1" applyFont="1" applyBorder="1" applyAlignment="1">
      <alignment horizontal="center" vertical="center"/>
    </xf>
    <xf numFmtId="169" fontId="33" fillId="0" borderId="29" xfId="70" applyNumberFormat="1" applyFont="1" applyBorder="1" applyAlignment="1">
      <alignment horizontal="center" vertical="center"/>
    </xf>
    <xf numFmtId="169" fontId="33" fillId="0" borderId="16" xfId="70" applyNumberFormat="1" applyFont="1" applyBorder="1" applyAlignment="1">
      <alignment horizontal="center" vertical="center" textRotation="90" shrinkToFit="1"/>
    </xf>
    <xf numFmtId="169" fontId="39" fillId="0" borderId="15" xfId="70" applyNumberFormat="1" applyFont="1" applyBorder="1" applyAlignment="1">
      <alignment horizontal="center" vertical="center" wrapText="1" readingOrder="2"/>
    </xf>
    <xf numFmtId="169" fontId="34" fillId="0" borderId="55" xfId="70" applyNumberFormat="1" applyFont="1" applyBorder="1" applyAlignment="1">
      <alignment horizontal="center" vertical="center" shrinkToFit="1" readingOrder="2"/>
    </xf>
    <xf numFmtId="169" fontId="34" fillId="0" borderId="88" xfId="70" applyNumberFormat="1" applyFont="1" applyBorder="1" applyAlignment="1">
      <alignment horizontal="center" vertical="center" shrinkToFit="1" readingOrder="2"/>
    </xf>
    <xf numFmtId="169" fontId="34" fillId="0" borderId="83" xfId="70" applyNumberFormat="1" applyFont="1" applyBorder="1" applyAlignment="1">
      <alignment horizontal="center" vertical="center" shrinkToFit="1" readingOrder="2"/>
    </xf>
    <xf numFmtId="169" fontId="37" fillId="0" borderId="16" xfId="70" applyNumberFormat="1" applyFont="1" applyBorder="1" applyAlignment="1">
      <alignment horizontal="right" vertical="center" shrinkToFit="1"/>
    </xf>
    <xf numFmtId="169" fontId="37" fillId="0" borderId="24" xfId="70" applyNumberFormat="1" applyFont="1" applyBorder="1" applyAlignment="1">
      <alignment horizontal="right" vertical="center" shrinkToFit="1"/>
    </xf>
    <xf numFmtId="169" fontId="37" fillId="0" borderId="27" xfId="70" applyNumberFormat="1" applyFont="1" applyBorder="1" applyAlignment="1">
      <alignment horizontal="right" vertical="center" shrinkToFit="1"/>
    </xf>
    <xf numFmtId="0" fontId="37" fillId="0" borderId="16" xfId="77" applyFont="1" applyBorder="1" applyAlignment="1">
      <alignment horizontal="right" vertical="center" shrinkToFit="1"/>
    </xf>
    <xf numFmtId="0" fontId="37" fillId="0" borderId="24" xfId="77" applyFont="1" applyBorder="1" applyAlignment="1">
      <alignment horizontal="right" vertical="center" shrinkToFit="1"/>
    </xf>
    <xf numFmtId="0" fontId="37" fillId="0" borderId="27" xfId="77" applyFont="1" applyBorder="1" applyAlignment="1">
      <alignment horizontal="right" vertical="center" shrinkToFit="1"/>
    </xf>
    <xf numFmtId="169" fontId="25" fillId="0" borderId="15" xfId="70" applyNumberFormat="1" applyFont="1" applyBorder="1" applyAlignment="1">
      <alignment horizontal="center" vertical="center" shrinkToFit="1" readingOrder="2"/>
    </xf>
    <xf numFmtId="1" fontId="33" fillId="0" borderId="15" xfId="0" applyNumberFormat="1" applyFont="1" applyBorder="1" applyAlignment="1">
      <alignment horizontal="center" vertical="center"/>
    </xf>
    <xf numFmtId="1" fontId="42" fillId="0" borderId="16" xfId="0" applyNumberFormat="1" applyFont="1" applyBorder="1" applyAlignment="1">
      <alignment horizontal="center" vertical="center"/>
    </xf>
    <xf numFmtId="1" fontId="42" fillId="0" borderId="24" xfId="0" applyNumberFormat="1" applyFont="1" applyBorder="1" applyAlignment="1">
      <alignment horizontal="center" vertical="center"/>
    </xf>
    <xf numFmtId="1" fontId="42" fillId="0" borderId="27" xfId="0" applyNumberFormat="1" applyFont="1" applyBorder="1" applyAlignment="1">
      <alignment horizontal="center" vertical="center"/>
    </xf>
    <xf numFmtId="169" fontId="34" fillId="0" borderId="0" xfId="70" applyNumberFormat="1" applyFont="1" applyAlignment="1">
      <alignment horizontal="center" shrinkToFit="1" readingOrder="2"/>
    </xf>
    <xf numFmtId="169" fontId="44" fillId="0" borderId="26" xfId="70" applyNumberFormat="1" applyFont="1" applyBorder="1" applyAlignment="1">
      <alignment horizontal="center" vertical="center"/>
    </xf>
    <xf numFmtId="169" fontId="44" fillId="0" borderId="29" xfId="70" applyNumberFormat="1" applyFont="1" applyBorder="1" applyAlignment="1">
      <alignment horizontal="center" vertical="center"/>
    </xf>
    <xf numFmtId="169" fontId="44" fillId="0" borderId="15" xfId="70" applyNumberFormat="1" applyFont="1" applyBorder="1" applyAlignment="1">
      <alignment horizontal="center" vertical="center" shrinkToFit="1"/>
    </xf>
    <xf numFmtId="169" fontId="37" fillId="0" borderId="0" xfId="70" applyNumberFormat="1" applyFont="1" applyBorder="1" applyAlignment="1">
      <alignment horizontal="center"/>
    </xf>
    <xf numFmtId="169" fontId="44" fillId="0" borderId="26" xfId="70" applyNumberFormat="1" applyFont="1" applyBorder="1" applyAlignment="1">
      <alignment horizontal="center" vertical="center" wrapText="1" shrinkToFit="1"/>
    </xf>
    <xf numFmtId="169" fontId="44" fillId="0" borderId="29" xfId="70" applyNumberFormat="1" applyFont="1" applyBorder="1" applyAlignment="1">
      <alignment horizontal="center" vertical="center" wrapText="1" shrinkToFit="1"/>
    </xf>
    <xf numFmtId="169" fontId="44" fillId="2" borderId="15" xfId="70" applyNumberFormat="1" applyFont="1" applyFill="1" applyBorder="1" applyAlignment="1">
      <alignment horizontal="center" vertical="center" wrapText="1" shrinkToFit="1"/>
    </xf>
    <xf numFmtId="49" fontId="44" fillId="2" borderId="15" xfId="70" applyNumberFormat="1" applyFont="1" applyFill="1" applyBorder="1" applyAlignment="1">
      <alignment horizontal="center" vertical="center" wrapText="1" shrinkToFit="1"/>
    </xf>
    <xf numFmtId="49" fontId="42" fillId="0" borderId="0" xfId="70" applyNumberFormat="1" applyFont="1" applyAlignment="1">
      <alignment horizontal="left" vertical="center"/>
    </xf>
    <xf numFmtId="49" fontId="38" fillId="0" borderId="16" xfId="0" applyNumberFormat="1" applyFont="1" applyBorder="1" applyAlignment="1">
      <alignment horizontal="center" shrinkToFit="1"/>
    </xf>
    <xf numFmtId="49" fontId="38" fillId="0" borderId="24" xfId="0" applyNumberFormat="1" applyFont="1" applyBorder="1" applyAlignment="1">
      <alignment horizontal="center" shrinkToFit="1"/>
    </xf>
    <xf numFmtId="169" fontId="33" fillId="0" borderId="41" xfId="70" applyNumberFormat="1" applyFont="1" applyBorder="1" applyAlignment="1">
      <alignment horizontal="center" vertical="center" textRotation="90" shrinkToFit="1"/>
    </xf>
    <xf numFmtId="169" fontId="33" fillId="0" borderId="29" xfId="70" applyNumberFormat="1" applyFont="1" applyBorder="1" applyAlignment="1">
      <alignment horizontal="center" vertical="center" textRotation="90" shrinkToFit="1"/>
    </xf>
    <xf numFmtId="169" fontId="47" fillId="0" borderId="15" xfId="70" applyNumberFormat="1" applyFont="1" applyBorder="1" applyAlignment="1">
      <alignment horizontal="center" vertical="center"/>
    </xf>
    <xf numFmtId="169" fontId="44" fillId="0" borderId="16" xfId="70" applyNumberFormat="1" applyFont="1" applyBorder="1" applyAlignment="1">
      <alignment horizontal="center" vertical="center"/>
    </xf>
    <xf numFmtId="169" fontId="44" fillId="0" borderId="24" xfId="70" applyNumberFormat="1" applyFont="1" applyBorder="1" applyAlignment="1">
      <alignment horizontal="center" vertical="center"/>
    </xf>
    <xf numFmtId="169" fontId="44" fillId="0" borderId="27" xfId="70" applyNumberFormat="1" applyFont="1" applyBorder="1" applyAlignment="1">
      <alignment horizontal="center" vertical="center"/>
    </xf>
    <xf numFmtId="169" fontId="38" fillId="0" borderId="16" xfId="70" applyNumberFormat="1" applyFont="1" applyBorder="1" applyAlignment="1">
      <alignment horizontal="center" vertical="center" textRotation="1" shrinkToFit="1"/>
    </xf>
    <xf numFmtId="169" fontId="38" fillId="0" borderId="24" xfId="70" applyNumberFormat="1" applyFont="1" applyBorder="1" applyAlignment="1">
      <alignment horizontal="center" vertical="center" textRotation="1" shrinkToFit="1"/>
    </xf>
    <xf numFmtId="169" fontId="38" fillId="0" borderId="27" xfId="70" applyNumberFormat="1" applyFont="1" applyBorder="1" applyAlignment="1">
      <alignment horizontal="center" vertical="center" textRotation="1" shrinkToFit="1"/>
    </xf>
    <xf numFmtId="169" fontId="44" fillId="0" borderId="26" xfId="70" applyNumberFormat="1" applyFont="1" applyBorder="1" applyAlignment="1">
      <alignment horizontal="center" vertical="center" wrapText="1"/>
    </xf>
    <xf numFmtId="169" fontId="44" fillId="0" borderId="29" xfId="70" applyNumberFormat="1" applyFont="1" applyBorder="1" applyAlignment="1">
      <alignment horizontal="center" vertical="center" wrapText="1"/>
    </xf>
    <xf numFmtId="169" fontId="38" fillId="2" borderId="16" xfId="34" applyNumberFormat="1" applyFont="1" applyFill="1" applyBorder="1" applyAlignment="1">
      <alignment horizontal="center" shrinkToFit="1"/>
    </xf>
    <xf numFmtId="169" fontId="38" fillId="2" borderId="24" xfId="34" applyNumberFormat="1" applyFont="1" applyFill="1" applyBorder="1" applyAlignment="1">
      <alignment horizontal="center" shrinkToFit="1"/>
    </xf>
    <xf numFmtId="169" fontId="38" fillId="2" borderId="27" xfId="34" applyNumberFormat="1" applyFont="1" applyFill="1" applyBorder="1" applyAlignment="1">
      <alignment horizontal="center" shrinkToFit="1"/>
    </xf>
    <xf numFmtId="0" fontId="70" fillId="0" borderId="0" xfId="0" applyFont="1" applyAlignment="1">
      <alignment horizontal="right" vertical="top" wrapText="1" readingOrder="2"/>
    </xf>
    <xf numFmtId="169" fontId="33" fillId="0" borderId="32" xfId="70" applyNumberFormat="1" applyFont="1" applyBorder="1" applyAlignment="1">
      <alignment horizontal="center"/>
    </xf>
    <xf numFmtId="49" fontId="42" fillId="0" borderId="0" xfId="70" applyNumberFormat="1" applyFont="1" applyBorder="1" applyAlignment="1">
      <alignment horizontal="center" vertical="center"/>
    </xf>
    <xf numFmtId="169" fontId="33" fillId="0" borderId="0" xfId="70" applyNumberFormat="1" applyFont="1" applyBorder="1" applyAlignment="1">
      <alignment horizontal="center" shrinkToFit="1"/>
    </xf>
    <xf numFmtId="49" fontId="42" fillId="0" borderId="0" xfId="0" applyNumberFormat="1" applyFont="1" applyFill="1" applyAlignment="1">
      <alignment horizontal="center" vertical="center" wrapText="1"/>
    </xf>
    <xf numFmtId="169" fontId="41" fillId="0" borderId="0" xfId="0" applyNumberFormat="1" applyFont="1" applyFill="1" applyAlignment="1">
      <alignment horizontal="center" vertical="center" shrinkToFit="1" readingOrder="2"/>
    </xf>
    <xf numFmtId="169" fontId="46" fillId="0" borderId="15" xfId="0" applyNumberFormat="1" applyFont="1" applyFill="1" applyBorder="1" applyAlignment="1">
      <alignment horizontal="center" vertical="center" wrapText="1"/>
    </xf>
    <xf numFmtId="169" fontId="41" fillId="0" borderId="0" xfId="0" applyNumberFormat="1" applyFont="1" applyFill="1" applyAlignment="1">
      <alignment horizontal="right" vertical="center" readingOrder="2"/>
    </xf>
    <xf numFmtId="3" fontId="63" fillId="0" borderId="15" xfId="0" applyNumberFormat="1" applyFont="1" applyFill="1" applyBorder="1" applyAlignment="1">
      <alignment horizontal="center" vertical="center" wrapText="1" readingOrder="2"/>
    </xf>
    <xf numFmtId="169" fontId="42" fillId="0" borderId="15" xfId="0" applyNumberFormat="1" applyFont="1" applyFill="1" applyBorder="1" applyAlignment="1">
      <alignment horizontal="center" vertical="center" wrapText="1"/>
    </xf>
    <xf numFmtId="169" fontId="46" fillId="0" borderId="15" xfId="1" applyNumberFormat="1" applyFont="1" applyFill="1" applyBorder="1" applyAlignment="1">
      <alignment horizontal="center" vertical="center" wrapText="1" shrinkToFit="1"/>
    </xf>
    <xf numFmtId="169" fontId="42" fillId="0" borderId="15" xfId="0" applyNumberFormat="1" applyFont="1" applyFill="1" applyBorder="1" applyAlignment="1">
      <alignment horizontal="center" vertical="center" wrapText="1" shrinkToFit="1"/>
    </xf>
    <xf numFmtId="169" fontId="46" fillId="0" borderId="15" xfId="0" applyNumberFormat="1" applyFont="1" applyFill="1" applyBorder="1" applyAlignment="1">
      <alignment horizontal="center" vertical="center" wrapText="1" shrinkToFit="1" readingOrder="2"/>
    </xf>
    <xf numFmtId="169" fontId="46" fillId="0" borderId="15" xfId="0" applyNumberFormat="1" applyFont="1" applyFill="1" applyBorder="1" applyAlignment="1">
      <alignment horizontal="center" vertical="center" shrinkToFit="1" readingOrder="2"/>
    </xf>
    <xf numFmtId="49" fontId="42" fillId="0" borderId="15" xfId="1" applyNumberFormat="1" applyFont="1" applyFill="1" applyBorder="1" applyAlignment="1">
      <alignment horizontal="center" vertical="center" shrinkToFit="1"/>
    </xf>
    <xf numFmtId="3" fontId="63" fillId="0" borderId="26" xfId="0" applyNumberFormat="1" applyFont="1" applyFill="1" applyBorder="1" applyAlignment="1">
      <alignment horizontal="center" vertical="center" wrapText="1" readingOrder="2"/>
    </xf>
    <xf numFmtId="3" fontId="63" fillId="0" borderId="41" xfId="0" applyNumberFormat="1" applyFont="1" applyFill="1" applyBorder="1" applyAlignment="1">
      <alignment horizontal="center" vertical="center" wrapText="1" readingOrder="2"/>
    </xf>
    <xf numFmtId="3" fontId="63" fillId="0" borderId="29" xfId="0" applyNumberFormat="1" applyFont="1" applyFill="1" applyBorder="1" applyAlignment="1">
      <alignment horizontal="center" vertical="center" wrapText="1" readingOrder="2"/>
    </xf>
    <xf numFmtId="169" fontId="42" fillId="0" borderId="26" xfId="0" applyNumberFormat="1" applyFont="1" applyFill="1" applyBorder="1" applyAlignment="1">
      <alignment horizontal="center" vertical="center" wrapText="1" shrinkToFit="1"/>
    </xf>
    <xf numFmtId="169" fontId="42" fillId="0" borderId="41" xfId="0" applyNumberFormat="1" applyFont="1" applyFill="1" applyBorder="1" applyAlignment="1">
      <alignment horizontal="center" vertical="center" wrapText="1" shrinkToFit="1"/>
    </xf>
    <xf numFmtId="169" fontId="42" fillId="0" borderId="29" xfId="0" applyNumberFormat="1" applyFont="1" applyFill="1" applyBorder="1" applyAlignment="1">
      <alignment horizontal="center" vertical="center" wrapText="1" shrinkToFit="1"/>
    </xf>
    <xf numFmtId="169" fontId="41" fillId="0" borderId="15" xfId="0" applyNumberFormat="1" applyFont="1" applyFill="1" applyBorder="1" applyAlignment="1">
      <alignment horizontal="center" vertical="center" wrapText="1" shrinkToFit="1"/>
    </xf>
    <xf numFmtId="169" fontId="42" fillId="0" borderId="15" xfId="0" applyNumberFormat="1" applyFont="1" applyFill="1" applyBorder="1" applyAlignment="1">
      <alignment horizontal="center" vertical="center" textRotation="90" wrapText="1"/>
    </xf>
    <xf numFmtId="169" fontId="42" fillId="0" borderId="15" xfId="0" applyNumberFormat="1" applyFont="1" applyFill="1" applyBorder="1" applyAlignment="1">
      <alignment horizontal="center" vertical="center" shrinkToFit="1"/>
    </xf>
    <xf numFmtId="169" fontId="46" fillId="0" borderId="15" xfId="0" applyNumberFormat="1" applyFont="1" applyFill="1" applyBorder="1" applyAlignment="1">
      <alignment horizontal="center" vertical="center"/>
    </xf>
    <xf numFmtId="49" fontId="42" fillId="0" borderId="0" xfId="0" applyNumberFormat="1" applyFont="1" applyFill="1" applyAlignment="1">
      <alignment horizontal="center" vertical="center" shrinkToFit="1"/>
    </xf>
    <xf numFmtId="169" fontId="46" fillId="0" borderId="26" xfId="0" applyNumberFormat="1" applyFont="1" applyFill="1" applyBorder="1" applyAlignment="1">
      <alignment horizontal="center" vertical="center"/>
    </xf>
    <xf numFmtId="169" fontId="46" fillId="0" borderId="41" xfId="0" applyNumberFormat="1" applyFont="1" applyFill="1" applyBorder="1" applyAlignment="1">
      <alignment horizontal="center" vertical="center"/>
    </xf>
    <xf numFmtId="169" fontId="46" fillId="0" borderId="29" xfId="0" applyNumberFormat="1" applyFont="1" applyFill="1" applyBorder="1" applyAlignment="1">
      <alignment horizontal="center" vertical="center"/>
    </xf>
    <xf numFmtId="0" fontId="41" fillId="0" borderId="34" xfId="0" applyFont="1" applyFill="1" applyBorder="1" applyAlignment="1">
      <alignment horizontal="center" shrinkToFit="1"/>
    </xf>
    <xf numFmtId="169" fontId="42" fillId="0" borderId="6" xfId="0" applyNumberFormat="1" applyFont="1" applyFill="1" applyBorder="1" applyAlignment="1">
      <alignment horizontal="center" vertical="center" shrinkToFit="1"/>
    </xf>
    <xf numFmtId="169" fontId="42" fillId="0" borderId="4" xfId="0" applyNumberFormat="1" applyFont="1" applyFill="1" applyBorder="1" applyAlignment="1">
      <alignment horizontal="center" vertical="center" shrinkToFit="1"/>
    </xf>
    <xf numFmtId="169" fontId="46" fillId="0" borderId="30" xfId="0" applyNumberFormat="1" applyFont="1" applyFill="1" applyBorder="1" applyAlignment="1">
      <alignment horizontal="center" vertical="center" shrinkToFit="1" readingOrder="2"/>
    </xf>
    <xf numFmtId="169" fontId="46" fillId="0" borderId="32" xfId="0" applyNumberFormat="1" applyFont="1" applyFill="1" applyBorder="1" applyAlignment="1">
      <alignment horizontal="center" vertical="center" shrinkToFit="1" readingOrder="2"/>
    </xf>
    <xf numFmtId="169" fontId="46" fillId="0" borderId="31" xfId="0" applyNumberFormat="1" applyFont="1" applyFill="1" applyBorder="1" applyAlignment="1">
      <alignment horizontal="center" vertical="center" shrinkToFit="1" readingOrder="2"/>
    </xf>
    <xf numFmtId="169" fontId="46" fillId="0" borderId="42" xfId="0" applyNumberFormat="1" applyFont="1" applyFill="1" applyBorder="1" applyAlignment="1">
      <alignment horizontal="center" vertical="center" shrinkToFit="1" readingOrder="2"/>
    </xf>
    <xf numFmtId="169" fontId="46" fillId="0" borderId="28" xfId="0" applyNumberFormat="1" applyFont="1" applyFill="1" applyBorder="1" applyAlignment="1">
      <alignment horizontal="center" vertical="center" shrinkToFit="1" readingOrder="2"/>
    </xf>
    <xf numFmtId="169" fontId="46" fillId="0" borderId="23" xfId="0" applyNumberFormat="1" applyFont="1" applyFill="1" applyBorder="1" applyAlignment="1">
      <alignment horizontal="center" vertical="center" shrinkToFit="1" readingOrder="2"/>
    </xf>
    <xf numFmtId="3" fontId="42" fillId="0" borderId="0" xfId="0" applyNumberFormat="1" applyFont="1" applyFill="1" applyAlignment="1">
      <alignment horizontal="center" vertical="center" wrapText="1"/>
    </xf>
    <xf numFmtId="169" fontId="42" fillId="0" borderId="26" xfId="0" applyNumberFormat="1" applyFont="1" applyFill="1" applyBorder="1" applyAlignment="1">
      <alignment horizontal="center" vertical="center" textRotation="90" wrapText="1"/>
    </xf>
    <xf numFmtId="169" fontId="42" fillId="0" borderId="41" xfId="0" applyNumberFormat="1" applyFont="1" applyFill="1" applyBorder="1" applyAlignment="1">
      <alignment horizontal="center" vertical="center" textRotation="90" wrapText="1"/>
    </xf>
    <xf numFmtId="169" fontId="42" fillId="0" borderId="29" xfId="0" applyNumberFormat="1" applyFont="1" applyFill="1" applyBorder="1" applyAlignment="1">
      <alignment horizontal="center" vertical="center" textRotation="90" wrapText="1"/>
    </xf>
    <xf numFmtId="3" fontId="35" fillId="0" borderId="0" xfId="0" applyNumberFormat="1" applyFont="1" applyFill="1" applyAlignment="1">
      <alignment horizontal="center" vertical="center"/>
    </xf>
    <xf numFmtId="169" fontId="41" fillId="0" borderId="0" xfId="0" applyNumberFormat="1" applyFont="1" applyFill="1" applyAlignment="1">
      <alignment horizontal="right" vertical="center" shrinkToFit="1" readingOrder="2"/>
    </xf>
    <xf numFmtId="169" fontId="34" fillId="0" borderId="0" xfId="0" applyNumberFormat="1" applyFont="1" applyFill="1" applyAlignment="1">
      <alignment horizontal="right" vertical="center" shrinkToFit="1" readingOrder="2"/>
    </xf>
    <xf numFmtId="0" fontId="41" fillId="0" borderId="29" xfId="0" applyFont="1" applyFill="1" applyBorder="1" applyAlignment="1">
      <alignment horizontal="center" shrinkToFit="1"/>
    </xf>
    <xf numFmtId="3" fontId="29" fillId="0" borderId="0" xfId="0" applyNumberFormat="1" applyFont="1" applyFill="1" applyAlignment="1">
      <alignment horizontal="right" vertical="center" wrapText="1" readingOrder="2"/>
    </xf>
    <xf numFmtId="0" fontId="41" fillId="0" borderId="42" xfId="0" applyFont="1" applyFill="1" applyBorder="1" applyAlignment="1">
      <alignment horizontal="center" shrinkToFit="1"/>
    </xf>
    <xf numFmtId="0" fontId="41" fillId="0" borderId="28" xfId="0" applyFont="1" applyFill="1" applyBorder="1" applyAlignment="1">
      <alignment horizontal="center" shrinkToFit="1"/>
    </xf>
    <xf numFmtId="0" fontId="41" fillId="0" borderId="23" xfId="0" applyFont="1" applyFill="1" applyBorder="1" applyAlignment="1">
      <alignment horizontal="center" shrinkToFit="1"/>
    </xf>
    <xf numFmtId="169" fontId="42" fillId="0" borderId="0" xfId="0" applyNumberFormat="1" applyFont="1" applyFill="1" applyBorder="1" applyAlignment="1">
      <alignment horizontal="center" vertical="center"/>
    </xf>
    <xf numFmtId="169" fontId="33" fillId="0" borderId="0" xfId="0" applyNumberFormat="1" applyFont="1" applyAlignment="1">
      <alignment horizontal="center"/>
    </xf>
    <xf numFmtId="169" fontId="44" fillId="0" borderId="53" xfId="0" applyNumberFormat="1" applyFont="1" applyBorder="1" applyAlignment="1">
      <alignment horizontal="center" vertical="center" textRotation="90" shrinkToFit="1"/>
    </xf>
    <xf numFmtId="0" fontId="0" fillId="0" borderId="4" xfId="0" applyBorder="1"/>
    <xf numFmtId="169" fontId="45" fillId="0" borderId="4" xfId="1" applyNumberFormat="1" applyFont="1" applyFill="1" applyBorder="1" applyAlignment="1">
      <alignment horizontal="center"/>
    </xf>
    <xf numFmtId="169" fontId="45" fillId="2" borderId="9" xfId="1" applyNumberFormat="1" applyFont="1" applyFill="1" applyBorder="1" applyAlignment="1">
      <alignment horizontal="center" vertical="center" shrinkToFit="1"/>
    </xf>
    <xf numFmtId="169" fontId="33" fillId="0" borderId="9" xfId="0" applyNumberFormat="1" applyFont="1" applyBorder="1" applyAlignment="1">
      <alignment horizontal="center"/>
    </xf>
    <xf numFmtId="49" fontId="45" fillId="2" borderId="4" xfId="1" applyNumberFormat="1" applyFont="1" applyFill="1" applyBorder="1" applyAlignment="1">
      <alignment horizontal="center" vertical="center" shrinkToFit="1"/>
    </xf>
    <xf numFmtId="169" fontId="45" fillId="2" borderId="4" xfId="0" applyNumberFormat="1" applyFont="1" applyFill="1" applyBorder="1" applyAlignment="1">
      <alignment horizontal="center" vertical="center" shrinkToFit="1"/>
    </xf>
    <xf numFmtId="169" fontId="33" fillId="0" borderId="4" xfId="0" applyNumberFormat="1" applyFont="1" applyBorder="1" applyAlignment="1">
      <alignment horizontal="center"/>
    </xf>
    <xf numFmtId="169" fontId="33" fillId="0" borderId="4" xfId="1" applyNumberFormat="1" applyFont="1" applyFill="1" applyBorder="1" applyAlignment="1">
      <alignment horizontal="center"/>
    </xf>
    <xf numFmtId="169" fontId="33" fillId="0" borderId="50" xfId="0" applyNumberFormat="1" applyFont="1" applyBorder="1" applyAlignment="1">
      <alignment horizontal="center"/>
    </xf>
    <xf numFmtId="0" fontId="0" fillId="0" borderId="7" xfId="0" applyBorder="1"/>
    <xf numFmtId="49" fontId="42" fillId="2" borderId="4" xfId="0" applyNumberFormat="1" applyFont="1" applyFill="1" applyBorder="1" applyAlignment="1">
      <alignment horizontal="center" vertical="center" wrapText="1" shrinkToFit="1"/>
    </xf>
    <xf numFmtId="169" fontId="42" fillId="2" borderId="4" xfId="0" applyNumberFormat="1" applyFont="1" applyFill="1" applyBorder="1" applyAlignment="1">
      <alignment horizontal="center" vertical="center" wrapText="1" shrinkToFit="1"/>
    </xf>
    <xf numFmtId="169" fontId="42" fillId="0" borderId="4" xfId="0" applyNumberFormat="1" applyFont="1" applyBorder="1" applyAlignment="1">
      <alignment horizontal="center" vertical="center"/>
    </xf>
    <xf numFmtId="169" fontId="33" fillId="0" borderId="4" xfId="0" applyNumberFormat="1" applyFont="1" applyBorder="1" applyAlignment="1">
      <alignment horizontal="center" vertical="center"/>
    </xf>
    <xf numFmtId="169" fontId="42" fillId="0" borderId="4" xfId="0" applyNumberFormat="1" applyFont="1" applyBorder="1" applyAlignment="1">
      <alignment horizontal="center" vertical="center" shrinkToFit="1"/>
    </xf>
    <xf numFmtId="169" fontId="45" fillId="2" borderId="4" xfId="0" applyNumberFormat="1" applyFont="1" applyFill="1" applyBorder="1" applyAlignment="1">
      <alignment horizontal="center" shrinkToFit="1"/>
    </xf>
    <xf numFmtId="169" fontId="37" fillId="2" borderId="4" xfId="0" applyNumberFormat="1" applyFont="1" applyFill="1" applyBorder="1" applyAlignment="1">
      <alignment horizontal="center" vertical="center" shrinkToFit="1"/>
    </xf>
    <xf numFmtId="169" fontId="41" fillId="2" borderId="9" xfId="0" applyNumberFormat="1" applyFont="1" applyFill="1" applyBorder="1" applyAlignment="1">
      <alignment horizontal="center" shrinkToFit="1"/>
    </xf>
    <xf numFmtId="169" fontId="33" fillId="2" borderId="4" xfId="0" applyNumberFormat="1" applyFont="1" applyFill="1" applyBorder="1" applyAlignment="1">
      <alignment horizontal="center" vertical="center" shrinkToFit="1"/>
    </xf>
    <xf numFmtId="169" fontId="45" fillId="0" borderId="4" xfId="70" applyNumberFormat="1" applyFont="1" applyBorder="1" applyAlignment="1">
      <alignment horizontal="center" vertical="center" shrinkToFit="1"/>
    </xf>
    <xf numFmtId="169" fontId="33" fillId="2" borderId="1" xfId="0" applyNumberFormat="1" applyFont="1" applyFill="1" applyBorder="1" applyAlignment="1">
      <alignment horizontal="right" vertical="center" readingOrder="2"/>
    </xf>
    <xf numFmtId="169" fontId="34" fillId="0" borderId="0" xfId="0" applyNumberFormat="1" applyFont="1" applyAlignment="1">
      <alignment horizontal="center" shrinkToFit="1" readingOrder="2"/>
    </xf>
    <xf numFmtId="169" fontId="42" fillId="0" borderId="0" xfId="70" applyNumberFormat="1" applyFont="1" applyAlignment="1">
      <alignment horizontal="center" vertical="center"/>
    </xf>
    <xf numFmtId="169" fontId="37" fillId="2" borderId="4" xfId="111" applyNumberFormat="1" applyFont="1" applyFill="1" applyBorder="1" applyAlignment="1">
      <alignment horizontal="center" vertical="center"/>
    </xf>
    <xf numFmtId="169" fontId="37" fillId="0" borderId="4" xfId="111" applyNumberFormat="1" applyFont="1" applyBorder="1" applyAlignment="1">
      <alignment horizontal="center" vertical="center"/>
    </xf>
    <xf numFmtId="169" fontId="37" fillId="2" borderId="4" xfId="70" applyNumberFormat="1" applyFont="1" applyFill="1" applyBorder="1" applyAlignment="1">
      <alignment horizontal="center" vertical="center" shrinkToFit="1"/>
    </xf>
    <xf numFmtId="169" fontId="41" fillId="2" borderId="9" xfId="70" applyNumberFormat="1" applyFont="1" applyFill="1" applyBorder="1" applyAlignment="1">
      <alignment horizontal="center" vertical="center"/>
    </xf>
    <xf numFmtId="49" fontId="49" fillId="0" borderId="0" xfId="70" applyNumberFormat="1" applyFont="1" applyAlignment="1">
      <alignment horizontal="right" vertical="center" readingOrder="2"/>
    </xf>
    <xf numFmtId="1" fontId="42" fillId="0" borderId="0" xfId="70" applyNumberFormat="1" applyFont="1" applyAlignment="1">
      <alignment horizontal="center" vertical="center"/>
    </xf>
    <xf numFmtId="49" fontId="48" fillId="0" borderId="0" xfId="70" applyNumberFormat="1" applyFont="1" applyAlignment="1">
      <alignment horizontal="right" vertical="center" wrapText="1" readingOrder="2"/>
    </xf>
    <xf numFmtId="49" fontId="41" fillId="2" borderId="4" xfId="70" applyNumberFormat="1" applyFont="1" applyFill="1" applyBorder="1" applyAlignment="1">
      <alignment horizontal="center" vertical="center" wrapText="1" readingOrder="2"/>
    </xf>
    <xf numFmtId="169" fontId="41" fillId="2" borderId="4" xfId="70" applyNumberFormat="1" applyFont="1" applyFill="1" applyBorder="1" applyAlignment="1">
      <alignment horizontal="center" vertical="center" wrapText="1" readingOrder="2"/>
    </xf>
    <xf numFmtId="169" fontId="41" fillId="0" borderId="4" xfId="70" applyNumberFormat="1" applyFont="1" applyBorder="1" applyAlignment="1">
      <alignment horizontal="center" vertical="center" wrapText="1" readingOrder="2"/>
    </xf>
    <xf numFmtId="169" fontId="37" fillId="0" borderId="4" xfId="105" applyNumberFormat="1" applyFont="1" applyBorder="1" applyAlignment="1">
      <alignment horizontal="center" vertical="center"/>
    </xf>
    <xf numFmtId="169" fontId="49" fillId="0" borderId="0" xfId="70" applyNumberFormat="1" applyFont="1" applyAlignment="1">
      <alignment horizontal="right" vertical="center" readingOrder="2"/>
    </xf>
    <xf numFmtId="169" fontId="37" fillId="0" borderId="4" xfId="70" applyNumberFormat="1" applyFont="1" applyBorder="1" applyAlignment="1">
      <alignment horizontal="center" vertical="center" shrinkToFit="1"/>
    </xf>
    <xf numFmtId="169" fontId="37" fillId="0" borderId="4" xfId="0" applyNumberFormat="1" applyFont="1" applyBorder="1" applyAlignment="1">
      <alignment horizontal="center" vertical="center" shrinkToFit="1"/>
    </xf>
    <xf numFmtId="169" fontId="37" fillId="2" borderId="4" xfId="105" applyNumberFormat="1" applyFont="1" applyFill="1" applyBorder="1" applyAlignment="1">
      <alignment horizontal="center" vertical="center"/>
    </xf>
    <xf numFmtId="169" fontId="41" fillId="0" borderId="9" xfId="111" applyNumberFormat="1" applyFont="1" applyBorder="1" applyAlignment="1">
      <alignment horizontal="center" vertical="center"/>
    </xf>
    <xf numFmtId="169" fontId="37" fillId="2" borderId="4" xfId="0" applyNumberFormat="1" applyFont="1" applyFill="1" applyBorder="1" applyAlignment="1">
      <alignment horizontal="center" shrinkToFit="1"/>
    </xf>
    <xf numFmtId="169" fontId="41" fillId="2" borderId="9" xfId="70" applyNumberFormat="1" applyFont="1" applyFill="1" applyBorder="1" applyAlignment="1">
      <alignment horizontal="center" vertical="center" shrinkToFit="1"/>
    </xf>
    <xf numFmtId="169" fontId="41" fillId="0" borderId="0" xfId="109" applyNumberFormat="1" applyFont="1" applyAlignment="1">
      <alignment horizontal="center" vertical="center" shrinkToFit="1"/>
    </xf>
    <xf numFmtId="0" fontId="33" fillId="2" borderId="4" xfId="0" applyFont="1" applyFill="1" applyBorder="1"/>
    <xf numFmtId="169" fontId="37" fillId="2" borderId="4" xfId="105" applyNumberFormat="1" applyFont="1" applyFill="1" applyBorder="1" applyAlignment="1">
      <alignment horizontal="center" vertical="center" shrinkToFit="1"/>
    </xf>
    <xf numFmtId="169" fontId="41" fillId="0" borderId="1" xfId="70" applyNumberFormat="1" applyFont="1" applyBorder="1" applyAlignment="1">
      <alignment horizontal="left" vertical="center" shrinkToFit="1"/>
    </xf>
    <xf numFmtId="169" fontId="38" fillId="0" borderId="0" xfId="70" applyNumberFormat="1" applyFont="1" applyAlignment="1">
      <alignment horizontal="right" shrinkToFit="1" readingOrder="2"/>
    </xf>
    <xf numFmtId="169" fontId="49" fillId="0" borderId="0" xfId="70" applyNumberFormat="1" applyFont="1" applyAlignment="1">
      <alignment horizontal="center" vertical="center" readingOrder="2"/>
    </xf>
    <xf numFmtId="0" fontId="35" fillId="0" borderId="0" xfId="77" applyFont="1" applyAlignment="1">
      <alignment horizontal="right"/>
    </xf>
    <xf numFmtId="169" fontId="129" fillId="0" borderId="0" xfId="0" applyNumberFormat="1" applyFont="1" applyFill="1" applyAlignment="1">
      <alignment horizontal="center" vertical="center" shrinkToFit="1"/>
    </xf>
    <xf numFmtId="169" fontId="92" fillId="0" borderId="36" xfId="0" applyNumberFormat="1" applyFont="1" applyFill="1" applyBorder="1" applyAlignment="1">
      <alignment horizontal="center" vertical="center" shrinkToFit="1"/>
    </xf>
    <xf numFmtId="169" fontId="92" fillId="0" borderId="48" xfId="0" applyNumberFormat="1" applyFont="1" applyFill="1" applyBorder="1" applyAlignment="1">
      <alignment horizontal="center" vertical="center" shrinkToFit="1"/>
    </xf>
    <xf numFmtId="169" fontId="130" fillId="0" borderId="15" xfId="0" applyNumberFormat="1" applyFont="1" applyFill="1" applyBorder="1" applyAlignment="1">
      <alignment horizontal="center" vertical="center" textRotation="90" shrinkToFit="1"/>
    </xf>
    <xf numFmtId="169" fontId="130" fillId="0" borderId="16" xfId="0" applyNumberFormat="1" applyFont="1" applyFill="1" applyBorder="1" applyAlignment="1">
      <alignment horizontal="center" vertical="center" textRotation="90" shrinkToFit="1"/>
    </xf>
    <xf numFmtId="169" fontId="92" fillId="0" borderId="21" xfId="0" applyNumberFormat="1" applyFont="1" applyFill="1" applyBorder="1" applyAlignment="1">
      <alignment horizontal="center" vertical="center" shrinkToFit="1"/>
    </xf>
    <xf numFmtId="0" fontId="129" fillId="0" borderId="32" xfId="0" applyFont="1" applyFill="1" applyBorder="1" applyAlignment="1">
      <alignment horizontal="center" vertical="center"/>
    </xf>
    <xf numFmtId="169" fontId="129" fillId="0" borderId="24" xfId="0" applyNumberFormat="1" applyFont="1" applyFill="1" applyBorder="1" applyAlignment="1">
      <alignment horizontal="center" vertical="center" shrinkToFit="1" readingOrder="2"/>
    </xf>
    <xf numFmtId="169" fontId="129" fillId="0" borderId="27" xfId="0" applyNumberFormat="1" applyFont="1" applyFill="1" applyBorder="1" applyAlignment="1">
      <alignment horizontal="center" vertical="center" shrinkToFit="1" readingOrder="2"/>
    </xf>
    <xf numFmtId="169" fontId="132" fillId="0" borderId="50" xfId="0" applyNumberFormat="1" applyFont="1" applyFill="1" applyBorder="1" applyAlignment="1">
      <alignment horizontal="center" vertical="center" shrinkToFit="1"/>
    </xf>
    <xf numFmtId="169" fontId="92" fillId="0" borderId="46" xfId="0" applyNumberFormat="1" applyFont="1" applyFill="1" applyBorder="1" applyAlignment="1">
      <alignment horizontal="center" vertical="center" shrinkToFit="1"/>
    </xf>
    <xf numFmtId="169" fontId="92" fillId="0" borderId="11" xfId="0" applyNumberFormat="1" applyFont="1" applyFill="1" applyBorder="1" applyAlignment="1">
      <alignment horizontal="center" vertical="center" shrinkToFit="1"/>
    </xf>
    <xf numFmtId="0" fontId="129" fillId="0" borderId="0" xfId="95" applyFont="1" applyFill="1" applyAlignment="1">
      <alignment horizontal="right" vertical="center" indent="1" readingOrder="2"/>
    </xf>
    <xf numFmtId="0" fontId="115" fillId="0" borderId="16" xfId="74" applyFont="1" applyFill="1" applyBorder="1" applyAlignment="1">
      <alignment horizontal="center" vertical="center" shrinkToFit="1"/>
    </xf>
    <xf numFmtId="0" fontId="115" fillId="0" borderId="27" xfId="74" applyFont="1" applyFill="1" applyBorder="1" applyAlignment="1">
      <alignment horizontal="center" vertical="center" shrinkToFit="1"/>
    </xf>
    <xf numFmtId="169" fontId="129" fillId="0" borderId="0" xfId="70" applyNumberFormat="1" applyFont="1" applyFill="1" applyAlignment="1">
      <alignment horizontal="center" vertical="center" readingOrder="2"/>
    </xf>
    <xf numFmtId="0" fontId="129" fillId="0" borderId="0" xfId="95" applyFont="1" applyFill="1" applyAlignment="1">
      <alignment horizontal="right" vertical="center" readingOrder="2"/>
    </xf>
    <xf numFmtId="0" fontId="132" fillId="0" borderId="32" xfId="0" applyFont="1" applyFill="1" applyBorder="1" applyAlignment="1">
      <alignment horizontal="center" vertical="center"/>
    </xf>
    <xf numFmtId="169" fontId="137" fillId="0" borderId="15" xfId="0" applyNumberFormat="1" applyFont="1" applyFill="1" applyBorder="1" applyAlignment="1">
      <alignment horizontal="center" vertical="center"/>
    </xf>
    <xf numFmtId="169" fontId="137" fillId="0" borderId="4" xfId="90" applyNumberFormat="1" applyFont="1" applyFill="1" applyBorder="1" applyAlignment="1">
      <alignment horizontal="center" vertical="center" wrapText="1"/>
    </xf>
    <xf numFmtId="0" fontId="129" fillId="0" borderId="16" xfId="0" applyFont="1" applyFill="1" applyBorder="1" applyAlignment="1">
      <alignment horizontal="center" vertical="center"/>
    </xf>
    <xf numFmtId="0" fontId="129" fillId="0" borderId="27" xfId="0" applyFont="1" applyFill="1" applyBorder="1" applyAlignment="1">
      <alignment horizontal="center" vertical="center"/>
    </xf>
    <xf numFmtId="169" fontId="129" fillId="0" borderId="42" xfId="0" applyNumberFormat="1" applyFont="1" applyFill="1" applyBorder="1" applyAlignment="1">
      <alignment horizontal="center" vertical="center" shrinkToFit="1"/>
    </xf>
    <xf numFmtId="169" fontId="129" fillId="0" borderId="28" xfId="0" applyNumberFormat="1" applyFont="1" applyFill="1" applyBorder="1" applyAlignment="1">
      <alignment horizontal="center" vertical="center" shrinkToFit="1"/>
    </xf>
    <xf numFmtId="169" fontId="129" fillId="0" borderId="23" xfId="0" applyNumberFormat="1" applyFont="1" applyFill="1" applyBorder="1" applyAlignment="1">
      <alignment horizontal="center" vertical="center" shrinkToFit="1"/>
    </xf>
    <xf numFmtId="3" fontId="129" fillId="0" borderId="27" xfId="0" applyNumberFormat="1" applyFont="1" applyFill="1" applyBorder="1" applyAlignment="1">
      <alignment horizontal="center" vertical="center" shrinkToFit="1"/>
    </xf>
    <xf numFmtId="3" fontId="129" fillId="0" borderId="15" xfId="0" applyNumberFormat="1" applyFont="1" applyFill="1" applyBorder="1" applyAlignment="1">
      <alignment horizontal="center" vertical="center" shrinkToFit="1"/>
    </xf>
    <xf numFmtId="169" fontId="129" fillId="0" borderId="16" xfId="0" applyNumberFormat="1" applyFont="1" applyFill="1" applyBorder="1" applyAlignment="1">
      <alignment horizontal="center" vertical="center" shrinkToFit="1" readingOrder="2"/>
    </xf>
    <xf numFmtId="169" fontId="92" fillId="0" borderId="0" xfId="90" applyNumberFormat="1" applyFont="1" applyFill="1" applyBorder="1" applyAlignment="1">
      <alignment horizontal="center" vertical="center"/>
    </xf>
    <xf numFmtId="169" fontId="137" fillId="0" borderId="15" xfId="90" applyNumberFormat="1" applyFont="1" applyFill="1" applyBorder="1" applyAlignment="1">
      <alignment horizontal="center" vertical="center" wrapText="1"/>
    </xf>
    <xf numFmtId="169" fontId="137" fillId="0" borderId="6" xfId="90" applyNumberFormat="1" applyFont="1" applyFill="1" applyBorder="1" applyAlignment="1">
      <alignment horizontal="center" vertical="center" wrapText="1" shrinkToFit="1"/>
    </xf>
    <xf numFmtId="169" fontId="137" fillId="0" borderId="5" xfId="90" applyNumberFormat="1" applyFont="1" applyFill="1" applyBorder="1" applyAlignment="1">
      <alignment horizontal="center" vertical="center" wrapText="1"/>
    </xf>
    <xf numFmtId="169" fontId="137" fillId="0" borderId="8" xfId="90" applyNumberFormat="1" applyFont="1" applyFill="1" applyBorder="1" applyAlignment="1">
      <alignment horizontal="center" vertical="center" wrapText="1"/>
    </xf>
    <xf numFmtId="169" fontId="129" fillId="0" borderId="15" xfId="0" applyNumberFormat="1" applyFont="1" applyFill="1" applyBorder="1" applyAlignment="1">
      <alignment horizontal="center" vertical="center" shrinkToFit="1"/>
    </xf>
    <xf numFmtId="169" fontId="130" fillId="0" borderId="7" xfId="0" applyNumberFormat="1" applyFont="1" applyFill="1" applyBorder="1" applyAlignment="1">
      <alignment horizontal="center" vertical="center" shrinkToFit="1"/>
    </xf>
    <xf numFmtId="169" fontId="130" fillId="0" borderId="19" xfId="0" applyNumberFormat="1" applyFont="1" applyFill="1" applyBorder="1" applyAlignment="1">
      <alignment horizontal="center" vertical="center" shrinkToFit="1"/>
    </xf>
    <xf numFmtId="49" fontId="93" fillId="0" borderId="68" xfId="0" applyNumberFormat="1" applyFont="1" applyFill="1" applyBorder="1" applyAlignment="1">
      <alignment horizontal="center" vertical="center" shrinkToFit="1"/>
    </xf>
    <xf numFmtId="49" fontId="93" fillId="0" borderId="89" xfId="0" applyNumberFormat="1" applyFont="1" applyFill="1" applyBorder="1" applyAlignment="1">
      <alignment horizontal="center" vertical="center" shrinkToFit="1"/>
    </xf>
    <xf numFmtId="169" fontId="129" fillId="0" borderId="26" xfId="0" applyNumberFormat="1" applyFont="1" applyFill="1" applyBorder="1" applyAlignment="1">
      <alignment horizontal="center" vertical="center" textRotation="90"/>
    </xf>
    <xf numFmtId="169" fontId="129" fillId="0" borderId="41" xfId="0" applyNumberFormat="1" applyFont="1" applyFill="1" applyBorder="1" applyAlignment="1">
      <alignment horizontal="center" vertical="center" textRotation="90"/>
    </xf>
    <xf numFmtId="169" fontId="129" fillId="0" borderId="30" xfId="0" applyNumberFormat="1" applyFont="1" applyFill="1" applyBorder="1" applyAlignment="1">
      <alignment horizontal="center" vertical="center" textRotation="90"/>
    </xf>
    <xf numFmtId="169" fontId="129" fillId="0" borderId="75" xfId="0" applyNumberFormat="1" applyFont="1" applyFill="1" applyBorder="1" applyAlignment="1">
      <alignment horizontal="center" vertical="center" textRotation="90"/>
    </xf>
    <xf numFmtId="169" fontId="129" fillId="0" borderId="42" xfId="0" applyNumberFormat="1" applyFont="1" applyFill="1" applyBorder="1" applyAlignment="1">
      <alignment horizontal="center" vertical="center" textRotation="90"/>
    </xf>
    <xf numFmtId="169" fontId="129" fillId="0" borderId="29" xfId="0" applyNumberFormat="1" applyFont="1" applyFill="1" applyBorder="1" applyAlignment="1">
      <alignment horizontal="center" vertical="center" shrinkToFit="1"/>
    </xf>
    <xf numFmtId="3" fontId="129" fillId="0" borderId="0" xfId="0" applyNumberFormat="1" applyFont="1" applyFill="1" applyAlignment="1">
      <alignment horizontal="center" vertical="center" textRotation="1"/>
    </xf>
    <xf numFmtId="169" fontId="129" fillId="0" borderId="15" xfId="0" applyNumberFormat="1" applyFont="1" applyFill="1" applyBorder="1" applyAlignment="1">
      <alignment horizontal="center" vertical="center" textRotation="90"/>
    </xf>
    <xf numFmtId="169" fontId="92" fillId="0" borderId="1" xfId="90" applyNumberFormat="1" applyFont="1" applyFill="1" applyBorder="1" applyAlignment="1">
      <alignment horizontal="center" vertical="center"/>
    </xf>
    <xf numFmtId="49" fontId="129" fillId="0" borderId="0" xfId="95" applyNumberFormat="1" applyFont="1" applyFill="1" applyAlignment="1">
      <alignment horizontal="right" vertical="center" readingOrder="2"/>
    </xf>
    <xf numFmtId="49" fontId="93" fillId="0" borderId="24" xfId="0" applyNumberFormat="1" applyFont="1" applyFill="1" applyBorder="1" applyAlignment="1">
      <alignment horizontal="center" vertical="center" shrinkToFit="1"/>
    </xf>
    <xf numFmtId="49" fontId="93" fillId="0" borderId="27" xfId="0" applyNumberFormat="1" applyFont="1" applyFill="1" applyBorder="1" applyAlignment="1">
      <alignment horizontal="center" vertical="center" shrinkToFit="1"/>
    </xf>
    <xf numFmtId="169" fontId="133" fillId="0" borderId="0" xfId="90" applyNumberFormat="1" applyFont="1" applyFill="1" applyBorder="1" applyAlignment="1">
      <alignment horizontal="center" vertical="center"/>
    </xf>
    <xf numFmtId="169" fontId="59" fillId="0" borderId="1" xfId="90" applyNumberFormat="1" applyFont="1" applyBorder="1" applyAlignment="1">
      <alignment horizontal="center" vertical="center"/>
    </xf>
    <xf numFmtId="169" fontId="51" fillId="0" borderId="4" xfId="90" applyNumberFormat="1" applyFont="1" applyBorder="1" applyAlignment="1">
      <alignment horizontal="center" vertical="center" wrapText="1"/>
    </xf>
    <xf numFmtId="0" fontId="112" fillId="0" borderId="0" xfId="95" applyFont="1" applyAlignment="1">
      <alignment horizontal="right" vertical="center" readingOrder="2"/>
    </xf>
    <xf numFmtId="169" fontId="59" fillId="0" borderId="4" xfId="90" applyNumberFormat="1" applyFont="1" applyBorder="1" applyAlignment="1">
      <alignment horizontal="center" vertical="center" wrapText="1"/>
    </xf>
    <xf numFmtId="169" fontId="139" fillId="0" borderId="50" xfId="0" applyNumberFormat="1" applyFont="1" applyBorder="1" applyAlignment="1">
      <alignment horizontal="center" vertical="center" shrinkToFit="1"/>
    </xf>
    <xf numFmtId="169" fontId="52" fillId="0" borderId="0" xfId="70" applyNumberFormat="1" applyFont="1" applyAlignment="1">
      <alignment horizontal="center" vertical="center" readingOrder="2"/>
    </xf>
    <xf numFmtId="0" fontId="52" fillId="0" borderId="0" xfId="95" applyFont="1" applyAlignment="1">
      <alignment horizontal="right" vertical="center" readingOrder="2"/>
    </xf>
    <xf numFmtId="3" fontId="58" fillId="0" borderId="0" xfId="0" applyNumberFormat="1" applyFont="1" applyAlignment="1">
      <alignment horizontal="center" vertical="center"/>
    </xf>
    <xf numFmtId="169" fontId="51" fillId="0" borderId="6" xfId="90" applyNumberFormat="1" applyFont="1" applyBorder="1" applyAlignment="1">
      <alignment horizontal="center" vertical="center" wrapText="1"/>
    </xf>
    <xf numFmtId="169" fontId="49" fillId="0" borderId="4" xfId="90" applyNumberFormat="1" applyFont="1" applyBorder="1" applyAlignment="1">
      <alignment horizontal="center" vertical="center" wrapText="1"/>
    </xf>
    <xf numFmtId="169" fontId="51" fillId="0" borderId="0" xfId="0" applyNumberFormat="1" applyFont="1" applyAlignment="1">
      <alignment horizontal="center" vertical="center" shrinkToFit="1"/>
    </xf>
    <xf numFmtId="169" fontId="59" fillId="0" borderId="5" xfId="90" applyNumberFormat="1" applyFont="1" applyBorder="1" applyAlignment="1">
      <alignment horizontal="center" vertical="center" wrapText="1"/>
    </xf>
    <xf numFmtId="169" fontId="59" fillId="0" borderId="15" xfId="90" applyNumberFormat="1" applyFont="1" applyBorder="1" applyAlignment="1">
      <alignment horizontal="center" vertical="center" wrapText="1"/>
    </xf>
    <xf numFmtId="169" fontId="51" fillId="0" borderId="5" xfId="90" applyNumberFormat="1" applyFont="1" applyBorder="1" applyAlignment="1">
      <alignment horizontal="center" vertical="center" wrapText="1"/>
    </xf>
    <xf numFmtId="169" fontId="51" fillId="0" borderId="2" xfId="90" applyNumberFormat="1" applyFont="1" applyBorder="1" applyAlignment="1">
      <alignment horizontal="center" vertical="center" wrapText="1"/>
    </xf>
    <xf numFmtId="49" fontId="42" fillId="0" borderId="0" xfId="0" applyNumberFormat="1" applyFont="1" applyAlignment="1">
      <alignment horizontal="center" vertical="center"/>
    </xf>
    <xf numFmtId="0" fontId="33" fillId="0" borderId="0" xfId="0" applyFont="1"/>
    <xf numFmtId="171" fontId="37" fillId="0" borderId="1" xfId="1" applyNumberFormat="1" applyFont="1" applyFill="1" applyBorder="1" applyAlignment="1">
      <alignment horizontal="center" vertical="center"/>
    </xf>
    <xf numFmtId="49" fontId="42" fillId="0" borderId="4" xfId="95" applyNumberFormat="1" applyFont="1" applyBorder="1" applyAlignment="1">
      <alignment horizontal="center" vertical="center"/>
    </xf>
    <xf numFmtId="171" fontId="42" fillId="0" borderId="4" xfId="1" applyNumberFormat="1" applyFont="1" applyFill="1" applyBorder="1" applyAlignment="1">
      <alignment horizontal="center" vertical="center"/>
    </xf>
    <xf numFmtId="171" fontId="42" fillId="0" borderId="8" xfId="1" applyNumberFormat="1" applyFont="1" applyFill="1" applyBorder="1" applyAlignment="1">
      <alignment horizontal="center" vertical="center"/>
    </xf>
    <xf numFmtId="0" fontId="47" fillId="7" borderId="15" xfId="74" applyFont="1" applyFill="1" applyBorder="1" applyAlignment="1">
      <alignment horizontal="center" vertical="center" textRotation="90"/>
    </xf>
    <xf numFmtId="0" fontId="33" fillId="7" borderId="15" xfId="74" applyFont="1" applyFill="1" applyBorder="1" applyAlignment="1">
      <alignment horizontal="right" vertical="center" shrinkToFit="1"/>
    </xf>
    <xf numFmtId="0" fontId="47" fillId="7" borderId="15" xfId="74" applyFont="1" applyFill="1" applyBorder="1" applyAlignment="1">
      <alignment horizontal="right" vertical="center" shrinkToFit="1"/>
    </xf>
    <xf numFmtId="170" fontId="47" fillId="7" borderId="15" xfId="74" applyNumberFormat="1" applyFont="1" applyFill="1" applyBorder="1" applyAlignment="1">
      <alignment horizontal="center" vertical="center" shrinkToFit="1"/>
    </xf>
    <xf numFmtId="0" fontId="47" fillId="7" borderId="15" xfId="74" applyFont="1" applyFill="1" applyBorder="1" applyAlignment="1">
      <alignment horizontal="center" vertical="center" shrinkToFit="1"/>
    </xf>
    <xf numFmtId="0" fontId="47" fillId="7" borderId="26" xfId="74" applyFont="1" applyFill="1" applyBorder="1" applyAlignment="1">
      <alignment horizontal="center" vertical="center" textRotation="90" shrinkToFit="1"/>
    </xf>
    <xf numFmtId="170" fontId="44" fillId="0" borderId="100" xfId="74" applyNumberFormat="1" applyFont="1" applyFill="1" applyBorder="1" applyAlignment="1">
      <alignment horizontal="center" vertical="center" wrapText="1" shrinkToFit="1"/>
    </xf>
    <xf numFmtId="170" fontId="44" fillId="0" borderId="105" xfId="74" applyNumberFormat="1" applyFont="1" applyFill="1" applyBorder="1" applyAlignment="1">
      <alignment horizontal="center" vertical="center" wrapText="1" shrinkToFit="1"/>
    </xf>
    <xf numFmtId="0" fontId="44" fillId="0" borderId="99" xfId="74" applyFont="1" applyFill="1" applyBorder="1" applyAlignment="1">
      <alignment horizontal="center" vertical="center" wrapText="1" shrinkToFit="1"/>
    </xf>
    <xf numFmtId="0" fontId="44" fillId="0" borderId="106" xfId="74" applyFont="1" applyFill="1" applyBorder="1" applyAlignment="1">
      <alignment horizontal="center" vertical="center" wrapText="1" shrinkToFit="1"/>
    </xf>
    <xf numFmtId="0" fontId="44" fillId="0" borderId="26" xfId="74" applyFont="1" applyFill="1" applyBorder="1" applyAlignment="1">
      <alignment horizontal="center" vertical="center" wrapText="1" shrinkToFit="1"/>
    </xf>
    <xf numFmtId="0" fontId="44" fillId="0" borderId="29" xfId="74" applyFont="1" applyFill="1" applyBorder="1" applyAlignment="1">
      <alignment horizontal="center" vertical="center" wrapText="1" shrinkToFit="1"/>
    </xf>
    <xf numFmtId="170" fontId="44" fillId="0" borderId="30" xfId="74" applyNumberFormat="1" applyFont="1" applyFill="1" applyBorder="1" applyAlignment="1">
      <alignment horizontal="center" vertical="center" wrapText="1" shrinkToFit="1"/>
    </xf>
    <xf numFmtId="170" fontId="44" fillId="0" borderId="32" xfId="74" applyNumberFormat="1" applyFont="1" applyFill="1" applyBorder="1" applyAlignment="1">
      <alignment horizontal="center" vertical="center" wrapText="1" shrinkToFit="1"/>
    </xf>
    <xf numFmtId="170" fontId="44" fillId="0" borderId="102" xfId="74" applyNumberFormat="1" applyFont="1" applyFill="1" applyBorder="1" applyAlignment="1">
      <alignment horizontal="center" vertical="center" wrapText="1" shrinkToFit="1"/>
    </xf>
    <xf numFmtId="170" fontId="44" fillId="0" borderId="101" xfId="74" applyNumberFormat="1" applyFont="1" applyFill="1" applyBorder="1" applyAlignment="1">
      <alignment horizontal="center" vertical="center" wrapText="1" shrinkToFit="1"/>
    </xf>
    <xf numFmtId="170" fontId="44" fillId="0" borderId="65" xfId="74" applyNumberFormat="1" applyFont="1" applyFill="1" applyBorder="1" applyAlignment="1">
      <alignment horizontal="center" vertical="center" wrapText="1" shrinkToFit="1"/>
    </xf>
    <xf numFmtId="170" fontId="44" fillId="0" borderId="26" xfId="74" applyNumberFormat="1" applyFont="1" applyFill="1" applyBorder="1" applyAlignment="1">
      <alignment horizontal="center" vertical="center" wrapText="1" shrinkToFit="1"/>
    </xf>
    <xf numFmtId="170" fontId="44" fillId="0" borderId="29" xfId="74" applyNumberFormat="1" applyFont="1" applyFill="1" applyBorder="1" applyAlignment="1">
      <alignment horizontal="center" vertical="center" wrapText="1" shrinkToFit="1"/>
    </xf>
    <xf numFmtId="0" fontId="44" fillId="0" borderId="1" xfId="0" applyFont="1" applyFill="1" applyBorder="1" applyAlignment="1">
      <alignment vertical="center" shrinkToFit="1"/>
    </xf>
    <xf numFmtId="0" fontId="44" fillId="0" borderId="14" xfId="0" applyFont="1" applyFill="1" applyBorder="1" applyAlignment="1">
      <alignment vertical="center" shrinkToFit="1"/>
    </xf>
    <xf numFmtId="0" fontId="44" fillId="0" borderId="16" xfId="0" applyFont="1" applyFill="1" applyBorder="1" applyAlignment="1">
      <alignment horizontal="center" vertical="center" shrinkToFit="1"/>
    </xf>
    <xf numFmtId="0" fontId="44" fillId="0" borderId="24" xfId="0" applyFont="1" applyFill="1" applyBorder="1" applyAlignment="1">
      <alignment horizontal="center" vertical="center" shrinkToFit="1"/>
    </xf>
    <xf numFmtId="0" fontId="44" fillId="0" borderId="27" xfId="0" applyFont="1" applyFill="1" applyBorder="1" applyAlignment="1">
      <alignment horizontal="center" vertical="center" shrinkToFit="1"/>
    </xf>
    <xf numFmtId="170" fontId="44" fillId="0" borderId="108" xfId="74" applyNumberFormat="1" applyFont="1" applyFill="1" applyBorder="1" applyAlignment="1">
      <alignment horizontal="center" vertical="center" wrapText="1" shrinkToFit="1"/>
    </xf>
    <xf numFmtId="0" fontId="44" fillId="0" borderId="109" xfId="74" applyFont="1" applyFill="1" applyBorder="1" applyAlignment="1">
      <alignment horizontal="center" vertical="center" wrapText="1" shrinkToFit="1"/>
    </xf>
    <xf numFmtId="170" fontId="44" fillId="0" borderId="49" xfId="74" applyNumberFormat="1" applyFont="1" applyFill="1" applyBorder="1" applyAlignment="1">
      <alignment horizontal="center" vertical="center" wrapText="1" shrinkToFit="1"/>
    </xf>
    <xf numFmtId="170" fontId="44" fillId="0" borderId="31" xfId="74" applyNumberFormat="1" applyFont="1" applyFill="1" applyBorder="1" applyAlignment="1">
      <alignment horizontal="center" vertical="center" wrapText="1" shrinkToFit="1"/>
    </xf>
    <xf numFmtId="0" fontId="44" fillId="0" borderId="110" xfId="0" applyFont="1" applyFill="1" applyBorder="1" applyAlignment="1">
      <alignment vertical="center" shrinkToFit="1"/>
    </xf>
    <xf numFmtId="0" fontId="44" fillId="0" borderId="42" xfId="74" applyFont="1" applyFill="1" applyBorder="1" applyAlignment="1">
      <alignment horizontal="center" shrinkToFit="1"/>
    </xf>
    <xf numFmtId="0" fontId="44" fillId="0" borderId="28" xfId="74" applyFont="1" applyFill="1" applyBorder="1" applyAlignment="1">
      <alignment horizontal="center" shrinkToFit="1"/>
    </xf>
    <xf numFmtId="0" fontId="44" fillId="0" borderId="23" xfId="74" applyFont="1" applyFill="1" applyBorder="1" applyAlignment="1">
      <alignment horizontal="center" shrinkToFit="1"/>
    </xf>
    <xf numFmtId="0" fontId="73" fillId="4" borderId="0" xfId="74" applyFont="1" applyFill="1" applyBorder="1" applyAlignment="1">
      <alignment horizontal="center" shrinkToFit="1"/>
    </xf>
    <xf numFmtId="0" fontId="119" fillId="4" borderId="15" xfId="74" applyFont="1" applyFill="1" applyBorder="1" applyAlignment="1">
      <alignment horizontal="center" vertical="center" shrinkToFit="1"/>
    </xf>
    <xf numFmtId="0" fontId="37" fillId="4" borderId="15" xfId="0" applyFont="1" applyFill="1" applyBorder="1" applyAlignment="1">
      <alignment horizontal="right" vertical="center" shrinkToFit="1"/>
    </xf>
    <xf numFmtId="49" fontId="37" fillId="4" borderId="15" xfId="0" applyNumberFormat="1" applyFont="1" applyFill="1" applyBorder="1" applyAlignment="1">
      <alignment horizontal="center" vertical="center" shrinkToFit="1"/>
    </xf>
    <xf numFmtId="0" fontId="33" fillId="4" borderId="0" xfId="74" applyFont="1" applyFill="1"/>
    <xf numFmtId="49" fontId="33" fillId="4" borderId="0" xfId="74" applyNumberFormat="1" applyFont="1" applyFill="1"/>
    <xf numFmtId="0" fontId="37" fillId="4" borderId="27" xfId="74" applyFont="1" applyFill="1" applyBorder="1" applyAlignment="1">
      <alignment horizontal="right" vertical="center" shrinkToFit="1"/>
    </xf>
    <xf numFmtId="0" fontId="33" fillId="4" borderId="0" xfId="74" applyFont="1" applyFill="1" applyBorder="1" applyAlignment="1">
      <alignment horizontal="center" shrinkToFit="1"/>
    </xf>
    <xf numFmtId="49" fontId="42" fillId="4" borderId="15" xfId="0" applyNumberFormat="1" applyFont="1" applyFill="1" applyBorder="1" applyAlignment="1">
      <alignment horizontal="center" vertical="center" shrinkToFit="1"/>
    </xf>
    <xf numFmtId="0" fontId="119" fillId="4" borderId="0" xfId="74" applyFont="1" applyFill="1" applyBorder="1" applyAlignment="1">
      <alignment horizontal="center" shrinkToFit="1"/>
    </xf>
    <xf numFmtId="0" fontId="42" fillId="4" borderId="0" xfId="74" applyFont="1" applyFill="1" applyBorder="1" applyAlignment="1">
      <alignment horizontal="center" vertical="center" shrinkToFit="1"/>
    </xf>
    <xf numFmtId="0" fontId="37" fillId="4" borderId="0" xfId="74" applyFont="1" applyFill="1" applyBorder="1" applyAlignment="1">
      <alignment horizontal="center" vertical="center" shrinkToFit="1"/>
    </xf>
    <xf numFmtId="0" fontId="37" fillId="4" borderId="0" xfId="0" applyFont="1" applyFill="1" applyAlignment="1">
      <alignment horizontal="right" shrinkToFit="1"/>
    </xf>
    <xf numFmtId="49" fontId="37" fillId="4" borderId="0" xfId="0" applyNumberFormat="1" applyFont="1" applyFill="1" applyAlignment="1">
      <alignment horizontal="center" shrinkToFit="1"/>
    </xf>
    <xf numFmtId="0" fontId="33" fillId="4" borderId="0" xfId="74" applyFont="1" applyFill="1" applyAlignment="1">
      <alignment shrinkToFit="1"/>
    </xf>
    <xf numFmtId="0" fontId="42" fillId="4" borderId="0" xfId="74" applyFont="1" applyFill="1" applyAlignment="1">
      <alignment horizontal="center"/>
    </xf>
    <xf numFmtId="0" fontId="41" fillId="4" borderId="0" xfId="74" applyFont="1" applyFill="1" applyAlignment="1">
      <alignment horizontal="center" readingOrder="2"/>
    </xf>
    <xf numFmtId="0" fontId="41" fillId="4" borderId="0" xfId="74" applyFont="1" applyFill="1" applyAlignment="1">
      <alignment horizontal="center" vertical="center" readingOrder="2"/>
    </xf>
    <xf numFmtId="0" fontId="41" fillId="4" borderId="0" xfId="74" applyFont="1" applyFill="1" applyAlignment="1">
      <alignment horizontal="center" shrinkToFit="1" readingOrder="2"/>
    </xf>
    <xf numFmtId="0" fontId="33" fillId="4" borderId="0" xfId="74" applyFont="1" applyFill="1" applyAlignment="1">
      <alignment horizontal="center" shrinkToFit="1"/>
    </xf>
    <xf numFmtId="0" fontId="42" fillId="4" borderId="28" xfId="74" applyFont="1" applyFill="1" applyBorder="1" applyAlignment="1">
      <alignment horizontal="right" shrinkToFit="1"/>
    </xf>
    <xf numFmtId="0" fontId="42" fillId="4" borderId="26" xfId="74" applyFont="1" applyFill="1" applyBorder="1" applyAlignment="1">
      <alignment horizontal="center" vertical="center" shrinkToFit="1"/>
    </xf>
    <xf numFmtId="0" fontId="44" fillId="4" borderId="15" xfId="0" applyFont="1" applyFill="1" applyBorder="1" applyAlignment="1">
      <alignment horizontal="center" vertical="center" wrapText="1" shrinkToFit="1"/>
    </xf>
    <xf numFmtId="0" fontId="42" fillId="4" borderId="15" xfId="0" applyFont="1" applyFill="1" applyBorder="1" applyAlignment="1">
      <alignment horizontal="center" vertical="center" wrapText="1" shrinkToFit="1"/>
    </xf>
    <xf numFmtId="0" fontId="42" fillId="4" borderId="29" xfId="74" applyFont="1" applyFill="1" applyBorder="1" applyAlignment="1">
      <alignment horizontal="center" vertical="center" shrinkToFit="1"/>
    </xf>
    <xf numFmtId="0" fontId="42" fillId="4" borderId="15" xfId="0" applyFont="1" applyFill="1" applyBorder="1" applyAlignment="1">
      <alignment horizontal="center" vertical="center" wrapText="1" shrinkToFit="1"/>
    </xf>
    <xf numFmtId="0" fontId="33" fillId="4" borderId="15" xfId="74" applyFont="1" applyFill="1" applyBorder="1" applyAlignment="1">
      <alignment horizontal="center" vertical="center" shrinkToFit="1"/>
    </xf>
    <xf numFmtId="0" fontId="73" fillId="8" borderId="0" xfId="74" applyFont="1" applyFill="1" applyBorder="1" applyAlignment="1">
      <alignment horizontal="center" shrinkToFit="1"/>
    </xf>
    <xf numFmtId="0" fontId="119" fillId="8" borderId="15" xfId="74" applyFont="1" applyFill="1" applyBorder="1" applyAlignment="1">
      <alignment horizontal="center" vertical="center" shrinkToFit="1"/>
    </xf>
    <xf numFmtId="0" fontId="42" fillId="8" borderId="15" xfId="74" applyFont="1" applyFill="1" applyBorder="1" applyAlignment="1">
      <alignment horizontal="center" vertical="center" shrinkToFit="1"/>
    </xf>
    <xf numFmtId="0" fontId="37" fillId="8" borderId="27" xfId="74" applyFont="1" applyFill="1" applyBorder="1" applyAlignment="1">
      <alignment horizontal="right" vertical="center" shrinkToFit="1"/>
    </xf>
    <xf numFmtId="0" fontId="37" fillId="8" borderId="15" xfId="0" applyFont="1" applyFill="1" applyBorder="1" applyAlignment="1">
      <alignment horizontal="right" vertical="center" shrinkToFit="1"/>
    </xf>
    <xf numFmtId="49" fontId="37" fillId="8" borderId="15" xfId="0" applyNumberFormat="1" applyFont="1" applyFill="1" applyBorder="1" applyAlignment="1">
      <alignment horizontal="center" vertical="center" shrinkToFit="1"/>
    </xf>
    <xf numFmtId="0" fontId="33" fillId="8" borderId="0" xfId="74" applyFont="1" applyFill="1"/>
    <xf numFmtId="0" fontId="47" fillId="4" borderId="15" xfId="74" applyFont="1" applyFill="1" applyBorder="1" applyAlignment="1">
      <alignment horizontal="center"/>
    </xf>
    <xf numFmtId="0" fontId="44" fillId="4" borderId="26" xfId="74" applyFont="1" applyFill="1" applyBorder="1" applyAlignment="1">
      <alignment horizontal="center" vertical="center" textRotation="90"/>
    </xf>
    <xf numFmtId="0" fontId="44" fillId="4" borderId="27" xfId="74" applyFont="1" applyFill="1" applyBorder="1" applyAlignment="1">
      <alignment horizontal="center" vertical="center" shrinkToFit="1"/>
    </xf>
    <xf numFmtId="0" fontId="44" fillId="4" borderId="26" xfId="74" applyFont="1" applyFill="1" applyBorder="1" applyAlignment="1">
      <alignment horizontal="center" vertical="center" textRotation="90" shrinkToFit="1"/>
    </xf>
    <xf numFmtId="0" fontId="44" fillId="4" borderId="73" xfId="74" applyFont="1" applyFill="1" applyBorder="1" applyAlignment="1">
      <alignment horizontal="center" vertical="center" textRotation="90" shrinkToFit="1"/>
    </xf>
    <xf numFmtId="0" fontId="44" fillId="4" borderId="41" xfId="74" applyFont="1" applyFill="1" applyBorder="1" applyAlignment="1">
      <alignment horizontal="center" vertical="center" textRotation="90"/>
    </xf>
    <xf numFmtId="0" fontId="44" fillId="4" borderId="41" xfId="74" applyFont="1" applyFill="1" applyBorder="1" applyAlignment="1">
      <alignment horizontal="center" vertical="center" textRotation="90" shrinkToFit="1"/>
    </xf>
    <xf numFmtId="0" fontId="44" fillId="4" borderId="15" xfId="74" applyFont="1" applyFill="1" applyBorder="1" applyAlignment="1">
      <alignment vertical="center" textRotation="90" shrinkToFit="1"/>
    </xf>
    <xf numFmtId="0" fontId="44" fillId="4" borderId="29" xfId="74" applyFont="1" applyFill="1" applyBorder="1" applyAlignment="1">
      <alignment horizontal="center" vertical="center" textRotation="90"/>
    </xf>
    <xf numFmtId="0" fontId="44" fillId="4" borderId="29" xfId="74" applyFont="1" applyFill="1" applyBorder="1" applyAlignment="1">
      <alignment horizontal="center" vertical="center" textRotation="90" shrinkToFit="1"/>
    </xf>
    <xf numFmtId="0" fontId="44" fillId="4" borderId="16" xfId="74" applyFont="1" applyFill="1" applyBorder="1" applyAlignment="1">
      <alignment horizontal="center" vertical="center" shrinkToFit="1"/>
    </xf>
    <xf numFmtId="0" fontId="44" fillId="4" borderId="24" xfId="74" applyFont="1" applyFill="1" applyBorder="1" applyAlignment="1">
      <alignment horizontal="center" vertical="center" shrinkToFit="1"/>
    </xf>
    <xf numFmtId="0" fontId="44" fillId="4" borderId="27" xfId="74" applyFont="1" applyFill="1" applyBorder="1" applyAlignment="1">
      <alignment horizontal="center" vertical="center" shrinkToFit="1"/>
    </xf>
    <xf numFmtId="0" fontId="44" fillId="4" borderId="14" xfId="74" applyFont="1" applyFill="1" applyBorder="1" applyAlignment="1">
      <alignment horizontal="center" vertical="center" shrinkToFit="1"/>
    </xf>
    <xf numFmtId="170" fontId="44" fillId="4" borderId="7" xfId="74" applyNumberFormat="1" applyFont="1" applyFill="1" applyBorder="1" applyAlignment="1">
      <alignment horizontal="center" vertical="center" shrinkToFit="1"/>
    </xf>
    <xf numFmtId="0" fontId="44" fillId="4" borderId="107" xfId="0" applyFont="1" applyFill="1" applyBorder="1" applyAlignment="1">
      <alignment vertical="center" shrinkToFit="1"/>
    </xf>
    <xf numFmtId="0" fontId="44" fillId="4" borderId="61" xfId="0" applyFont="1" applyFill="1" applyBorder="1" applyAlignment="1">
      <alignment vertical="center" shrinkToFit="1"/>
    </xf>
    <xf numFmtId="0" fontId="44" fillId="4" borderId="62" xfId="0" applyFont="1" applyFill="1" applyBorder="1" applyAlignment="1">
      <alignment vertical="center" shrinkToFit="1"/>
    </xf>
    <xf numFmtId="0" fontId="42" fillId="4" borderId="0" xfId="74" applyFont="1" applyFill="1"/>
    <xf numFmtId="0" fontId="33" fillId="4" borderId="0" xfId="74" applyFont="1" applyFill="1" applyBorder="1" applyAlignment="1">
      <alignment horizontal="center" vertical="center" textRotation="90"/>
    </xf>
    <xf numFmtId="0" fontId="42" fillId="4" borderId="0" xfId="74" applyFont="1" applyFill="1" applyBorder="1" applyAlignment="1">
      <alignment horizontal="right" vertical="center" shrinkToFit="1"/>
    </xf>
    <xf numFmtId="170" fontId="42" fillId="4" borderId="0" xfId="74" applyNumberFormat="1" applyFont="1" applyFill="1" applyBorder="1" applyAlignment="1">
      <alignment horizontal="center" vertical="center" shrinkToFit="1"/>
    </xf>
    <xf numFmtId="0" fontId="42" fillId="4" borderId="0" xfId="0" applyFont="1" applyFill="1" applyAlignment="1">
      <alignment vertical="center" shrinkToFit="1"/>
    </xf>
    <xf numFmtId="0" fontId="42" fillId="4" borderId="1" xfId="74" applyFont="1" applyFill="1" applyBorder="1" applyAlignment="1">
      <alignment horizontal="right" shrinkToFit="1"/>
    </xf>
    <xf numFmtId="170" fontId="33" fillId="4" borderId="0" xfId="74" applyNumberFormat="1" applyFont="1" applyFill="1" applyAlignment="1">
      <alignment horizontal="center" wrapText="1" shrinkToFit="1"/>
    </xf>
    <xf numFmtId="0" fontId="42" fillId="4" borderId="1" xfId="74" applyFont="1" applyFill="1" applyBorder="1" applyAlignment="1">
      <alignment horizontal="center" shrinkToFit="1"/>
    </xf>
    <xf numFmtId="0" fontId="44" fillId="4" borderId="26" xfId="74" applyFont="1" applyFill="1" applyBorder="1" applyAlignment="1">
      <alignment horizontal="center" vertical="center"/>
    </xf>
    <xf numFmtId="0" fontId="44" fillId="4" borderId="73" xfId="74" applyFont="1" applyFill="1" applyBorder="1" applyAlignment="1">
      <alignment horizontal="center" vertical="center" wrapText="1" shrinkToFit="1"/>
    </xf>
    <xf numFmtId="0" fontId="44" fillId="4" borderId="99" xfId="74" applyFont="1" applyFill="1" applyBorder="1" applyAlignment="1">
      <alignment horizontal="center" vertical="center" wrapText="1" shrinkToFit="1"/>
    </xf>
    <xf numFmtId="170" fontId="44" fillId="4" borderId="100" xfId="74" applyNumberFormat="1" applyFont="1" applyFill="1" applyBorder="1" applyAlignment="1">
      <alignment horizontal="center" vertical="center" wrapText="1" shrinkToFit="1"/>
    </xf>
    <xf numFmtId="170" fontId="44" fillId="4" borderId="73" xfId="74" applyNumberFormat="1" applyFont="1" applyFill="1" applyBorder="1" applyAlignment="1">
      <alignment horizontal="center" vertical="center" wrapText="1" shrinkToFit="1"/>
    </xf>
    <xf numFmtId="170" fontId="44" fillId="4" borderId="101" xfId="74" applyNumberFormat="1" applyFont="1" applyFill="1" applyBorder="1" applyAlignment="1">
      <alignment horizontal="center" vertical="center" wrapText="1" shrinkToFit="1"/>
    </xf>
    <xf numFmtId="170" fontId="44" fillId="4" borderId="13" xfId="74" applyNumberFormat="1" applyFont="1" applyFill="1" applyBorder="1" applyAlignment="1">
      <alignment horizontal="center" vertical="center" wrapText="1" shrinkToFit="1"/>
    </xf>
    <xf numFmtId="170" fontId="44" fillId="4" borderId="65" xfId="74" applyNumberFormat="1" applyFont="1" applyFill="1" applyBorder="1" applyAlignment="1">
      <alignment horizontal="center" vertical="center" wrapText="1" shrinkToFit="1"/>
    </xf>
    <xf numFmtId="170" fontId="44" fillId="4" borderId="30" xfId="74" applyNumberFormat="1" applyFont="1" applyFill="1" applyBorder="1" applyAlignment="1">
      <alignment horizontal="center" vertical="center" wrapText="1" shrinkToFit="1"/>
    </xf>
    <xf numFmtId="170" fontId="44" fillId="4" borderId="32" xfId="74" applyNumberFormat="1" applyFont="1" applyFill="1" applyBorder="1" applyAlignment="1">
      <alignment horizontal="center" vertical="center" wrapText="1" shrinkToFit="1"/>
    </xf>
    <xf numFmtId="170" fontId="44" fillId="4" borderId="102" xfId="74" applyNumberFormat="1" applyFont="1" applyFill="1" applyBorder="1" applyAlignment="1">
      <alignment horizontal="center" vertical="center" wrapText="1" shrinkToFit="1"/>
    </xf>
    <xf numFmtId="170" fontId="44" fillId="4" borderId="5" xfId="74" applyNumberFormat="1" applyFont="1" applyFill="1" applyBorder="1" applyAlignment="1">
      <alignment horizontal="center" vertical="center" wrapText="1" shrinkToFit="1"/>
    </xf>
    <xf numFmtId="170" fontId="44" fillId="4" borderId="2" xfId="74" applyNumberFormat="1" applyFont="1" applyFill="1" applyBorder="1" applyAlignment="1">
      <alignment horizontal="center" vertical="center" wrapText="1" shrinkToFit="1"/>
    </xf>
    <xf numFmtId="170" fontId="44" fillId="4" borderId="6" xfId="74" applyNumberFormat="1" applyFont="1" applyFill="1" applyBorder="1" applyAlignment="1">
      <alignment horizontal="center" vertical="center" wrapText="1" shrinkToFit="1"/>
    </xf>
    <xf numFmtId="0" fontId="44" fillId="4" borderId="8" xfId="74" applyFont="1" applyFill="1" applyBorder="1" applyAlignment="1">
      <alignment horizontal="center" vertical="center" wrapText="1" shrinkToFit="1"/>
    </xf>
    <xf numFmtId="0" fontId="44" fillId="4" borderId="29" xfId="74" applyFont="1" applyFill="1" applyBorder="1" applyAlignment="1">
      <alignment horizontal="center" vertical="center"/>
    </xf>
    <xf numFmtId="0" fontId="44" fillId="4" borderId="29" xfId="74" applyFont="1" applyFill="1" applyBorder="1" applyAlignment="1">
      <alignment horizontal="center" vertical="center" wrapText="1" shrinkToFit="1"/>
    </xf>
    <xf numFmtId="0" fontId="44" fillId="4" borderId="103" xfId="74" applyFont="1" applyFill="1" applyBorder="1" applyAlignment="1">
      <alignment horizontal="center" vertical="center" wrapText="1" shrinkToFit="1"/>
    </xf>
    <xf numFmtId="170" fontId="44" fillId="4" borderId="104" xfId="74" applyNumberFormat="1" applyFont="1" applyFill="1" applyBorder="1" applyAlignment="1">
      <alignment horizontal="center" vertical="center" wrapText="1" shrinkToFit="1"/>
    </xf>
    <xf numFmtId="170" fontId="44" fillId="4" borderId="74" xfId="74" applyNumberFormat="1" applyFont="1" applyFill="1" applyBorder="1" applyAlignment="1">
      <alignment horizontal="center" vertical="center" wrapText="1" shrinkToFit="1"/>
    </xf>
    <xf numFmtId="170" fontId="44" fillId="4" borderId="17" xfId="74" applyNumberFormat="1" applyFont="1" applyFill="1" applyBorder="1" applyAlignment="1">
      <alignment horizontal="center" vertical="center" wrapText="1" shrinkToFit="1"/>
    </xf>
    <xf numFmtId="170" fontId="44" fillId="4" borderId="26" xfId="74" applyNumberFormat="1" applyFont="1" applyFill="1" applyBorder="1" applyAlignment="1">
      <alignment horizontal="center" vertical="center" wrapText="1" shrinkToFit="1"/>
    </xf>
    <xf numFmtId="170" fontId="44" fillId="4" borderId="8" xfId="74" applyNumberFormat="1" applyFont="1" applyFill="1" applyBorder="1" applyAlignment="1">
      <alignment horizontal="center" vertical="center" wrapText="1" shrinkToFit="1"/>
    </xf>
    <xf numFmtId="170" fontId="44" fillId="4" borderId="20" xfId="74" applyNumberFormat="1" applyFont="1" applyFill="1" applyBorder="1" applyAlignment="1">
      <alignment horizontal="center" vertical="center" wrapText="1" shrinkToFit="1"/>
    </xf>
    <xf numFmtId="0" fontId="44" fillId="4" borderId="7" xfId="74" applyFont="1" applyFill="1" applyBorder="1" applyAlignment="1">
      <alignment horizontal="center" vertical="center" wrapText="1" shrinkToFit="1"/>
    </xf>
    <xf numFmtId="0" fontId="44" fillId="4" borderId="59" xfId="74" applyFont="1" applyFill="1" applyBorder="1" applyAlignment="1">
      <alignment horizontal="center" vertical="center" wrapText="1" shrinkToFit="1"/>
    </xf>
    <xf numFmtId="0" fontId="44" fillId="4" borderId="16" xfId="74" applyFont="1" applyFill="1" applyBorder="1" applyAlignment="1">
      <alignment horizontal="center" vertical="center" wrapText="1" shrinkToFit="1"/>
    </xf>
    <xf numFmtId="0" fontId="44" fillId="4" borderId="24" xfId="74" applyFont="1" applyFill="1" applyBorder="1" applyAlignment="1">
      <alignment horizontal="center" vertical="center" wrapText="1" shrinkToFit="1"/>
    </xf>
    <xf numFmtId="0" fontId="44" fillId="4" borderId="27" xfId="74" applyFont="1" applyFill="1" applyBorder="1" applyAlignment="1">
      <alignment horizontal="center" vertical="center" wrapText="1" shrinkToFit="1"/>
    </xf>
    <xf numFmtId="0" fontId="44" fillId="4" borderId="6" xfId="74" applyFont="1" applyFill="1" applyBorder="1" applyAlignment="1">
      <alignment horizontal="center" vertical="center" shrinkToFit="1"/>
    </xf>
    <xf numFmtId="170" fontId="44" fillId="4" borderId="6" xfId="74" applyNumberFormat="1" applyFont="1" applyFill="1" applyBorder="1" applyAlignment="1">
      <alignment horizontal="center" vertical="center" shrinkToFit="1"/>
    </xf>
    <xf numFmtId="0" fontId="42" fillId="4" borderId="26" xfId="74" applyFont="1" applyFill="1" applyBorder="1" applyAlignment="1">
      <alignment horizontal="center" vertical="center" textRotation="90" shrinkToFit="1"/>
    </xf>
    <xf numFmtId="0" fontId="42" fillId="4" borderId="73" xfId="74" applyFont="1" applyFill="1" applyBorder="1" applyAlignment="1">
      <alignment horizontal="center" vertical="center" textRotation="90" shrinkToFit="1"/>
    </xf>
    <xf numFmtId="0" fontId="33" fillId="4" borderId="15" xfId="74" applyFont="1" applyFill="1" applyBorder="1" applyAlignment="1">
      <alignment horizontal="center" vertical="center"/>
    </xf>
    <xf numFmtId="0" fontId="42" fillId="4" borderId="26" xfId="74" applyFont="1" applyFill="1" applyBorder="1" applyAlignment="1">
      <alignment horizontal="center" vertical="center" textRotation="90"/>
    </xf>
    <xf numFmtId="170" fontId="42" fillId="4" borderId="16" xfId="74" applyNumberFormat="1" applyFont="1" applyFill="1" applyBorder="1" applyAlignment="1">
      <alignment horizontal="center" vertical="center" shrinkToFit="1"/>
    </xf>
    <xf numFmtId="0" fontId="42" fillId="4" borderId="41" xfId="74" applyFont="1" applyFill="1" applyBorder="1" applyAlignment="1">
      <alignment horizontal="center" vertical="center" textRotation="90" shrinkToFit="1"/>
    </xf>
    <xf numFmtId="0" fontId="33" fillId="4" borderId="29" xfId="74" applyFont="1" applyFill="1" applyBorder="1" applyAlignment="1">
      <alignment horizontal="center" vertical="center"/>
    </xf>
    <xf numFmtId="0" fontId="42" fillId="4" borderId="41" xfId="74" applyFont="1" applyFill="1" applyBorder="1" applyAlignment="1">
      <alignment horizontal="center" vertical="center" textRotation="90"/>
    </xf>
    <xf numFmtId="0" fontId="44" fillId="4" borderId="29" xfId="74" applyFont="1" applyFill="1" applyBorder="1" applyAlignment="1">
      <alignment horizontal="center" vertical="center" shrinkToFit="1"/>
    </xf>
    <xf numFmtId="0" fontId="42" fillId="4" borderId="29" xfId="74" applyFont="1" applyFill="1" applyBorder="1" applyAlignment="1">
      <alignment horizontal="center" vertical="center" textRotation="90"/>
    </xf>
    <xf numFmtId="0" fontId="44" fillId="4" borderId="4" xfId="74" applyFont="1" applyFill="1" applyBorder="1" applyAlignment="1">
      <alignment horizontal="center" vertical="center" shrinkToFit="1"/>
    </xf>
    <xf numFmtId="0" fontId="42" fillId="4" borderId="29" xfId="74" applyFont="1" applyFill="1" applyBorder="1" applyAlignment="1">
      <alignment horizontal="center" vertical="center" textRotation="90" shrinkToFit="1"/>
    </xf>
    <xf numFmtId="0" fontId="42" fillId="4" borderId="16" xfId="74" applyFont="1" applyFill="1" applyBorder="1" applyAlignment="1">
      <alignment horizontal="center" shrinkToFit="1"/>
    </xf>
    <xf numFmtId="0" fontId="42" fillId="4" borderId="24" xfId="74" applyFont="1" applyFill="1" applyBorder="1" applyAlignment="1">
      <alignment horizontal="center" shrinkToFit="1"/>
    </xf>
    <xf numFmtId="0" fontId="42" fillId="4" borderId="27" xfId="74" applyFont="1" applyFill="1" applyBorder="1" applyAlignment="1">
      <alignment horizontal="center" shrinkToFit="1"/>
    </xf>
    <xf numFmtId="0" fontId="42" fillId="4" borderId="14" xfId="74" applyFont="1" applyFill="1" applyBorder="1" applyAlignment="1">
      <alignment horizontal="center" vertical="center" shrinkToFit="1"/>
    </xf>
    <xf numFmtId="170" fontId="42" fillId="4" borderId="7" xfId="74" applyNumberFormat="1" applyFont="1" applyFill="1" applyBorder="1" applyAlignment="1">
      <alignment horizontal="center" vertical="center" shrinkToFit="1"/>
    </xf>
    <xf numFmtId="170" fontId="42" fillId="4" borderId="19" xfId="74" applyNumberFormat="1" applyFont="1" applyFill="1" applyBorder="1" applyAlignment="1">
      <alignment horizontal="center" vertical="center" shrinkToFit="1"/>
    </xf>
    <xf numFmtId="170" fontId="42" fillId="4" borderId="14" xfId="74" applyNumberFormat="1" applyFont="1" applyFill="1" applyBorder="1" applyAlignment="1">
      <alignment horizontal="center" vertical="center" shrinkToFit="1"/>
    </xf>
    <xf numFmtId="0" fontId="42" fillId="4" borderId="107" xfId="0" applyFont="1" applyFill="1" applyBorder="1" applyAlignment="1">
      <alignment vertical="center" shrinkToFit="1"/>
    </xf>
    <xf numFmtId="0" fontId="42" fillId="4" borderId="61" xfId="0" applyFont="1" applyFill="1" applyBorder="1" applyAlignment="1">
      <alignment vertical="center" shrinkToFit="1"/>
    </xf>
    <xf numFmtId="0" fontId="42" fillId="4" borderId="62" xfId="0" applyFont="1" applyFill="1" applyBorder="1" applyAlignment="1">
      <alignment vertical="center" shrinkToFit="1"/>
    </xf>
    <xf numFmtId="0" fontId="42" fillId="4" borderId="29" xfId="74" applyFont="1" applyFill="1" applyBorder="1"/>
    <xf numFmtId="0" fontId="33" fillId="4" borderId="15" xfId="74" applyFont="1" applyFill="1" applyBorder="1" applyAlignment="1">
      <alignment vertical="center" textRotation="90"/>
    </xf>
    <xf numFmtId="0" fontId="42" fillId="4" borderId="0" xfId="74" applyFont="1" applyFill="1" applyBorder="1" applyAlignment="1">
      <alignment horizontal="center" shrinkToFit="1"/>
    </xf>
    <xf numFmtId="0" fontId="42" fillId="4" borderId="0" xfId="74" applyFont="1" applyFill="1" applyBorder="1" applyAlignment="1">
      <alignment horizontal="right" shrinkToFit="1"/>
    </xf>
    <xf numFmtId="0" fontId="42" fillId="4" borderId="0" xfId="74" applyFont="1" applyFill="1" applyBorder="1" applyAlignment="1">
      <alignment horizontal="center" vertical="center" textRotation="90"/>
    </xf>
    <xf numFmtId="170" fontId="44" fillId="4" borderId="26" xfId="74" applyNumberFormat="1" applyFont="1" applyFill="1" applyBorder="1" applyAlignment="1">
      <alignment horizontal="center" vertical="center" wrapText="1" shrinkToFit="1"/>
    </xf>
    <xf numFmtId="0" fontId="44" fillId="4" borderId="16" xfId="74" applyFont="1" applyFill="1" applyBorder="1" applyAlignment="1">
      <alignment horizontal="center" wrapText="1" shrinkToFit="1"/>
    </xf>
    <xf numFmtId="0" fontId="44" fillId="4" borderId="24" xfId="74" applyFont="1" applyFill="1" applyBorder="1" applyAlignment="1">
      <alignment horizontal="center" wrapText="1" shrinkToFit="1"/>
    </xf>
    <xf numFmtId="0" fontId="44" fillId="4" borderId="27" xfId="74" applyFont="1" applyFill="1" applyBorder="1" applyAlignment="1">
      <alignment horizontal="center" wrapText="1" shrinkToFit="1"/>
    </xf>
    <xf numFmtId="0" fontId="44" fillId="4" borderId="17" xfId="74" applyFont="1" applyFill="1" applyBorder="1" applyAlignment="1">
      <alignment horizontal="center" shrinkToFit="1"/>
    </xf>
    <xf numFmtId="170" fontId="44" fillId="4" borderId="20" xfId="74" applyNumberFormat="1" applyFont="1" applyFill="1" applyBorder="1" applyAlignment="1">
      <alignment horizontal="center" vertical="center" shrinkToFit="1"/>
    </xf>
    <xf numFmtId="170" fontId="44" fillId="4" borderId="17" xfId="74" applyNumberFormat="1" applyFont="1" applyFill="1" applyBorder="1" applyAlignment="1">
      <alignment horizontal="center" vertical="center" shrinkToFit="1"/>
    </xf>
    <xf numFmtId="0" fontId="44" fillId="4" borderId="8" xfId="74" applyFont="1" applyFill="1" applyBorder="1" applyAlignment="1">
      <alignment horizontal="center" vertical="center" shrinkToFit="1"/>
    </xf>
    <xf numFmtId="0" fontId="44" fillId="4" borderId="20" xfId="74" applyFont="1" applyFill="1" applyBorder="1" applyAlignment="1">
      <alignment horizontal="center" vertical="center" shrinkToFit="1"/>
    </xf>
    <xf numFmtId="2" fontId="44" fillId="4" borderId="26" xfId="74" applyNumberFormat="1" applyFont="1" applyFill="1" applyBorder="1" applyAlignment="1">
      <alignment horizontal="center" vertical="center" textRotation="90" shrinkToFit="1"/>
    </xf>
    <xf numFmtId="0" fontId="47" fillId="4" borderId="0" xfId="74" applyFont="1" applyFill="1"/>
    <xf numFmtId="0" fontId="44" fillId="4" borderId="15" xfId="74" applyFont="1" applyFill="1" applyBorder="1" applyAlignment="1">
      <alignment horizontal="center" vertical="center"/>
    </xf>
    <xf numFmtId="170" fontId="44" fillId="4" borderId="13" xfId="74" applyNumberFormat="1" applyFont="1" applyFill="1" applyBorder="1" applyAlignment="1">
      <alignment horizontal="center" vertical="center" shrinkToFit="1"/>
    </xf>
    <xf numFmtId="0" fontId="44" fillId="4" borderId="16" xfId="74" applyFont="1" applyFill="1" applyBorder="1" applyAlignment="1">
      <alignment horizontal="center" vertical="center" shrinkToFit="1"/>
    </xf>
    <xf numFmtId="2" fontId="44" fillId="4" borderId="41" xfId="74" applyNumberFormat="1" applyFont="1" applyFill="1" applyBorder="1" applyAlignment="1">
      <alignment horizontal="center" vertical="center" textRotation="90" shrinkToFit="1"/>
    </xf>
    <xf numFmtId="170" fontId="44" fillId="4" borderId="42" xfId="74" applyNumberFormat="1" applyFont="1" applyFill="1" applyBorder="1" applyAlignment="1">
      <alignment horizontal="center" vertical="center" shrinkToFit="1"/>
    </xf>
    <xf numFmtId="0" fontId="44" fillId="4" borderId="42" xfId="74" applyFont="1" applyFill="1" applyBorder="1" applyAlignment="1">
      <alignment horizontal="center" vertical="center" shrinkToFit="1"/>
    </xf>
    <xf numFmtId="170" fontId="44" fillId="4" borderId="26" xfId="74" applyNumberFormat="1" applyFont="1" applyFill="1" applyBorder="1" applyAlignment="1">
      <alignment horizontal="center" vertical="center" shrinkToFit="1"/>
    </xf>
    <xf numFmtId="0" fontId="44" fillId="4" borderId="5" xfId="74" applyFont="1" applyFill="1" applyBorder="1" applyAlignment="1">
      <alignment horizontal="center" vertical="center" shrinkToFit="1"/>
    </xf>
    <xf numFmtId="0" fontId="47" fillId="4" borderId="0" xfId="74" applyFont="1" applyFill="1" applyAlignment="1">
      <alignment vertical="center"/>
    </xf>
    <xf numFmtId="0" fontId="44" fillId="4" borderId="31" xfId="74" applyFont="1" applyFill="1" applyBorder="1" applyAlignment="1">
      <alignment horizontal="center" vertical="center" shrinkToFit="1"/>
    </xf>
    <xf numFmtId="2" fontId="44" fillId="4" borderId="29" xfId="74" applyNumberFormat="1" applyFont="1" applyFill="1" applyBorder="1" applyAlignment="1">
      <alignment horizontal="center" vertical="center" textRotation="90" shrinkToFit="1"/>
    </xf>
    <xf numFmtId="170" fontId="44" fillId="4" borderId="19" xfId="74" applyNumberFormat="1" applyFont="1" applyFill="1" applyBorder="1" applyAlignment="1">
      <alignment horizontal="center" vertical="center" shrinkToFit="1"/>
    </xf>
    <xf numFmtId="170" fontId="44" fillId="4" borderId="23" xfId="74" applyNumberFormat="1" applyFont="1" applyFill="1" applyBorder="1" applyAlignment="1">
      <alignment horizontal="center" vertical="center" shrinkToFit="1"/>
    </xf>
    <xf numFmtId="0" fontId="44" fillId="4" borderId="19" xfId="0" applyFont="1" applyFill="1" applyBorder="1" applyAlignment="1">
      <alignment vertical="center" shrinkToFit="1"/>
    </xf>
    <xf numFmtId="0" fontId="44" fillId="4" borderId="1" xfId="0" applyFont="1" applyFill="1" applyBorder="1" applyAlignment="1">
      <alignment vertical="center" shrinkToFit="1"/>
    </xf>
    <xf numFmtId="0" fontId="44" fillId="4" borderId="14" xfId="0" applyFont="1" applyFill="1" applyBorder="1" applyAlignment="1">
      <alignment vertical="center" shrinkToFit="1"/>
    </xf>
    <xf numFmtId="0" fontId="42" fillId="4" borderId="0" xfId="74" applyFont="1" applyFill="1" applyAlignment="1">
      <alignment horizontal="center" shrinkToFit="1"/>
    </xf>
    <xf numFmtId="170" fontId="44" fillId="4" borderId="45" xfId="74" applyNumberFormat="1" applyFont="1" applyFill="1" applyBorder="1" applyAlignment="1">
      <alignment horizontal="center" vertical="center" wrapText="1" shrinkToFit="1"/>
    </xf>
    <xf numFmtId="170" fontId="44" fillId="4" borderId="61" xfId="74" applyNumberFormat="1" applyFont="1" applyFill="1" applyBorder="1" applyAlignment="1">
      <alignment horizontal="center" vertical="center" wrapText="1" shrinkToFit="1"/>
    </xf>
    <xf numFmtId="170" fontId="44" fillId="4" borderId="62" xfId="74" applyNumberFormat="1" applyFont="1" applyFill="1" applyBorder="1" applyAlignment="1">
      <alignment horizontal="center" vertical="center" wrapText="1" shrinkToFit="1"/>
    </xf>
    <xf numFmtId="0" fontId="44" fillId="4" borderId="106" xfId="74" applyFont="1" applyFill="1" applyBorder="1" applyAlignment="1">
      <alignment horizontal="center" vertical="center" wrapText="1" shrinkToFit="1"/>
    </xf>
    <xf numFmtId="170" fontId="44" fillId="4" borderId="105" xfId="74" applyNumberFormat="1" applyFont="1" applyFill="1" applyBorder="1" applyAlignment="1">
      <alignment horizontal="center" vertical="center" wrapText="1" shrinkToFit="1"/>
    </xf>
    <xf numFmtId="170" fontId="44" fillId="4" borderId="29" xfId="74" applyNumberFormat="1" applyFont="1" applyFill="1" applyBorder="1" applyAlignment="1">
      <alignment horizontal="center" vertical="center" wrapText="1" shrinkToFit="1"/>
    </xf>
    <xf numFmtId="170" fontId="44" fillId="4" borderId="15" xfId="74" applyNumberFormat="1" applyFont="1" applyFill="1" applyBorder="1" applyAlignment="1">
      <alignment horizontal="center" vertical="center" wrapText="1" shrinkToFit="1"/>
    </xf>
    <xf numFmtId="170" fontId="44" fillId="4" borderId="13" xfId="74" applyNumberFormat="1" applyFont="1" applyFill="1" applyBorder="1" applyAlignment="1">
      <alignment horizontal="center" vertical="center" wrapText="1" shrinkToFit="1"/>
    </xf>
    <xf numFmtId="0" fontId="47" fillId="4" borderId="15" xfId="74" applyFont="1" applyFill="1" applyBorder="1" applyAlignment="1">
      <alignment horizontal="center" vertical="center"/>
    </xf>
    <xf numFmtId="0" fontId="47" fillId="8" borderId="15" xfId="74" applyFont="1" applyFill="1" applyBorder="1" applyAlignment="1">
      <alignment horizontal="center"/>
    </xf>
    <xf numFmtId="0" fontId="42" fillId="8" borderId="15" xfId="74" applyFont="1" applyFill="1" applyBorder="1" applyAlignment="1">
      <alignment horizontal="right" vertical="center" shrinkToFit="1"/>
    </xf>
    <xf numFmtId="0" fontId="44" fillId="8" borderId="15" xfId="74" applyFont="1" applyFill="1" applyBorder="1" applyAlignment="1">
      <alignment horizontal="right" vertical="center" shrinkToFit="1"/>
    </xf>
    <xf numFmtId="170" fontId="42" fillId="8" borderId="15" xfId="74" applyNumberFormat="1" applyFont="1" applyFill="1" applyBorder="1" applyAlignment="1">
      <alignment horizontal="center" vertical="center" shrinkToFit="1"/>
    </xf>
    <xf numFmtId="170" fontId="44" fillId="8" borderId="15" xfId="74" applyNumberFormat="1" applyFont="1" applyFill="1" applyBorder="1" applyAlignment="1">
      <alignment horizontal="center" vertical="center" shrinkToFit="1"/>
    </xf>
    <xf numFmtId="0" fontId="44" fillId="8" borderId="15" xfId="74" applyFont="1" applyFill="1" applyBorder="1" applyAlignment="1">
      <alignment horizontal="center" vertical="center" shrinkToFit="1"/>
    </xf>
    <xf numFmtId="0" fontId="44" fillId="8" borderId="27" xfId="74" applyFont="1" applyFill="1" applyBorder="1" applyAlignment="1">
      <alignment horizontal="center" vertical="center" shrinkToFit="1"/>
    </xf>
    <xf numFmtId="170" fontId="33" fillId="8" borderId="15" xfId="74" applyNumberFormat="1" applyFont="1" applyFill="1" applyBorder="1" applyAlignment="1">
      <alignment vertical="center"/>
    </xf>
    <xf numFmtId="0" fontId="44" fillId="8" borderId="29" xfId="74" applyFont="1" applyFill="1" applyBorder="1" applyAlignment="1">
      <alignment horizontal="center" vertical="center" shrinkToFit="1"/>
    </xf>
    <xf numFmtId="0" fontId="44" fillId="8" borderId="11" xfId="74" applyFont="1" applyFill="1" applyBorder="1" applyAlignment="1">
      <alignment horizontal="center" vertical="center" shrinkToFit="1"/>
    </xf>
    <xf numFmtId="170" fontId="33" fillId="4" borderId="15" xfId="74" applyNumberFormat="1" applyFont="1" applyFill="1" applyBorder="1"/>
    <xf numFmtId="170" fontId="44" fillId="4" borderId="27" xfId="74" applyNumberFormat="1" applyFont="1" applyFill="1" applyBorder="1" applyAlignment="1">
      <alignment horizontal="center" vertical="center" shrinkToFit="1"/>
    </xf>
    <xf numFmtId="0" fontId="33" fillId="4" borderId="41" xfId="74" applyFont="1" applyFill="1" applyBorder="1" applyAlignment="1">
      <alignment horizontal="center" vertical="center" shrinkToFit="1"/>
    </xf>
    <xf numFmtId="0" fontId="33" fillId="4" borderId="46" xfId="74" applyFont="1" applyFill="1" applyBorder="1" applyAlignment="1">
      <alignment horizontal="right" vertical="center" shrinkToFit="1"/>
    </xf>
    <xf numFmtId="170" fontId="33" fillId="4" borderId="29" xfId="74" applyNumberFormat="1" applyFont="1" applyFill="1" applyBorder="1" applyAlignment="1">
      <alignment horizontal="center" vertical="center" shrinkToFit="1"/>
    </xf>
    <xf numFmtId="170" fontId="33" fillId="4" borderId="15" xfId="74" applyNumberFormat="1" applyFont="1" applyFill="1" applyBorder="1" applyAlignment="1">
      <alignment vertical="center"/>
    </xf>
    <xf numFmtId="0" fontId="33" fillId="4" borderId="0" xfId="74" applyFont="1" applyFill="1" applyAlignment="1">
      <alignment vertical="center"/>
    </xf>
  </cellXfs>
  <cellStyles count="178">
    <cellStyle name="Comma" xfId="1" builtinId="3" customBuiltin="1"/>
    <cellStyle name="Comma 10" xfId="2" xr:uid="{00000000-0005-0000-0000-000001000000}"/>
    <cellStyle name="Comma 10 2" xfId="3" xr:uid="{00000000-0005-0000-0000-000002000000}"/>
    <cellStyle name="Comma 11" xfId="4" xr:uid="{00000000-0005-0000-0000-000003000000}"/>
    <cellStyle name="Comma 11 2" xfId="5" xr:uid="{00000000-0005-0000-0000-000004000000}"/>
    <cellStyle name="Comma 12" xfId="6" xr:uid="{00000000-0005-0000-0000-000005000000}"/>
    <cellStyle name="Comma 12 2" xfId="7" xr:uid="{00000000-0005-0000-0000-000006000000}"/>
    <cellStyle name="Comma 13" xfId="8" xr:uid="{00000000-0005-0000-0000-000007000000}"/>
    <cellStyle name="Comma 13 2" xfId="9" xr:uid="{00000000-0005-0000-0000-000008000000}"/>
    <cellStyle name="Comma 14" xfId="10" xr:uid="{00000000-0005-0000-0000-000009000000}"/>
    <cellStyle name="Comma 15" xfId="11" xr:uid="{00000000-0005-0000-0000-00000A000000}"/>
    <cellStyle name="Comma 16" xfId="12" xr:uid="{00000000-0005-0000-0000-00000B000000}"/>
    <cellStyle name="Comma 17" xfId="13" xr:uid="{00000000-0005-0000-0000-00000C000000}"/>
    <cellStyle name="Comma 18" xfId="14" xr:uid="{00000000-0005-0000-0000-00000D000000}"/>
    <cellStyle name="Comma 19" xfId="15" xr:uid="{00000000-0005-0000-0000-00000E000000}"/>
    <cellStyle name="Comma 2" xfId="16" xr:uid="{00000000-0005-0000-0000-00000F000000}"/>
    <cellStyle name="Comma 2 2" xfId="17" xr:uid="{00000000-0005-0000-0000-000010000000}"/>
    <cellStyle name="Comma 2 3" xfId="18" xr:uid="{00000000-0005-0000-0000-000011000000}"/>
    <cellStyle name="Comma 20" xfId="19" xr:uid="{00000000-0005-0000-0000-000012000000}"/>
    <cellStyle name="Comma 21" xfId="20" xr:uid="{00000000-0005-0000-0000-000013000000}"/>
    <cellStyle name="Comma 22" xfId="21" xr:uid="{00000000-0005-0000-0000-000014000000}"/>
    <cellStyle name="Comma 23" xfId="22" xr:uid="{00000000-0005-0000-0000-000015000000}"/>
    <cellStyle name="Comma 24" xfId="23" xr:uid="{00000000-0005-0000-0000-000016000000}"/>
    <cellStyle name="Comma 25" xfId="24" xr:uid="{00000000-0005-0000-0000-000017000000}"/>
    <cellStyle name="Comma 25 2" xfId="25" xr:uid="{00000000-0005-0000-0000-000018000000}"/>
    <cellStyle name="Comma 26" xfId="26" xr:uid="{00000000-0005-0000-0000-000019000000}"/>
    <cellStyle name="Comma 26 2" xfId="27" xr:uid="{00000000-0005-0000-0000-00001A000000}"/>
    <cellStyle name="Comma 27" xfId="28" xr:uid="{00000000-0005-0000-0000-00001B000000}"/>
    <cellStyle name="Comma 28" xfId="29" xr:uid="{00000000-0005-0000-0000-00001C000000}"/>
    <cellStyle name="Comma 28 2" xfId="30" xr:uid="{00000000-0005-0000-0000-00001D000000}"/>
    <cellStyle name="Comma 29" xfId="31" xr:uid="{00000000-0005-0000-0000-00001E000000}"/>
    <cellStyle name="Comma 29 2" xfId="32" xr:uid="{00000000-0005-0000-0000-00001F000000}"/>
    <cellStyle name="Comma 3" xfId="33" xr:uid="{00000000-0005-0000-0000-000020000000}"/>
    <cellStyle name="Comma 30" xfId="34" xr:uid="{00000000-0005-0000-0000-000021000000}"/>
    <cellStyle name="Comma 30 2" xfId="35" xr:uid="{00000000-0005-0000-0000-000022000000}"/>
    <cellStyle name="Comma 31" xfId="36" xr:uid="{00000000-0005-0000-0000-000023000000}"/>
    <cellStyle name="Comma 31 2" xfId="37" xr:uid="{00000000-0005-0000-0000-000024000000}"/>
    <cellStyle name="Comma 32" xfId="38" xr:uid="{00000000-0005-0000-0000-000025000000}"/>
    <cellStyle name="Comma 33" xfId="39" xr:uid="{00000000-0005-0000-0000-000026000000}"/>
    <cellStyle name="Comma 34" xfId="40" xr:uid="{00000000-0005-0000-0000-000027000000}"/>
    <cellStyle name="Comma 35" xfId="41" xr:uid="{00000000-0005-0000-0000-000028000000}"/>
    <cellStyle name="Comma 36" xfId="42" xr:uid="{00000000-0005-0000-0000-000029000000}"/>
    <cellStyle name="Comma 37" xfId="43" xr:uid="{00000000-0005-0000-0000-00002A000000}"/>
    <cellStyle name="Comma 38" xfId="44" xr:uid="{00000000-0005-0000-0000-00002B000000}"/>
    <cellStyle name="Comma 39" xfId="137" xr:uid="{00000000-0005-0000-0000-00002C000000}"/>
    <cellStyle name="Comma 4" xfId="45" xr:uid="{00000000-0005-0000-0000-00002D000000}"/>
    <cellStyle name="Comma 4 2" xfId="46" xr:uid="{00000000-0005-0000-0000-00002E000000}"/>
    <cellStyle name="Comma 40" xfId="139" xr:uid="{00000000-0005-0000-0000-00002F000000}"/>
    <cellStyle name="Comma 41" xfId="142" xr:uid="{00000000-0005-0000-0000-000030000000}"/>
    <cellStyle name="Comma 42" xfId="144" xr:uid="{00000000-0005-0000-0000-000031000000}"/>
    <cellStyle name="Comma 43" xfId="146" xr:uid="{00000000-0005-0000-0000-000032000000}"/>
    <cellStyle name="Comma 44" xfId="148" xr:uid="{00000000-0005-0000-0000-000033000000}"/>
    <cellStyle name="Comma 45" xfId="150" xr:uid="{00000000-0005-0000-0000-000034000000}"/>
    <cellStyle name="Comma 46" xfId="152" xr:uid="{00000000-0005-0000-0000-000035000000}"/>
    <cellStyle name="Comma 47" xfId="154" xr:uid="{00000000-0005-0000-0000-000036000000}"/>
    <cellStyle name="Comma 48" xfId="157" xr:uid="{00000000-0005-0000-0000-000037000000}"/>
    <cellStyle name="Comma 49" xfId="160" xr:uid="{00000000-0005-0000-0000-000038000000}"/>
    <cellStyle name="Comma 5" xfId="47" xr:uid="{00000000-0005-0000-0000-000039000000}"/>
    <cellStyle name="Comma 5 2" xfId="48" xr:uid="{00000000-0005-0000-0000-00003A000000}"/>
    <cellStyle name="Comma 5 3" xfId="49" xr:uid="{00000000-0005-0000-0000-00003B000000}"/>
    <cellStyle name="Comma 50" xfId="162" xr:uid="{00000000-0005-0000-0000-00003C000000}"/>
    <cellStyle name="Comma 51" xfId="164" xr:uid="{00000000-0005-0000-0000-00003D000000}"/>
    <cellStyle name="Comma 52" xfId="167" xr:uid="{0165DBC6-33D6-405B-A4C0-1E46D59AA149}"/>
    <cellStyle name="Comma 53" xfId="169" xr:uid="{CF16FB77-F5D5-4055-AF1A-63E9A94DAEA7}"/>
    <cellStyle name="Comma 54" xfId="171" xr:uid="{C95387B4-3ED0-4899-BD54-E07E9879BA1A}"/>
    <cellStyle name="Comma 55" xfId="173" xr:uid="{EE1DD21C-707C-4962-A288-8DDDC3021BFA}"/>
    <cellStyle name="Comma 56" xfId="175" xr:uid="{C9CBC907-1B4C-46D9-947C-806D9BDB0CF7}"/>
    <cellStyle name="Comma 57" xfId="177" xr:uid="{E47EAEF3-3C30-4096-AE4D-C1EA87A3B48B}"/>
    <cellStyle name="Comma 6" xfId="50" xr:uid="{00000000-0005-0000-0000-00003E000000}"/>
    <cellStyle name="Comma 6 2" xfId="51" xr:uid="{00000000-0005-0000-0000-00003F000000}"/>
    <cellStyle name="Comma 7" xfId="52" xr:uid="{00000000-0005-0000-0000-000040000000}"/>
    <cellStyle name="Comma 7 2" xfId="53" xr:uid="{00000000-0005-0000-0000-000041000000}"/>
    <cellStyle name="Comma 8" xfId="54" xr:uid="{00000000-0005-0000-0000-000042000000}"/>
    <cellStyle name="Comma 8 2" xfId="55" xr:uid="{00000000-0005-0000-0000-000043000000}"/>
    <cellStyle name="Comma 9" xfId="56" xr:uid="{00000000-0005-0000-0000-000044000000}"/>
    <cellStyle name="Comma 9 2" xfId="57" xr:uid="{00000000-0005-0000-0000-000045000000}"/>
    <cellStyle name="Comma 9 3" xfId="58" xr:uid="{00000000-0005-0000-0000-000046000000}"/>
    <cellStyle name="Currency" xfId="59" builtinId="4"/>
    <cellStyle name="Currency 2" xfId="60" xr:uid="{00000000-0005-0000-0000-000048000000}"/>
    <cellStyle name="Normal" xfId="0" builtinId="0" customBuiltin="1"/>
    <cellStyle name="Normal 10" xfId="61" xr:uid="{00000000-0005-0000-0000-00004A000000}"/>
    <cellStyle name="Normal 10 2" xfId="62" xr:uid="{00000000-0005-0000-0000-00004B000000}"/>
    <cellStyle name="Normal 11" xfId="63" xr:uid="{00000000-0005-0000-0000-00004C000000}"/>
    <cellStyle name="Normal 11 2" xfId="64" xr:uid="{00000000-0005-0000-0000-00004D000000}"/>
    <cellStyle name="Normal 12" xfId="65" xr:uid="{00000000-0005-0000-0000-00004E000000}"/>
    <cellStyle name="Normal 12 2" xfId="66" xr:uid="{00000000-0005-0000-0000-00004F000000}"/>
    <cellStyle name="Normal 13" xfId="67" xr:uid="{00000000-0005-0000-0000-000050000000}"/>
    <cellStyle name="Normal 13 2" xfId="68" xr:uid="{00000000-0005-0000-0000-000051000000}"/>
    <cellStyle name="Normal 14" xfId="69" xr:uid="{00000000-0005-0000-0000-000052000000}"/>
    <cellStyle name="Normal 14 10 2" xfId="70" xr:uid="{00000000-0005-0000-0000-000053000000}"/>
    <cellStyle name="Normal 14 10 2 2" xfId="71" xr:uid="{00000000-0005-0000-0000-000054000000}"/>
    <cellStyle name="Normal 14 10 2 2 2" xfId="72" xr:uid="{00000000-0005-0000-0000-000055000000}"/>
    <cellStyle name="Normal 14 10 2 3" xfId="73" xr:uid="{00000000-0005-0000-0000-000056000000}"/>
    <cellStyle name="Normal 14 10 2 3 2" xfId="74" xr:uid="{00000000-0005-0000-0000-000057000000}"/>
    <cellStyle name="Normal 14 10 2 4" xfId="75" xr:uid="{00000000-0005-0000-0000-000058000000}"/>
    <cellStyle name="Normal 14 10 2 4 2" xfId="76" xr:uid="{00000000-0005-0000-0000-000059000000}"/>
    <cellStyle name="Normal 15" xfId="136" xr:uid="{00000000-0005-0000-0000-00005A000000}"/>
    <cellStyle name="Normal 16" xfId="138" xr:uid="{00000000-0005-0000-0000-00005B000000}"/>
    <cellStyle name="Normal 17" xfId="141" xr:uid="{00000000-0005-0000-0000-00005C000000}"/>
    <cellStyle name="Normal 18" xfId="77" xr:uid="{00000000-0005-0000-0000-00005D000000}"/>
    <cellStyle name="Normal 18 2" xfId="78" xr:uid="{00000000-0005-0000-0000-00005E000000}"/>
    <cellStyle name="Normal 18 3" xfId="79" xr:uid="{00000000-0005-0000-0000-00005F000000}"/>
    <cellStyle name="Normal 18 4" xfId="140" xr:uid="{00000000-0005-0000-0000-000060000000}"/>
    <cellStyle name="Normal 18 5" xfId="158" xr:uid="{00000000-0005-0000-0000-000061000000}"/>
    <cellStyle name="Normal 19" xfId="143" xr:uid="{00000000-0005-0000-0000-000062000000}"/>
    <cellStyle name="Normal 2" xfId="80" xr:uid="{00000000-0005-0000-0000-000063000000}"/>
    <cellStyle name="Normal 2 2" xfId="81" xr:uid="{00000000-0005-0000-0000-000064000000}"/>
    <cellStyle name="Normal 2 2 2 2" xfId="82" xr:uid="{00000000-0005-0000-0000-000065000000}"/>
    <cellStyle name="Normal 2 3" xfId="83" xr:uid="{00000000-0005-0000-0000-000066000000}"/>
    <cellStyle name="Normal 20" xfId="145" xr:uid="{00000000-0005-0000-0000-000067000000}"/>
    <cellStyle name="Normal 20 2" xfId="84" xr:uid="{00000000-0005-0000-0000-000068000000}"/>
    <cellStyle name="Normal 21" xfId="147" xr:uid="{00000000-0005-0000-0000-000069000000}"/>
    <cellStyle name="Normal 22" xfId="149" xr:uid="{00000000-0005-0000-0000-00006A000000}"/>
    <cellStyle name="Normal 22 2" xfId="85" xr:uid="{00000000-0005-0000-0000-00006B000000}"/>
    <cellStyle name="Normal 23" xfId="86" xr:uid="{00000000-0005-0000-0000-00006C000000}"/>
    <cellStyle name="Normal 23 2" xfId="87" xr:uid="{00000000-0005-0000-0000-00006D000000}"/>
    <cellStyle name="Normal 24" xfId="151" xr:uid="{00000000-0005-0000-0000-00006E000000}"/>
    <cellStyle name="Normal 25" xfId="153" xr:uid="{00000000-0005-0000-0000-00006F000000}"/>
    <cellStyle name="Normal 26" xfId="156" xr:uid="{00000000-0005-0000-0000-000070000000}"/>
    <cellStyle name="Normal 27" xfId="159" xr:uid="{00000000-0005-0000-0000-000071000000}"/>
    <cellStyle name="Normal 28" xfId="88" xr:uid="{00000000-0005-0000-0000-000072000000}"/>
    <cellStyle name="Normal 29" xfId="161" xr:uid="{00000000-0005-0000-0000-000073000000}"/>
    <cellStyle name="Normal 29 2" xfId="89" xr:uid="{00000000-0005-0000-0000-000074000000}"/>
    <cellStyle name="Normal 3" xfId="90" xr:uid="{00000000-0005-0000-0000-000075000000}"/>
    <cellStyle name="Normal 3 2" xfId="91" xr:uid="{00000000-0005-0000-0000-000076000000}"/>
    <cellStyle name="Normal 3 2 2" xfId="92" xr:uid="{00000000-0005-0000-0000-000077000000}"/>
    <cellStyle name="Normal 30" xfId="163" xr:uid="{00000000-0005-0000-0000-000078000000}"/>
    <cellStyle name="Normal 30 2" xfId="93" xr:uid="{00000000-0005-0000-0000-000079000000}"/>
    <cellStyle name="Normal 31" xfId="165" xr:uid="{51044EA0-3948-41D4-A35D-9E2DF77E248E}"/>
    <cellStyle name="Normal 31 2" xfId="94" xr:uid="{00000000-0005-0000-0000-00007A000000}"/>
    <cellStyle name="Normal 32" xfId="166" xr:uid="{70B45C17-CF6D-43EF-8CD3-56BCA8BCFA40}"/>
    <cellStyle name="Normal 33" xfId="168" xr:uid="{45665CA0-CB05-48DC-A13F-1222563FB0E2}"/>
    <cellStyle name="Normal 34" xfId="170" xr:uid="{6A6C5C86-3FFB-4FE9-9579-1FAE2C480527}"/>
    <cellStyle name="Normal 35" xfId="172" xr:uid="{3A233A30-6E7C-48A9-8737-CB40105B76D0}"/>
    <cellStyle name="Normal 36" xfId="174" xr:uid="{30C1EAA4-D854-4C5D-B05B-74952705E855}"/>
    <cellStyle name="Normal 37" xfId="176" xr:uid="{E1BF80E2-90E7-42BE-B9A5-11D026B6B766}"/>
    <cellStyle name="Normal 4" xfId="95" xr:uid="{00000000-0005-0000-0000-00007B000000}"/>
    <cellStyle name="Normal 4 2" xfId="96" xr:uid="{00000000-0005-0000-0000-00007C000000}"/>
    <cellStyle name="Normal 4 2 2" xfId="97" xr:uid="{00000000-0005-0000-0000-00007D000000}"/>
    <cellStyle name="Normal 5" xfId="98" xr:uid="{00000000-0005-0000-0000-00007E000000}"/>
    <cellStyle name="Normal 5 2" xfId="99" xr:uid="{00000000-0005-0000-0000-00007F000000}"/>
    <cellStyle name="Normal 5 3" xfId="155" xr:uid="{00000000-0005-0000-0000-000080000000}"/>
    <cellStyle name="Normal 50" xfId="100" xr:uid="{00000000-0005-0000-0000-000081000000}"/>
    <cellStyle name="Normal 50 2" xfId="101" xr:uid="{00000000-0005-0000-0000-000082000000}"/>
    <cellStyle name="Normal 51 2" xfId="102" xr:uid="{00000000-0005-0000-0000-000083000000}"/>
    <cellStyle name="Normal 55" xfId="103" xr:uid="{00000000-0005-0000-0000-000084000000}"/>
    <cellStyle name="Normal 55 2" xfId="104" xr:uid="{00000000-0005-0000-0000-000085000000}"/>
    <cellStyle name="Normal 56" xfId="105" xr:uid="{00000000-0005-0000-0000-000086000000}"/>
    <cellStyle name="Normal 56 2" xfId="106" xr:uid="{00000000-0005-0000-0000-000087000000}"/>
    <cellStyle name="Normal 57" xfId="107" xr:uid="{00000000-0005-0000-0000-000088000000}"/>
    <cellStyle name="Normal 57 2" xfId="108" xr:uid="{00000000-0005-0000-0000-000089000000}"/>
    <cellStyle name="Normal 58" xfId="109" xr:uid="{00000000-0005-0000-0000-00008A000000}"/>
    <cellStyle name="Normal 58 2" xfId="110" xr:uid="{00000000-0005-0000-0000-00008B000000}"/>
    <cellStyle name="Normal 59" xfId="111" xr:uid="{00000000-0005-0000-0000-00008C000000}"/>
    <cellStyle name="Normal 59 2" xfId="112" xr:uid="{00000000-0005-0000-0000-00008D000000}"/>
    <cellStyle name="Normal 6" xfId="113" xr:uid="{00000000-0005-0000-0000-00008E000000}"/>
    <cellStyle name="Normal 6 2" xfId="114" xr:uid="{00000000-0005-0000-0000-00008F000000}"/>
    <cellStyle name="Normal 6 2 2" xfId="115" xr:uid="{00000000-0005-0000-0000-000090000000}"/>
    <cellStyle name="Normal 60" xfId="116" xr:uid="{00000000-0005-0000-0000-000091000000}"/>
    <cellStyle name="Normal 60 2" xfId="117" xr:uid="{00000000-0005-0000-0000-000092000000}"/>
    <cellStyle name="Normal 61" xfId="118" xr:uid="{00000000-0005-0000-0000-000093000000}"/>
    <cellStyle name="Normal 61 2" xfId="119" xr:uid="{00000000-0005-0000-0000-000094000000}"/>
    <cellStyle name="Normal 62" xfId="120" xr:uid="{00000000-0005-0000-0000-000095000000}"/>
    <cellStyle name="Normal 62 2" xfId="121" xr:uid="{00000000-0005-0000-0000-000096000000}"/>
    <cellStyle name="Normal 63" xfId="122" xr:uid="{00000000-0005-0000-0000-000097000000}"/>
    <cellStyle name="Normal 63 2" xfId="123" xr:uid="{00000000-0005-0000-0000-000098000000}"/>
    <cellStyle name="Normal 64" xfId="124" xr:uid="{00000000-0005-0000-0000-000099000000}"/>
    <cellStyle name="Normal 64 2" xfId="125" xr:uid="{00000000-0005-0000-0000-00009A000000}"/>
    <cellStyle name="Normal 65" xfId="126" xr:uid="{00000000-0005-0000-0000-00009B000000}"/>
    <cellStyle name="Normal 65 2" xfId="127" xr:uid="{00000000-0005-0000-0000-00009C000000}"/>
    <cellStyle name="Normal 66" xfId="128" xr:uid="{00000000-0005-0000-0000-00009D000000}"/>
    <cellStyle name="Normal 7" xfId="129" xr:uid="{00000000-0005-0000-0000-00009E000000}"/>
    <cellStyle name="Normal 7 2" xfId="130" xr:uid="{00000000-0005-0000-0000-00009F000000}"/>
    <cellStyle name="Normal 8" xfId="131" xr:uid="{00000000-0005-0000-0000-0000A0000000}"/>
    <cellStyle name="Normal 8 2" xfId="132" xr:uid="{00000000-0005-0000-0000-0000A1000000}"/>
    <cellStyle name="Normal 9" xfId="133" xr:uid="{00000000-0005-0000-0000-0000A2000000}"/>
    <cellStyle name="Normal 9 2" xfId="134" xr:uid="{00000000-0005-0000-0000-0000A3000000}"/>
    <cellStyle name="Normal_Sheet1" xfId="135" xr:uid="{00000000-0005-0000-0000-0000A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438150</xdr:colOff>
          <xdr:row>48</xdr:row>
          <xdr:rowOff>133350</xdr:rowOff>
        </xdr:from>
        <xdr:to>
          <xdr:col>36</xdr:col>
          <xdr:colOff>0</xdr:colOff>
          <xdr:row>50</xdr:row>
          <xdr:rowOff>28575</xdr:rowOff>
        </xdr:to>
        <xdr:sp macro="" textlink="">
          <xdr:nvSpPr>
            <xdr:cNvPr id="488449" name="Object 1" hidden="1">
              <a:extLst>
                <a:ext uri="{63B3BB69-23CF-44E3-9099-C40C66FF867C}">
                  <a14:compatExt spid="_x0000_s488449"/>
                </a:ext>
                <a:ext uri="{FF2B5EF4-FFF2-40B4-BE49-F238E27FC236}">
                  <a16:creationId xmlns:a16="http://schemas.microsoft.com/office/drawing/2014/main" id="{00000000-0008-0000-0F00-0000017407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16.bin"/><Relationship Id="rId6" Type="http://schemas.openxmlformats.org/officeDocument/2006/relationships/comments" Target="../comments4.xml"/><Relationship Id="rId5" Type="http://schemas.openxmlformats.org/officeDocument/2006/relationships/image" Target="../media/image1.emf"/><Relationship Id="rId4" Type="http://schemas.openxmlformats.org/officeDocument/2006/relationships/package" Target="../embeddings/Microsoft_Excel_Worksheet.xlsx"/></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B2:P31"/>
  <sheetViews>
    <sheetView rightToLeft="1" view="pageBreakPreview" topLeftCell="A7" zoomScale="60" zoomScaleNormal="130" workbookViewId="0">
      <selection activeCell="B27" sqref="B27:E27"/>
    </sheetView>
  </sheetViews>
  <sheetFormatPr defaultColWidth="9.140625" defaultRowHeight="13.5" customHeight="1" x14ac:dyDescent="0.35"/>
  <cols>
    <col min="1" max="1" width="14.28515625" style="1" customWidth="1"/>
    <col min="2" max="2" width="9.42578125" style="1" customWidth="1"/>
    <col min="3" max="3" width="47.7109375" style="1" customWidth="1"/>
    <col min="4" max="4" width="4.42578125" style="2" customWidth="1"/>
    <col min="5" max="5" width="13.7109375" style="1" customWidth="1"/>
    <col min="6" max="6" width="9.140625" style="1" customWidth="1"/>
    <col min="7" max="10" width="9.140625" style="1"/>
    <col min="11" max="11" width="32.28515625" style="1" customWidth="1"/>
    <col min="12" max="16384" width="9.140625" style="1"/>
  </cols>
  <sheetData>
    <row r="2" spans="2:16" ht="30" customHeight="1" x14ac:dyDescent="0.35"/>
    <row r="3" spans="2:16" ht="46.15" customHeight="1" x14ac:dyDescent="0.35"/>
    <row r="4" spans="2:16" ht="1.9" customHeight="1" x14ac:dyDescent="0.35">
      <c r="B4" s="3054"/>
      <c r="C4" s="3054"/>
      <c r="D4" s="3054"/>
      <c r="E4" s="3054"/>
      <c r="F4" s="3"/>
      <c r="G4" s="3"/>
      <c r="H4" s="3"/>
      <c r="I4" s="3"/>
      <c r="J4" s="3"/>
      <c r="K4" s="3"/>
      <c r="M4" s="3"/>
      <c r="N4" s="3"/>
      <c r="O4" s="3"/>
      <c r="P4" s="3"/>
    </row>
    <row r="5" spans="2:16" ht="1.9" customHeight="1" x14ac:dyDescent="0.35">
      <c r="B5" s="3054"/>
      <c r="C5" s="3054"/>
      <c r="D5" s="3054"/>
      <c r="E5" s="3054"/>
      <c r="F5" s="3"/>
      <c r="G5" s="3"/>
      <c r="H5" s="3"/>
      <c r="I5" s="3"/>
      <c r="J5" s="3"/>
      <c r="K5" s="3"/>
      <c r="M5" s="3"/>
      <c r="N5" s="3"/>
      <c r="O5" s="3"/>
      <c r="P5" s="3"/>
    </row>
    <row r="6" spans="2:16" ht="1.9" customHeight="1" x14ac:dyDescent="0.35">
      <c r="B6" s="3054"/>
      <c r="C6" s="3054"/>
      <c r="D6" s="3054"/>
      <c r="E6" s="3054"/>
      <c r="F6" s="3"/>
      <c r="G6" s="3"/>
      <c r="H6" s="3"/>
      <c r="I6" s="3"/>
      <c r="J6" s="3"/>
      <c r="K6" s="3"/>
      <c r="M6" s="3"/>
      <c r="N6" s="3"/>
      <c r="O6" s="3"/>
      <c r="P6" s="3"/>
    </row>
    <row r="7" spans="2:16" ht="1.9" customHeight="1" x14ac:dyDescent="0.35">
      <c r="B7" s="3055"/>
      <c r="C7" s="3055"/>
      <c r="D7" s="3055"/>
      <c r="E7" s="3055"/>
      <c r="F7" s="4"/>
      <c r="G7" s="4"/>
      <c r="H7" s="4"/>
      <c r="I7" s="4"/>
      <c r="J7" s="4"/>
      <c r="K7" s="4"/>
      <c r="L7" s="4"/>
      <c r="M7" s="4"/>
      <c r="N7" s="4"/>
      <c r="O7" s="4"/>
      <c r="P7" s="4"/>
    </row>
    <row r="8" spans="2:16" ht="25.5" customHeight="1" x14ac:dyDescent="0.35">
      <c r="B8" s="940"/>
      <c r="C8" s="940"/>
      <c r="D8" s="940"/>
      <c r="E8" s="940"/>
      <c r="F8" s="4"/>
      <c r="G8" s="4"/>
      <c r="H8" s="4"/>
      <c r="I8" s="4"/>
      <c r="J8" s="4"/>
      <c r="K8" s="4"/>
      <c r="L8" s="4"/>
      <c r="M8" s="4"/>
      <c r="N8" s="4"/>
      <c r="O8" s="4"/>
      <c r="P8" s="4"/>
    </row>
    <row r="9" spans="2:16" ht="22.5" x14ac:dyDescent="0.35">
      <c r="B9" s="5" t="s">
        <v>2</v>
      </c>
      <c r="C9" s="5"/>
      <c r="D9" s="5"/>
      <c r="E9" s="6"/>
    </row>
    <row r="10" spans="2:16" ht="6" customHeight="1" x14ac:dyDescent="0.35">
      <c r="B10" s="7"/>
      <c r="C10" s="7"/>
      <c r="D10" s="7"/>
      <c r="E10" s="6"/>
    </row>
    <row r="11" spans="2:16" ht="21.75" customHeight="1" x14ac:dyDescent="0.45">
      <c r="B11" s="8" t="s">
        <v>3</v>
      </c>
      <c r="C11" s="9"/>
      <c r="D11" s="10"/>
      <c r="E11" s="10"/>
    </row>
    <row r="12" spans="2:16" ht="6" customHeight="1" x14ac:dyDescent="0.4">
      <c r="B12" s="11"/>
      <c r="C12" s="12"/>
      <c r="D12" s="10"/>
      <c r="E12" s="10"/>
    </row>
    <row r="13" spans="2:16" ht="69" customHeight="1" x14ac:dyDescent="0.35">
      <c r="B13" s="3053" t="s">
        <v>2308</v>
      </c>
      <c r="C13" s="3053"/>
      <c r="D13" s="3053"/>
      <c r="E13" s="3053"/>
    </row>
    <row r="14" spans="2:16" ht="24.75" customHeight="1" x14ac:dyDescent="0.4">
      <c r="B14" s="10"/>
      <c r="C14" s="10"/>
      <c r="D14" s="10"/>
      <c r="E14" s="10"/>
    </row>
    <row r="15" spans="2:16" ht="10.5" customHeight="1" x14ac:dyDescent="0.4">
      <c r="B15" s="10"/>
      <c r="C15" s="10"/>
      <c r="D15" s="10"/>
      <c r="E15" s="10"/>
    </row>
    <row r="16" spans="2:16" ht="22.5" x14ac:dyDescent="0.55000000000000004">
      <c r="B16" s="3056" t="s">
        <v>4</v>
      </c>
      <c r="C16" s="3056"/>
      <c r="D16" s="13"/>
      <c r="E16" s="14" t="s">
        <v>5</v>
      </c>
    </row>
    <row r="17" spans="2:11" s="17" customFormat="1" ht="24" customHeight="1" x14ac:dyDescent="0.45">
      <c r="B17" s="15"/>
      <c r="C17" s="953" t="s">
        <v>1350</v>
      </c>
      <c r="D17" s="953"/>
      <c r="E17" s="16">
        <v>2000000</v>
      </c>
      <c r="K17" s="222"/>
    </row>
    <row r="18" spans="2:11" s="17" customFormat="1" ht="24" customHeight="1" x14ac:dyDescent="0.45">
      <c r="B18" s="15"/>
      <c r="C18" s="953" t="s">
        <v>1351</v>
      </c>
      <c r="D18" s="953"/>
      <c r="E18" s="18">
        <v>3</v>
      </c>
      <c r="K18" s="222"/>
    </row>
    <row r="19" spans="2:11" s="17" customFormat="1" ht="24" customHeight="1" x14ac:dyDescent="0.45">
      <c r="B19" s="15"/>
      <c r="C19" s="953" t="s">
        <v>1811</v>
      </c>
      <c r="D19" s="953"/>
      <c r="E19" s="18" t="s">
        <v>43</v>
      </c>
      <c r="K19" s="387"/>
    </row>
    <row r="20" spans="2:11" s="17" customFormat="1" ht="24" customHeight="1" x14ac:dyDescent="0.2">
      <c r="B20" s="15"/>
      <c r="C20" s="953" t="s">
        <v>1353</v>
      </c>
      <c r="D20" s="953"/>
      <c r="E20" s="18" t="s">
        <v>154</v>
      </c>
    </row>
    <row r="21" spans="2:11" s="17" customFormat="1" ht="24" customHeight="1" x14ac:dyDescent="0.2">
      <c r="B21" s="15"/>
      <c r="C21" s="953" t="s">
        <v>1352</v>
      </c>
      <c r="D21" s="953"/>
      <c r="E21" s="18"/>
    </row>
    <row r="22" spans="2:11" s="17" customFormat="1" ht="24" customHeight="1" x14ac:dyDescent="0.2">
      <c r="C22" s="953" t="s">
        <v>1341</v>
      </c>
      <c r="D22" s="953"/>
      <c r="E22" s="18" t="s">
        <v>1856</v>
      </c>
    </row>
    <row r="23" spans="2:11" s="17" customFormat="1" ht="40.15" customHeight="1" x14ac:dyDescent="0.2">
      <c r="C23" s="953" t="s">
        <v>1071</v>
      </c>
      <c r="D23" s="953"/>
      <c r="E23" s="18" t="s">
        <v>2307</v>
      </c>
    </row>
    <row r="24" spans="2:11" s="17" customFormat="1" ht="24" customHeight="1" x14ac:dyDescent="0.2">
      <c r="C24" s="953" t="s">
        <v>1342</v>
      </c>
      <c r="D24" s="953"/>
      <c r="E24" s="16">
        <v>21000000</v>
      </c>
    </row>
    <row r="25" spans="2:11" s="17" customFormat="1" ht="24" customHeight="1" x14ac:dyDescent="0.2">
      <c r="C25" s="968" t="s">
        <v>1343</v>
      </c>
      <c r="D25" s="953"/>
      <c r="E25" s="18" t="s">
        <v>2306</v>
      </c>
    </row>
    <row r="26" spans="2:11" s="19" customFormat="1" ht="13.5" customHeight="1" x14ac:dyDescent="0.5">
      <c r="D26" s="20"/>
    </row>
    <row r="27" spans="2:11" s="19" customFormat="1" ht="68.25" customHeight="1" x14ac:dyDescent="0.5">
      <c r="B27" s="3053" t="s">
        <v>2372</v>
      </c>
      <c r="C27" s="3053"/>
      <c r="D27" s="3053"/>
      <c r="E27" s="3053"/>
    </row>
    <row r="28" spans="2:11" ht="15.75" customHeight="1" x14ac:dyDescent="0.4">
      <c r="B28" s="21"/>
      <c r="C28" s="21"/>
      <c r="D28" s="22"/>
      <c r="E28" s="21"/>
    </row>
    <row r="29" spans="2:11" ht="15.75" customHeight="1" x14ac:dyDescent="0.4">
      <c r="C29" s="23"/>
      <c r="D29" s="1"/>
    </row>
    <row r="30" spans="2:11" s="24" customFormat="1" ht="30" customHeight="1" x14ac:dyDescent="0.45">
      <c r="B30" s="3057" t="s">
        <v>1111</v>
      </c>
      <c r="C30" s="3057"/>
      <c r="D30" s="3057"/>
      <c r="E30" s="3057"/>
      <c r="F30" s="3057"/>
    </row>
    <row r="31" spans="2:11" s="24" customFormat="1" ht="30.75" customHeight="1" x14ac:dyDescent="0.45">
      <c r="B31" s="3052" t="s">
        <v>1112</v>
      </c>
      <c r="C31" s="3052"/>
      <c r="D31" s="3052"/>
      <c r="E31" s="3052"/>
      <c r="F31" s="3052"/>
    </row>
  </sheetData>
  <mergeCells count="9">
    <mergeCell ref="B31:F31"/>
    <mergeCell ref="B27:E27"/>
    <mergeCell ref="B4:E4"/>
    <mergeCell ref="B5:E5"/>
    <mergeCell ref="B6:E6"/>
    <mergeCell ref="B7:E7"/>
    <mergeCell ref="B13:E13"/>
    <mergeCell ref="B16:C16"/>
    <mergeCell ref="B30:F30"/>
  </mergeCells>
  <printOptions horizontalCentered="1"/>
  <pageMargins left="0.55118110236220497" right="0.82677165354330695" top="0.70866141732283505" bottom="0.35433070866141703" header="0.511811023622047" footer="0.39370078740157499"/>
  <pageSetup paperSize="9" scale="87" fitToWidth="0" fitToHeight="0" orientation="portrait" r:id="rId1"/>
  <headerFooter alignWithMargins="0">
    <oddFooter>&amp;C&amp;"B Zar,Regular"&amp;14   &amp;"B Traffic,Bold"&amp;10 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I40"/>
  <sheetViews>
    <sheetView rightToLeft="1" view="pageBreakPreview" zoomScale="90" zoomScaleNormal="100" zoomScaleSheetLayoutView="90" workbookViewId="0">
      <selection activeCell="A37" sqref="A37:H37"/>
    </sheetView>
  </sheetViews>
  <sheetFormatPr defaultColWidth="9.140625" defaultRowHeight="18" x14ac:dyDescent="0.4"/>
  <cols>
    <col min="1" max="1" width="9.140625" style="364" customWidth="1"/>
    <col min="2" max="2" width="29.28515625" style="364" customWidth="1"/>
    <col min="3" max="7" width="9.140625" style="364" customWidth="1"/>
    <col min="8" max="8" width="32.7109375" style="364" customWidth="1"/>
    <col min="9" max="9" width="9.140625" style="364" customWidth="1"/>
    <col min="10" max="16384" width="9.140625" style="364"/>
  </cols>
  <sheetData>
    <row r="1" spans="1:9" ht="22.5" x14ac:dyDescent="0.4">
      <c r="A1" s="3060" t="s">
        <v>44</v>
      </c>
      <c r="B1" s="3060"/>
      <c r="C1" s="3060"/>
      <c r="D1" s="3060"/>
      <c r="E1" s="3060"/>
      <c r="F1" s="3060"/>
      <c r="G1" s="3060"/>
      <c r="H1" s="3060"/>
    </row>
    <row r="2" spans="1:9" ht="22.5" x14ac:dyDescent="0.4">
      <c r="A2" s="3060" t="s">
        <v>45</v>
      </c>
      <c r="B2" s="3060"/>
      <c r="C2" s="3060"/>
      <c r="D2" s="3060"/>
      <c r="E2" s="3060"/>
      <c r="F2" s="3060"/>
      <c r="G2" s="3060"/>
      <c r="H2" s="3060"/>
    </row>
    <row r="3" spans="1:9" ht="22.5" x14ac:dyDescent="0.4">
      <c r="A3" s="3060" t="s">
        <v>46</v>
      </c>
      <c r="B3" s="3060"/>
      <c r="C3" s="3060"/>
      <c r="D3" s="3060"/>
      <c r="E3" s="3060"/>
      <c r="F3" s="3060"/>
      <c r="G3" s="3060"/>
      <c r="H3" s="3060"/>
    </row>
    <row r="4" spans="1:9" ht="22.5" x14ac:dyDescent="0.55000000000000004">
      <c r="A4" s="3084" t="s">
        <v>1386</v>
      </c>
      <c r="B4" s="3084"/>
      <c r="C4" s="3084"/>
      <c r="D4" s="3084"/>
      <c r="E4" s="3084"/>
      <c r="F4" s="3084"/>
      <c r="G4" s="3084"/>
      <c r="H4" s="3084"/>
    </row>
    <row r="5" spans="1:9" ht="9.75" customHeight="1" x14ac:dyDescent="0.45">
      <c r="A5" s="948"/>
      <c r="B5" s="948"/>
      <c r="C5" s="948"/>
      <c r="D5" s="948"/>
      <c r="E5" s="948"/>
      <c r="F5" s="948"/>
      <c r="G5" s="948"/>
      <c r="H5" s="948"/>
    </row>
    <row r="6" spans="1:9" ht="9.75" customHeight="1" x14ac:dyDescent="0.45">
      <c r="A6" s="948"/>
      <c r="B6" s="948"/>
      <c r="C6" s="948"/>
      <c r="D6" s="948"/>
      <c r="E6" s="948"/>
      <c r="F6" s="948"/>
      <c r="G6" s="948"/>
      <c r="H6" s="948"/>
    </row>
    <row r="7" spans="1:9" ht="9.75" customHeight="1" x14ac:dyDescent="0.45">
      <c r="A7" s="948"/>
      <c r="B7" s="948"/>
      <c r="C7" s="948"/>
      <c r="D7" s="948"/>
      <c r="E7" s="948"/>
      <c r="F7" s="948"/>
      <c r="G7" s="948"/>
      <c r="H7" s="948"/>
    </row>
    <row r="8" spans="1:9" s="21" customFormat="1" ht="19.5" customHeight="1" x14ac:dyDescent="0.5">
      <c r="A8" s="3233" t="s">
        <v>1023</v>
      </c>
      <c r="B8" s="3233"/>
      <c r="C8" s="19"/>
      <c r="D8" s="19"/>
      <c r="E8" s="139"/>
      <c r="F8" s="139"/>
      <c r="G8" s="19"/>
      <c r="H8" s="19"/>
    </row>
    <row r="9" spans="1:9" s="21" customFormat="1" ht="19.5" customHeight="1" x14ac:dyDescent="0.55000000000000004">
      <c r="A9" s="365"/>
      <c r="B9" s="365"/>
      <c r="C9" s="19"/>
      <c r="D9" s="19"/>
      <c r="E9" s="139"/>
      <c r="F9" s="139"/>
      <c r="G9" s="19"/>
      <c r="H9" s="19"/>
    </row>
    <row r="10" spans="1:9" s="21" customFormat="1" ht="24" customHeight="1" x14ac:dyDescent="0.5">
      <c r="A10" s="3233" t="s">
        <v>1200</v>
      </c>
      <c r="B10" s="3233"/>
      <c r="C10" s="19"/>
      <c r="D10" s="19"/>
      <c r="E10" s="139"/>
      <c r="F10" s="139"/>
      <c r="G10" s="19"/>
      <c r="H10" s="19"/>
    </row>
    <row r="11" spans="1:9" s="21" customFormat="1" ht="24.75" customHeight="1" x14ac:dyDescent="0.5">
      <c r="A11" s="19"/>
      <c r="B11" s="3234" t="s">
        <v>1201</v>
      </c>
      <c r="C11" s="3234"/>
      <c r="D11" s="3234"/>
      <c r="E11" s="3234"/>
      <c r="F11" s="3234"/>
      <c r="G11" s="3234"/>
      <c r="H11" s="3234"/>
      <c r="I11" s="366"/>
    </row>
    <row r="12" spans="1:9" s="21" customFormat="1" ht="59.25" customHeight="1" x14ac:dyDescent="0.5">
      <c r="A12" s="19"/>
      <c r="B12" s="3234"/>
      <c r="C12" s="3234"/>
      <c r="D12" s="3234"/>
      <c r="E12" s="3234"/>
      <c r="F12" s="3234"/>
      <c r="G12" s="3234"/>
      <c r="H12" s="3234"/>
      <c r="I12" s="366"/>
    </row>
    <row r="13" spans="1:9" s="21" customFormat="1" ht="22.5" customHeight="1" x14ac:dyDescent="0.5">
      <c r="A13" s="3235" t="s">
        <v>1024</v>
      </c>
      <c r="B13" s="3235"/>
      <c r="C13" s="3235"/>
      <c r="D13" s="367"/>
      <c r="E13" s="367"/>
      <c r="F13" s="139"/>
      <c r="G13" s="19"/>
      <c r="H13" s="19"/>
      <c r="I13" s="366"/>
    </row>
    <row r="14" spans="1:9" s="21" customFormat="1" ht="67.5" customHeight="1" x14ac:dyDescent="0.5">
      <c r="A14" s="367"/>
      <c r="B14" s="3234" t="s">
        <v>1202</v>
      </c>
      <c r="C14" s="3234"/>
      <c r="D14" s="3234"/>
      <c r="E14" s="3234"/>
      <c r="F14" s="3234"/>
      <c r="G14" s="3234"/>
      <c r="H14" s="3234"/>
    </row>
    <row r="15" spans="1:9" s="21" customFormat="1" ht="27" customHeight="1" x14ac:dyDescent="0.4">
      <c r="A15" s="3233" t="s">
        <v>1025</v>
      </c>
      <c r="B15" s="3233"/>
      <c r="C15" s="956"/>
      <c r="D15" s="956"/>
      <c r="E15" s="956"/>
      <c r="F15" s="956"/>
      <c r="G15" s="956"/>
      <c r="H15" s="956"/>
    </row>
    <row r="16" spans="1:9" s="21" customFormat="1" ht="46.5" customHeight="1" x14ac:dyDescent="0.4">
      <c r="A16" s="955"/>
      <c r="B16" s="3236" t="s">
        <v>1203</v>
      </c>
      <c r="C16" s="3236"/>
      <c r="D16" s="3236"/>
      <c r="E16" s="3236"/>
      <c r="F16" s="3236"/>
      <c r="G16" s="3236"/>
      <c r="H16" s="3236"/>
    </row>
    <row r="17" spans="1:8" s="21" customFormat="1" ht="17.25" customHeight="1" x14ac:dyDescent="0.4">
      <c r="A17" s="955"/>
      <c r="B17" s="957"/>
      <c r="C17" s="957"/>
      <c r="D17" s="957"/>
      <c r="E17" s="957"/>
      <c r="F17" s="957"/>
      <c r="G17" s="957"/>
      <c r="H17" s="957"/>
    </row>
    <row r="18" spans="1:8" s="21" customFormat="1" ht="26.45" customHeight="1" x14ac:dyDescent="0.5">
      <c r="A18" s="3233" t="s">
        <v>1910</v>
      </c>
      <c r="B18" s="3233"/>
      <c r="C18" s="19"/>
      <c r="D18" s="19"/>
      <c r="E18" s="139"/>
      <c r="F18" s="139"/>
      <c r="G18" s="19"/>
      <c r="H18" s="19"/>
    </row>
    <row r="19" spans="1:8" s="21" customFormat="1" ht="16.899999999999999" customHeight="1" x14ac:dyDescent="0.4">
      <c r="A19" s="368"/>
      <c r="B19" s="3238" t="s">
        <v>1911</v>
      </c>
      <c r="C19" s="3238"/>
      <c r="D19" s="3238"/>
      <c r="E19" s="3238"/>
      <c r="F19" s="3238"/>
      <c r="G19" s="3238"/>
      <c r="H19" s="3238"/>
    </row>
    <row r="20" spans="1:8" s="21" customFormat="1" ht="24.75" customHeight="1" x14ac:dyDescent="0.4">
      <c r="A20" s="955"/>
      <c r="B20" s="3238"/>
      <c r="C20" s="3238"/>
      <c r="D20" s="3238"/>
      <c r="E20" s="3238"/>
      <c r="F20" s="3238"/>
      <c r="G20" s="3238"/>
      <c r="H20" s="3238"/>
    </row>
    <row r="21" spans="1:8" s="21" customFormat="1" ht="20.45" customHeight="1" x14ac:dyDescent="0.4">
      <c r="A21" s="955"/>
      <c r="B21" s="958"/>
      <c r="C21" s="958"/>
      <c r="D21" s="958"/>
      <c r="E21" s="958"/>
      <c r="F21" s="958"/>
      <c r="G21" s="958"/>
      <c r="H21" s="958"/>
    </row>
    <row r="22" spans="1:8" s="21" customFormat="1" ht="20.45" customHeight="1" x14ac:dyDescent="0.4">
      <c r="A22" s="955" t="s">
        <v>1026</v>
      </c>
      <c r="B22" s="958"/>
      <c r="C22" s="958"/>
      <c r="D22" s="958"/>
      <c r="E22" s="958"/>
      <c r="F22" s="958"/>
      <c r="G22" s="958"/>
      <c r="H22" s="958"/>
    </row>
    <row r="23" spans="1:8" s="21" customFormat="1" ht="20.45" customHeight="1" x14ac:dyDescent="0.4">
      <c r="A23" s="955"/>
      <c r="B23" s="958"/>
      <c r="C23" s="958"/>
      <c r="D23" s="958"/>
      <c r="E23" s="958"/>
      <c r="F23" s="958"/>
      <c r="G23" s="958"/>
      <c r="H23" s="958"/>
    </row>
    <row r="24" spans="1:8" s="21" customFormat="1" ht="42.6" customHeight="1" x14ac:dyDescent="0.4">
      <c r="A24" s="369" t="s">
        <v>1027</v>
      </c>
      <c r="B24" s="3239" t="s">
        <v>1204</v>
      </c>
      <c r="C24" s="3239"/>
      <c r="D24" s="3239"/>
      <c r="E24" s="3239"/>
      <c r="F24" s="3239"/>
      <c r="G24" s="3239"/>
      <c r="H24" s="3239"/>
    </row>
    <row r="25" spans="1:8" s="21" customFormat="1" ht="19.899999999999999" customHeight="1" x14ac:dyDescent="0.4">
      <c r="A25" s="369"/>
      <c r="B25" s="959"/>
      <c r="C25" s="959"/>
      <c r="D25" s="959"/>
      <c r="E25" s="959"/>
      <c r="F25" s="959"/>
      <c r="G25" s="959"/>
      <c r="H25" s="959"/>
    </row>
    <row r="26" spans="1:8" s="21" customFormat="1" ht="134.25" customHeight="1" x14ac:dyDescent="0.4">
      <c r="A26" s="369" t="s">
        <v>1028</v>
      </c>
      <c r="B26" s="3239" t="s">
        <v>1888</v>
      </c>
      <c r="C26" s="3239"/>
      <c r="D26" s="3239"/>
      <c r="E26" s="3239"/>
      <c r="F26" s="3239"/>
      <c r="G26" s="3239"/>
      <c r="H26" s="3239"/>
    </row>
    <row r="27" spans="1:8" ht="21.75" customHeight="1" x14ac:dyDescent="0.5">
      <c r="A27" s="3233" t="s">
        <v>1029</v>
      </c>
      <c r="B27" s="3233"/>
      <c r="C27" s="19"/>
      <c r="D27" s="19"/>
      <c r="E27" s="139"/>
      <c r="F27" s="139"/>
      <c r="G27" s="19"/>
      <c r="H27" s="19"/>
    </row>
    <row r="28" spans="1:8" ht="18" customHeight="1" x14ac:dyDescent="0.5">
      <c r="A28" s="19"/>
      <c r="B28" s="3234" t="s">
        <v>1205</v>
      </c>
      <c r="C28" s="3234"/>
      <c r="D28" s="3234"/>
      <c r="E28" s="3234"/>
      <c r="F28" s="3234"/>
      <c r="G28" s="3234"/>
      <c r="H28" s="3234"/>
    </row>
    <row r="29" spans="1:8" ht="44.25" customHeight="1" x14ac:dyDescent="0.5">
      <c r="A29" s="19" t="s">
        <v>6</v>
      </c>
      <c r="B29" s="3234"/>
      <c r="C29" s="3234"/>
      <c r="D29" s="3234"/>
      <c r="E29" s="3234"/>
      <c r="F29" s="3234"/>
      <c r="G29" s="3234"/>
      <c r="H29" s="3234"/>
    </row>
    <row r="30" spans="1:8" ht="9.6" customHeight="1" x14ac:dyDescent="0.5">
      <c r="A30" s="19"/>
      <c r="B30" s="956"/>
      <c r="C30" s="956"/>
      <c r="D30" s="956"/>
      <c r="E30" s="956"/>
      <c r="F30" s="956"/>
      <c r="G30" s="956"/>
      <c r="H30" s="956"/>
    </row>
    <row r="31" spans="1:8" ht="18.75" customHeight="1" x14ac:dyDescent="0.4">
      <c r="A31" s="3233" t="s">
        <v>1030</v>
      </c>
      <c r="B31" s="3233"/>
      <c r="C31" s="956"/>
      <c r="D31" s="956"/>
      <c r="E31" s="956"/>
      <c r="F31" s="956"/>
      <c r="G31" s="956"/>
      <c r="H31" s="956"/>
    </row>
    <row r="32" spans="1:8" ht="18.75" customHeight="1" x14ac:dyDescent="0.5">
      <c r="A32" s="19"/>
      <c r="B32" s="3234" t="s">
        <v>1953</v>
      </c>
      <c r="C32" s="3234"/>
      <c r="D32" s="3234"/>
      <c r="E32" s="3234"/>
      <c r="F32" s="3234"/>
      <c r="G32" s="3234"/>
      <c r="H32" s="3234"/>
    </row>
    <row r="33" spans="1:9" ht="18.75" customHeight="1" x14ac:dyDescent="0.5">
      <c r="A33" s="19"/>
      <c r="B33" s="3234"/>
      <c r="C33" s="3234"/>
      <c r="D33" s="3234"/>
      <c r="E33" s="3234"/>
      <c r="F33" s="3234"/>
      <c r="G33" s="3234"/>
      <c r="H33" s="3234"/>
    </row>
    <row r="34" spans="1:9" ht="16.5" customHeight="1" x14ac:dyDescent="0.4">
      <c r="A34" s="3233" t="s">
        <v>1031</v>
      </c>
      <c r="B34" s="3233"/>
      <c r="C34" s="956"/>
      <c r="D34" s="956"/>
      <c r="E34" s="956"/>
      <c r="F34" s="956"/>
      <c r="G34" s="956"/>
      <c r="H34" s="956"/>
    </row>
    <row r="35" spans="1:9" ht="15" customHeight="1" x14ac:dyDescent="0.5">
      <c r="A35" s="19"/>
      <c r="B35" s="3234" t="s">
        <v>1969</v>
      </c>
      <c r="C35" s="3234"/>
      <c r="D35" s="3234"/>
      <c r="E35" s="3234"/>
      <c r="F35" s="3234"/>
      <c r="G35" s="3234"/>
      <c r="H35" s="3234"/>
    </row>
    <row r="36" spans="1:9" ht="41.25" customHeight="1" x14ac:dyDescent="0.5">
      <c r="A36" s="19"/>
      <c r="B36" s="3234"/>
      <c r="C36" s="3234"/>
      <c r="D36" s="3234"/>
      <c r="E36" s="3234"/>
      <c r="F36" s="3234"/>
      <c r="G36" s="3234"/>
      <c r="H36" s="3234"/>
    </row>
    <row r="37" spans="1:9" ht="15.6" customHeight="1" x14ac:dyDescent="0.45">
      <c r="A37" s="3237" t="s">
        <v>2265</v>
      </c>
      <c r="B37" s="3237"/>
      <c r="C37" s="3237"/>
      <c r="D37" s="3237"/>
      <c r="E37" s="3237"/>
      <c r="F37" s="3237"/>
      <c r="G37" s="3237"/>
      <c r="H37" s="3237"/>
      <c r="I37" s="370"/>
    </row>
    <row r="38" spans="1:9" x14ac:dyDescent="0.4">
      <c r="A38" s="370"/>
      <c r="B38" s="370"/>
      <c r="C38" s="370"/>
      <c r="D38" s="370"/>
      <c r="E38" s="370"/>
      <c r="F38" s="370"/>
      <c r="G38" s="370"/>
      <c r="H38" s="370"/>
      <c r="I38" s="370"/>
    </row>
    <row r="39" spans="1:9" x14ac:dyDescent="0.4">
      <c r="A39" s="370"/>
      <c r="B39" s="370"/>
      <c r="C39" s="370"/>
      <c r="D39" s="370"/>
      <c r="E39" s="370"/>
      <c r="F39" s="370"/>
      <c r="G39" s="370"/>
      <c r="H39" s="370"/>
      <c r="I39" s="370"/>
    </row>
    <row r="40" spans="1:9" x14ac:dyDescent="0.4">
      <c r="A40" s="370"/>
      <c r="B40" s="370"/>
      <c r="C40" s="370"/>
      <c r="D40" s="370"/>
      <c r="E40" s="370"/>
      <c r="F40" s="370"/>
      <c r="G40" s="370"/>
      <c r="H40" s="370"/>
      <c r="I40" s="370"/>
    </row>
  </sheetData>
  <mergeCells count="22">
    <mergeCell ref="B32:H33"/>
    <mergeCell ref="A34:B34"/>
    <mergeCell ref="B35:H36"/>
    <mergeCell ref="A37:H37"/>
    <mergeCell ref="B19:H20"/>
    <mergeCell ref="B24:H24"/>
    <mergeCell ref="B26:H26"/>
    <mergeCell ref="A27:B27"/>
    <mergeCell ref="B28:H29"/>
    <mergeCell ref="A31:B31"/>
    <mergeCell ref="A18:B18"/>
    <mergeCell ref="A1:H1"/>
    <mergeCell ref="A2:H2"/>
    <mergeCell ref="A3:H3"/>
    <mergeCell ref="A4:H4"/>
    <mergeCell ref="A8:B8"/>
    <mergeCell ref="A10:B10"/>
    <mergeCell ref="B11:H12"/>
    <mergeCell ref="A13:C13"/>
    <mergeCell ref="B14:H14"/>
    <mergeCell ref="A15:B15"/>
    <mergeCell ref="B16:H16"/>
  </mergeCells>
  <pageMargins left="0.31496062992126" right="0.70866141732283505" top="1.14173228346457" bottom="0" header="0.31496062992126" footer="0"/>
  <pageSetup paperSize="9" scale="73"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sheetPr>
  <dimension ref="A1:L389"/>
  <sheetViews>
    <sheetView rightToLeft="1" view="pageBreakPreview" topLeftCell="A229" zoomScale="108" zoomScaleNormal="96" zoomScaleSheetLayoutView="108" workbookViewId="0">
      <selection activeCell="B286" sqref="B286:L287"/>
    </sheetView>
  </sheetViews>
  <sheetFormatPr defaultColWidth="9.140625" defaultRowHeight="15.75" customHeight="1" x14ac:dyDescent="0.2"/>
  <cols>
    <col min="1" max="1" width="1.140625" style="1852" customWidth="1"/>
    <col min="2" max="2" width="15.42578125" style="1852" customWidth="1"/>
    <col min="3" max="3" width="11.42578125" style="1852" customWidth="1"/>
    <col min="4" max="4" width="3.7109375" style="1852" customWidth="1"/>
    <col min="5" max="5" width="15.85546875" style="1852" customWidth="1"/>
    <col min="6" max="6" width="3.7109375" style="1852" customWidth="1"/>
    <col min="7" max="7" width="7.28515625" style="1852" customWidth="1"/>
    <col min="8" max="8" width="12.7109375" style="1852" customWidth="1"/>
    <col min="9" max="9" width="12.42578125" style="1852" customWidth="1"/>
    <col min="10" max="10" width="2" style="1852" customWidth="1"/>
    <col min="11" max="11" width="11.5703125" style="539" customWidth="1"/>
    <col min="12" max="12" width="2.7109375" style="1852" customWidth="1"/>
    <col min="13" max="16384" width="9.140625" style="1852"/>
  </cols>
  <sheetData>
    <row r="1" spans="2:12" ht="22.9" customHeight="1" x14ac:dyDescent="0.2">
      <c r="B1" s="3276" t="s">
        <v>32</v>
      </c>
      <c r="C1" s="3276"/>
      <c r="D1" s="3276"/>
      <c r="E1" s="3276"/>
      <c r="F1" s="3276"/>
      <c r="G1" s="3276"/>
      <c r="H1" s="3276"/>
      <c r="I1" s="3276"/>
      <c r="J1" s="3276"/>
      <c r="K1" s="3276"/>
      <c r="L1" s="1851"/>
    </row>
    <row r="2" spans="2:12" ht="22.9" customHeight="1" x14ac:dyDescent="0.2">
      <c r="B2" s="3276" t="s">
        <v>1036</v>
      </c>
      <c r="C2" s="3276"/>
      <c r="D2" s="3276"/>
      <c r="E2" s="3276"/>
      <c r="F2" s="3276"/>
      <c r="G2" s="3276"/>
      <c r="H2" s="3276"/>
      <c r="I2" s="3276"/>
      <c r="J2" s="3276"/>
      <c r="K2" s="3276"/>
      <c r="L2" s="1851"/>
    </row>
    <row r="3" spans="2:12" ht="22.9" customHeight="1" x14ac:dyDescent="0.2">
      <c r="B3" s="3276" t="s">
        <v>46</v>
      </c>
      <c r="C3" s="3276"/>
      <c r="D3" s="3276"/>
      <c r="E3" s="3276"/>
      <c r="F3" s="3276"/>
      <c r="G3" s="3276"/>
      <c r="H3" s="3276"/>
      <c r="I3" s="3276"/>
      <c r="J3" s="3276"/>
      <c r="K3" s="3276"/>
      <c r="L3" s="1851"/>
    </row>
    <row r="4" spans="2:12" ht="22.9" customHeight="1" x14ac:dyDescent="0.2">
      <c r="B4" s="3294" t="s">
        <v>1978</v>
      </c>
      <c r="C4" s="3294"/>
      <c r="D4" s="3294"/>
      <c r="E4" s="3294"/>
      <c r="F4" s="3294"/>
      <c r="G4" s="3294"/>
      <c r="H4" s="3294"/>
      <c r="I4" s="3294"/>
      <c r="J4" s="3294"/>
      <c r="K4" s="3294"/>
      <c r="L4" s="1853"/>
    </row>
    <row r="5" spans="2:12" ht="15.75" customHeight="1" x14ac:dyDescent="0.2">
      <c r="B5" s="1854"/>
      <c r="C5" s="1854"/>
      <c r="D5" s="1854"/>
      <c r="E5" s="1854"/>
      <c r="F5" s="1854"/>
      <c r="G5" s="1854"/>
      <c r="H5" s="1854"/>
      <c r="I5" s="1854"/>
      <c r="J5" s="1854"/>
      <c r="K5" s="459"/>
      <c r="L5" s="1854"/>
    </row>
    <row r="6" spans="2:12" ht="21.75" customHeight="1" x14ac:dyDescent="0.2">
      <c r="B6" s="3298" t="s">
        <v>1068</v>
      </c>
      <c r="C6" s="3298"/>
      <c r="D6" s="3298"/>
      <c r="E6" s="3298"/>
      <c r="F6" s="3298"/>
      <c r="G6" s="3298"/>
      <c r="H6" s="3298"/>
      <c r="I6" s="3298"/>
      <c r="J6" s="3298"/>
      <c r="K6" s="3298"/>
      <c r="L6" s="1855"/>
    </row>
    <row r="7" spans="2:12" ht="16.5" customHeight="1" x14ac:dyDescent="0.2">
      <c r="B7" s="1856"/>
      <c r="C7" s="1856"/>
      <c r="D7" s="1856"/>
      <c r="E7" s="1856"/>
      <c r="F7" s="1856"/>
      <c r="G7" s="1856"/>
      <c r="H7" s="1856"/>
      <c r="I7" s="1856"/>
      <c r="J7" s="1856"/>
      <c r="K7" s="1856"/>
      <c r="L7" s="1855"/>
    </row>
    <row r="8" spans="2:12" ht="21.75" customHeight="1" x14ac:dyDescent="0.2">
      <c r="B8" s="3298" t="s">
        <v>1037</v>
      </c>
      <c r="C8" s="3298"/>
      <c r="D8" s="3298"/>
      <c r="E8" s="3298"/>
      <c r="F8" s="3298"/>
      <c r="G8" s="3298"/>
      <c r="H8" s="3298"/>
      <c r="I8" s="3300" t="s">
        <v>1193</v>
      </c>
      <c r="J8" s="3300"/>
      <c r="K8" s="3300"/>
      <c r="L8" s="1855"/>
    </row>
    <row r="9" spans="2:12" ht="10.9" customHeight="1" x14ac:dyDescent="0.2">
      <c r="B9" s="1718"/>
      <c r="C9" s="1718"/>
      <c r="D9" s="1718"/>
      <c r="E9" s="1718"/>
      <c r="F9" s="1718"/>
      <c r="G9" s="1718"/>
      <c r="H9" s="1718"/>
      <c r="I9" s="1718"/>
      <c r="J9" s="1718"/>
      <c r="K9" s="1857"/>
      <c r="L9" s="1855"/>
    </row>
    <row r="10" spans="2:12" ht="16.5" customHeight="1" x14ac:dyDescent="0.2">
      <c r="B10" s="3280" t="s">
        <v>1038</v>
      </c>
      <c r="C10" s="3280"/>
      <c r="E10" s="1858" t="s">
        <v>1039</v>
      </c>
      <c r="F10" s="1859"/>
      <c r="G10" s="1860" t="s">
        <v>384</v>
      </c>
      <c r="I10" s="1861" t="s">
        <v>1980</v>
      </c>
      <c r="J10" s="1862"/>
      <c r="K10" s="1861" t="s">
        <v>1380</v>
      </c>
      <c r="L10" s="1855"/>
    </row>
    <row r="11" spans="2:12" ht="16.5" customHeight="1" x14ac:dyDescent="0.2">
      <c r="B11" s="1859"/>
      <c r="C11" s="1859"/>
      <c r="E11" s="1859"/>
      <c r="F11" s="1859"/>
      <c r="G11" s="1862"/>
      <c r="I11" s="1862"/>
      <c r="J11" s="1862"/>
      <c r="K11" s="1862"/>
      <c r="L11" s="1855"/>
    </row>
    <row r="12" spans="2:12" ht="16.5" customHeight="1" x14ac:dyDescent="0.2">
      <c r="B12" s="3281" t="s">
        <v>1040</v>
      </c>
      <c r="C12" s="3281"/>
      <c r="E12" s="1855" t="s">
        <v>1206</v>
      </c>
      <c r="F12" s="1855"/>
      <c r="G12" s="1863" t="s">
        <v>1035</v>
      </c>
      <c r="I12" s="460">
        <f>I198</f>
        <v>5685785554628</v>
      </c>
      <c r="J12" s="460"/>
      <c r="K12" s="460">
        <v>3969269612140</v>
      </c>
      <c r="L12" s="1855"/>
    </row>
    <row r="13" spans="2:12" ht="16.5" customHeight="1" x14ac:dyDescent="0.2">
      <c r="B13" s="3281" t="s">
        <v>1041</v>
      </c>
      <c r="C13" s="3281"/>
      <c r="E13" s="1855" t="s">
        <v>1042</v>
      </c>
      <c r="F13" s="1855"/>
      <c r="G13" s="1863"/>
      <c r="I13" s="460" t="s">
        <v>30</v>
      </c>
      <c r="J13" s="460"/>
      <c r="K13" s="460" t="s">
        <v>30</v>
      </c>
      <c r="L13" s="1855"/>
    </row>
    <row r="14" spans="2:12" ht="16.5" customHeight="1" x14ac:dyDescent="0.2">
      <c r="B14" s="3281" t="s">
        <v>1041</v>
      </c>
      <c r="C14" s="3281"/>
      <c r="E14" s="1855" t="s">
        <v>1044</v>
      </c>
      <c r="F14" s="1855"/>
      <c r="G14" s="1863" t="s">
        <v>1043</v>
      </c>
      <c r="I14" s="460">
        <f>I241</f>
        <v>6748141198</v>
      </c>
      <c r="J14" s="460"/>
      <c r="K14" s="460">
        <v>2341947339</v>
      </c>
      <c r="L14" s="1855"/>
    </row>
    <row r="15" spans="2:12" ht="16.5" customHeight="1" x14ac:dyDescent="0.2">
      <c r="B15" s="3281" t="s">
        <v>1040</v>
      </c>
      <c r="C15" s="3281"/>
      <c r="E15" s="1855" t="s">
        <v>1046</v>
      </c>
      <c r="F15" s="1855"/>
      <c r="G15" s="1863" t="s">
        <v>1045</v>
      </c>
      <c r="I15" s="460">
        <f>I305</f>
        <v>17089528830</v>
      </c>
      <c r="J15" s="460"/>
      <c r="K15" s="460">
        <v>285837927503</v>
      </c>
      <c r="L15" s="1855"/>
    </row>
    <row r="16" spans="2:12" ht="16.5" customHeight="1" x14ac:dyDescent="0.2">
      <c r="B16" s="3281"/>
      <c r="C16" s="3281"/>
      <c r="E16" s="1855"/>
      <c r="F16" s="1855"/>
      <c r="G16" s="1863"/>
      <c r="I16" s="460"/>
      <c r="J16" s="460"/>
      <c r="K16" s="460">
        <v>564099000000</v>
      </c>
      <c r="L16" s="1855"/>
    </row>
    <row r="17" spans="2:12" ht="16.5" customHeight="1" thickBot="1" x14ac:dyDescent="0.25">
      <c r="B17" s="3295"/>
      <c r="C17" s="3295"/>
      <c r="D17" s="3295"/>
      <c r="E17" s="3295"/>
      <c r="F17" s="3295"/>
      <c r="G17" s="3295"/>
      <c r="H17" s="3295"/>
      <c r="I17" s="461">
        <f>SUM(I12:I16)+1000000</f>
        <v>5709624224656</v>
      </c>
      <c r="J17" s="457"/>
      <c r="K17" s="461">
        <v>4821549486982</v>
      </c>
      <c r="L17" s="1855"/>
    </row>
    <row r="18" spans="2:12" ht="17.25" hidden="1" customHeight="1" thickBot="1" x14ac:dyDescent="0.25">
      <c r="B18" s="3282" t="s">
        <v>1047</v>
      </c>
      <c r="C18" s="3282"/>
      <c r="D18" s="3282"/>
      <c r="E18" s="3282"/>
      <c r="F18" s="3282"/>
      <c r="G18" s="3282"/>
      <c r="H18" s="3282"/>
      <c r="I18" s="3282"/>
      <c r="J18" s="3282"/>
      <c r="K18" s="3282"/>
      <c r="L18" s="1855"/>
    </row>
    <row r="19" spans="2:12" ht="17.25" hidden="1" customHeight="1" thickTop="1" x14ac:dyDescent="0.2">
      <c r="B19" s="3282"/>
      <c r="C19" s="3282"/>
      <c r="D19" s="3282"/>
      <c r="E19" s="3282"/>
      <c r="F19" s="3282"/>
      <c r="G19" s="3282"/>
      <c r="H19" s="3282"/>
      <c r="I19" s="3282"/>
      <c r="J19" s="3282"/>
      <c r="K19" s="3282"/>
      <c r="L19" s="1855"/>
    </row>
    <row r="20" spans="2:12" ht="17.25" hidden="1" customHeight="1" thickTop="1" x14ac:dyDescent="0.2">
      <c r="B20" s="1854"/>
      <c r="C20" s="1854"/>
      <c r="D20" s="1854"/>
      <c r="E20" s="1854"/>
      <c r="F20" s="1854"/>
      <c r="G20" s="1854"/>
      <c r="H20" s="1854"/>
      <c r="I20" s="1854"/>
      <c r="J20" s="1854"/>
      <c r="K20" s="459"/>
      <c r="L20" s="1855"/>
    </row>
    <row r="21" spans="2:12" ht="17.25" hidden="1" customHeight="1" thickTop="1" x14ac:dyDescent="0.2">
      <c r="B21" s="3297" t="s">
        <v>196</v>
      </c>
      <c r="C21" s="1864"/>
      <c r="D21" s="1864"/>
      <c r="E21" s="1864"/>
      <c r="F21" s="1864"/>
      <c r="G21" s="1864"/>
      <c r="H21" s="3289"/>
      <c r="I21" s="1865" t="s">
        <v>1048</v>
      </c>
      <c r="J21" s="1865"/>
      <c r="K21" s="1865"/>
      <c r="L21" s="1855"/>
    </row>
    <row r="22" spans="2:12" ht="17.25" hidden="1" customHeight="1" thickTop="1" x14ac:dyDescent="0.2">
      <c r="B22" s="3297"/>
      <c r="C22" s="1864"/>
      <c r="D22" s="1864"/>
      <c r="E22" s="1864"/>
      <c r="F22" s="1864"/>
      <c r="G22" s="1864"/>
      <c r="H22" s="3289"/>
      <c r="I22" s="1865" t="s">
        <v>13</v>
      </c>
      <c r="J22" s="1865"/>
      <c r="K22" s="1865"/>
      <c r="L22" s="1855"/>
    </row>
    <row r="23" spans="2:12" ht="17.25" hidden="1" customHeight="1" thickTop="1" x14ac:dyDescent="0.2">
      <c r="B23" s="1866" t="s">
        <v>63</v>
      </c>
      <c r="C23" s="1866"/>
      <c r="D23" s="1866"/>
      <c r="E23" s="1866"/>
      <c r="F23" s="1866"/>
      <c r="G23" s="1866"/>
      <c r="H23" s="1866"/>
      <c r="I23" s="462">
        <v>3000000</v>
      </c>
      <c r="J23" s="462"/>
      <c r="K23" s="1867"/>
      <c r="L23" s="1855"/>
    </row>
    <row r="24" spans="2:12" ht="17.25" hidden="1" customHeight="1" thickTop="1" x14ac:dyDescent="0.2">
      <c r="B24" s="1868" t="s">
        <v>104</v>
      </c>
      <c r="C24" s="1868"/>
      <c r="D24" s="1868"/>
      <c r="E24" s="1868"/>
      <c r="F24" s="1868"/>
      <c r="G24" s="1868"/>
      <c r="H24" s="1869"/>
      <c r="I24" s="462">
        <v>4788492749</v>
      </c>
      <c r="J24" s="462"/>
      <c r="K24" s="1867"/>
      <c r="L24" s="1855"/>
    </row>
    <row r="25" spans="2:12" ht="17.25" hidden="1" customHeight="1" thickTop="1" x14ac:dyDescent="0.2">
      <c r="B25" s="1866" t="s">
        <v>200</v>
      </c>
      <c r="C25" s="1866"/>
      <c r="D25" s="1866"/>
      <c r="E25" s="1866"/>
      <c r="F25" s="1866"/>
      <c r="G25" s="1866"/>
      <c r="H25" s="1866"/>
      <c r="I25" s="462">
        <v>297000000</v>
      </c>
      <c r="J25" s="462"/>
      <c r="K25" s="1867"/>
      <c r="L25" s="1855"/>
    </row>
    <row r="26" spans="2:12" ht="17.25" hidden="1" customHeight="1" thickTop="1" x14ac:dyDescent="0.2">
      <c r="B26" s="1866" t="s">
        <v>66</v>
      </c>
      <c r="C26" s="1866"/>
      <c r="D26" s="1866"/>
      <c r="E26" s="1866"/>
      <c r="F26" s="1866"/>
      <c r="G26" s="1866"/>
      <c r="H26" s="1866"/>
      <c r="I26" s="462">
        <v>1000000000</v>
      </c>
      <c r="J26" s="462"/>
      <c r="K26" s="1867"/>
      <c r="L26" s="1855"/>
    </row>
    <row r="27" spans="2:12" ht="17.25" hidden="1" customHeight="1" thickTop="1" x14ac:dyDescent="0.2">
      <c r="B27" s="1866" t="s">
        <v>68</v>
      </c>
      <c r="C27" s="1866"/>
      <c r="D27" s="1866"/>
      <c r="E27" s="1866"/>
      <c r="F27" s="1866"/>
      <c r="G27" s="1866"/>
      <c r="H27" s="1866"/>
      <c r="I27" s="462">
        <v>5222225543</v>
      </c>
      <c r="J27" s="462"/>
      <c r="K27" s="1867"/>
      <c r="L27" s="1855"/>
    </row>
    <row r="28" spans="2:12" ht="17.25" hidden="1" customHeight="1" thickTop="1" x14ac:dyDescent="0.2">
      <c r="B28" s="1866" t="s">
        <v>161</v>
      </c>
      <c r="C28" s="1866"/>
      <c r="D28" s="1866"/>
      <c r="E28" s="1866"/>
      <c r="F28" s="1866"/>
      <c r="G28" s="1866"/>
      <c r="H28" s="1866"/>
      <c r="I28" s="462">
        <v>500000000</v>
      </c>
      <c r="J28" s="462"/>
      <c r="K28" s="1867"/>
      <c r="L28" s="1855"/>
    </row>
    <row r="29" spans="2:12" ht="17.25" hidden="1" customHeight="1" thickTop="1" x14ac:dyDescent="0.2">
      <c r="B29" s="1866" t="s">
        <v>69</v>
      </c>
      <c r="C29" s="1866"/>
      <c r="D29" s="1866"/>
      <c r="E29" s="1866"/>
      <c r="F29" s="1866"/>
      <c r="G29" s="1866"/>
      <c r="H29" s="1866"/>
      <c r="I29" s="462">
        <v>500000000</v>
      </c>
      <c r="J29" s="462"/>
      <c r="K29" s="1867"/>
      <c r="L29" s="1855"/>
    </row>
    <row r="30" spans="2:12" ht="17.25" hidden="1" customHeight="1" thickTop="1" x14ac:dyDescent="0.2">
      <c r="B30" s="538" t="s">
        <v>73</v>
      </c>
      <c r="C30" s="538"/>
      <c r="D30" s="538"/>
      <c r="E30" s="538"/>
      <c r="F30" s="538"/>
      <c r="G30" s="538"/>
      <c r="H30" s="1869"/>
      <c r="I30" s="462">
        <v>15056448948</v>
      </c>
      <c r="J30" s="462"/>
      <c r="K30" s="1867"/>
      <c r="L30" s="1855"/>
    </row>
    <row r="31" spans="2:12" ht="17.25" hidden="1" customHeight="1" thickTop="1" x14ac:dyDescent="0.2">
      <c r="B31" s="1866">
        <v>1307002010</v>
      </c>
      <c r="C31" s="1866"/>
      <c r="D31" s="1866"/>
      <c r="E31" s="1866"/>
      <c r="F31" s="1866"/>
      <c r="G31" s="1866"/>
      <c r="H31" s="1866"/>
      <c r="I31" s="462">
        <f>52518092754-13779564</f>
        <v>52504313190</v>
      </c>
      <c r="J31" s="462"/>
      <c r="K31" s="1867"/>
      <c r="L31" s="1855"/>
    </row>
    <row r="32" spans="2:12" ht="17.25" hidden="1" customHeight="1" thickTop="1" x14ac:dyDescent="0.2">
      <c r="B32" s="1866" t="s">
        <v>204</v>
      </c>
      <c r="C32" s="1866"/>
      <c r="D32" s="1866"/>
      <c r="E32" s="1866"/>
      <c r="F32" s="1866"/>
      <c r="G32" s="1866"/>
      <c r="H32" s="1866"/>
      <c r="I32" s="462">
        <v>30000000</v>
      </c>
      <c r="J32" s="462"/>
      <c r="K32" s="1867"/>
      <c r="L32" s="1855"/>
    </row>
    <row r="33" spans="2:12" ht="17.25" hidden="1" customHeight="1" thickTop="1" x14ac:dyDescent="0.2">
      <c r="B33" s="1866" t="s">
        <v>90</v>
      </c>
      <c r="C33" s="1866"/>
      <c r="D33" s="1866"/>
      <c r="E33" s="1866"/>
      <c r="F33" s="1866"/>
      <c r="G33" s="1866"/>
      <c r="H33" s="1866"/>
      <c r="I33" s="462">
        <v>367310860</v>
      </c>
      <c r="J33" s="462"/>
      <c r="K33" s="1867"/>
      <c r="L33" s="1855"/>
    </row>
    <row r="34" spans="2:12" ht="17.25" hidden="1" customHeight="1" thickTop="1" x14ac:dyDescent="0.2">
      <c r="B34" s="1866" t="s">
        <v>101</v>
      </c>
      <c r="C34" s="1866"/>
      <c r="D34" s="1866"/>
      <c r="E34" s="1866"/>
      <c r="F34" s="1866"/>
      <c r="G34" s="1866"/>
      <c r="H34" s="1866"/>
      <c r="I34" s="462">
        <v>500000000</v>
      </c>
      <c r="J34" s="462"/>
      <c r="K34" s="1867"/>
      <c r="L34" s="1855"/>
    </row>
    <row r="35" spans="2:12" ht="17.25" hidden="1" customHeight="1" thickTop="1" x14ac:dyDescent="0.2">
      <c r="B35" s="1868" t="s">
        <v>206</v>
      </c>
      <c r="C35" s="1868"/>
      <c r="D35" s="1868"/>
      <c r="E35" s="1868"/>
      <c r="F35" s="1868"/>
      <c r="G35" s="1868"/>
      <c r="H35" s="1869"/>
      <c r="I35" s="462">
        <v>218939290</v>
      </c>
      <c r="J35" s="462"/>
      <c r="K35" s="1867"/>
      <c r="L35" s="1855"/>
    </row>
    <row r="36" spans="2:12" ht="17.25" hidden="1" customHeight="1" thickTop="1" x14ac:dyDescent="0.2">
      <c r="B36" s="1866" t="s">
        <v>103</v>
      </c>
      <c r="C36" s="1866"/>
      <c r="D36" s="1866"/>
      <c r="E36" s="1866"/>
      <c r="F36" s="1866"/>
      <c r="G36" s="1866"/>
      <c r="H36" s="1866"/>
      <c r="I36" s="462">
        <v>500000000</v>
      </c>
      <c r="J36" s="462"/>
      <c r="K36" s="1867"/>
      <c r="L36" s="1855"/>
    </row>
    <row r="37" spans="2:12" ht="17.25" hidden="1" customHeight="1" thickTop="1" x14ac:dyDescent="0.2">
      <c r="B37" s="1868" t="s">
        <v>92</v>
      </c>
      <c r="C37" s="1868"/>
      <c r="D37" s="1868"/>
      <c r="E37" s="1868"/>
      <c r="F37" s="1868"/>
      <c r="G37" s="1868"/>
      <c r="H37" s="1869"/>
      <c r="I37" s="462">
        <v>40900000</v>
      </c>
      <c r="J37" s="462"/>
      <c r="K37" s="1867"/>
      <c r="L37" s="1855"/>
    </row>
    <row r="38" spans="2:12" ht="17.25" hidden="1" customHeight="1" thickTop="1" x14ac:dyDescent="0.2">
      <c r="B38" s="1868" t="s">
        <v>96</v>
      </c>
      <c r="C38" s="1868"/>
      <c r="D38" s="1868"/>
      <c r="E38" s="1868"/>
      <c r="F38" s="1868"/>
      <c r="G38" s="1868"/>
      <c r="H38" s="1869"/>
      <c r="I38" s="462">
        <v>98818416</v>
      </c>
      <c r="J38" s="462"/>
      <c r="K38" s="1867"/>
      <c r="L38" s="1855"/>
    </row>
    <row r="39" spans="2:12" ht="17.25" hidden="1" customHeight="1" thickTop="1" x14ac:dyDescent="0.2">
      <c r="B39" s="1866" t="s">
        <v>209</v>
      </c>
      <c r="C39" s="1866"/>
      <c r="D39" s="1866"/>
      <c r="E39" s="1866"/>
      <c r="F39" s="1866"/>
      <c r="G39" s="1866"/>
      <c r="H39" s="1866"/>
      <c r="I39" s="462">
        <v>201428305</v>
      </c>
      <c r="J39" s="462"/>
      <c r="K39" s="1867"/>
      <c r="L39" s="1855"/>
    </row>
    <row r="40" spans="2:12" ht="17.25" hidden="1" customHeight="1" thickTop="1" x14ac:dyDescent="0.2">
      <c r="B40" s="1868" t="s">
        <v>105</v>
      </c>
      <c r="C40" s="1868"/>
      <c r="D40" s="1868"/>
      <c r="E40" s="1868"/>
      <c r="F40" s="1868"/>
      <c r="G40" s="1868"/>
      <c r="H40" s="1869"/>
      <c r="I40" s="463">
        <v>73677102</v>
      </c>
      <c r="J40" s="463"/>
      <c r="K40" s="1867"/>
      <c r="L40" s="1855"/>
    </row>
    <row r="41" spans="2:12" ht="17.25" hidden="1" customHeight="1" thickTop="1" x14ac:dyDescent="0.2">
      <c r="B41" s="1866" t="s">
        <v>164</v>
      </c>
      <c r="C41" s="1866"/>
      <c r="D41" s="1866"/>
      <c r="E41" s="1866"/>
      <c r="F41" s="1866"/>
      <c r="G41" s="1866"/>
      <c r="H41" s="1866"/>
      <c r="I41" s="463">
        <v>950840289</v>
      </c>
      <c r="J41" s="463"/>
      <c r="K41" s="1867"/>
      <c r="L41" s="1855"/>
    </row>
    <row r="42" spans="2:12" ht="17.25" hidden="1" customHeight="1" thickTop="1" x14ac:dyDescent="0.2">
      <c r="B42" s="463" t="s">
        <v>107</v>
      </c>
      <c r="C42" s="463"/>
      <c r="D42" s="463"/>
      <c r="E42" s="463"/>
      <c r="F42" s="463"/>
      <c r="G42" s="463"/>
      <c r="H42" s="1869"/>
      <c r="I42" s="463">
        <v>11731401422</v>
      </c>
      <c r="J42" s="463"/>
      <c r="K42" s="1867"/>
      <c r="L42" s="1855"/>
    </row>
    <row r="43" spans="2:12" ht="17.25" hidden="1" customHeight="1" thickTop="1" x14ac:dyDescent="0.2">
      <c r="B43" s="1868" t="s">
        <v>165</v>
      </c>
      <c r="C43" s="1868"/>
      <c r="D43" s="1868"/>
      <c r="E43" s="1868"/>
      <c r="F43" s="1868"/>
      <c r="G43" s="1868"/>
      <c r="H43" s="1869"/>
      <c r="I43" s="463">
        <v>5108124825</v>
      </c>
      <c r="J43" s="463"/>
      <c r="K43" s="1867"/>
      <c r="L43" s="1855"/>
    </row>
    <row r="44" spans="2:12" ht="17.25" hidden="1" customHeight="1" thickTop="1" x14ac:dyDescent="0.2">
      <c r="B44" s="463" t="s">
        <v>111</v>
      </c>
      <c r="C44" s="463"/>
      <c r="D44" s="463"/>
      <c r="E44" s="463"/>
      <c r="F44" s="463"/>
      <c r="G44" s="463"/>
      <c r="H44" s="1869"/>
      <c r="I44" s="463">
        <v>600000000</v>
      </c>
      <c r="J44" s="463"/>
      <c r="K44" s="1867"/>
      <c r="L44" s="1855"/>
    </row>
    <row r="45" spans="2:12" ht="17.25" hidden="1" customHeight="1" thickTop="1" x14ac:dyDescent="0.2">
      <c r="B45" s="1868" t="s">
        <v>109</v>
      </c>
      <c r="C45" s="1868"/>
      <c r="D45" s="1868"/>
      <c r="E45" s="1868"/>
      <c r="F45" s="1868"/>
      <c r="G45" s="1868"/>
      <c r="H45" s="1868"/>
      <c r="I45" s="463">
        <v>70000000</v>
      </c>
      <c r="J45" s="464"/>
      <c r="K45" s="465"/>
      <c r="L45" s="1855"/>
    </row>
    <row r="46" spans="2:12" ht="17.25" hidden="1" customHeight="1" thickTop="1" x14ac:dyDescent="0.2">
      <c r="B46" s="1868" t="s">
        <v>113</v>
      </c>
      <c r="C46" s="1868"/>
      <c r="D46" s="1868"/>
      <c r="E46" s="1868"/>
      <c r="F46" s="1868"/>
      <c r="G46" s="1868"/>
      <c r="H46" s="1869"/>
      <c r="I46" s="463">
        <v>998145579</v>
      </c>
      <c r="J46" s="463"/>
      <c r="K46" s="1867"/>
      <c r="L46" s="1855"/>
    </row>
    <row r="47" spans="2:12" ht="17.25" hidden="1" customHeight="1" thickTop="1" x14ac:dyDescent="0.2">
      <c r="B47" s="1866" t="s">
        <v>115</v>
      </c>
      <c r="C47" s="1866"/>
      <c r="D47" s="1866"/>
      <c r="E47" s="1866"/>
      <c r="F47" s="1866"/>
      <c r="G47" s="1866"/>
      <c r="H47" s="1866"/>
      <c r="I47" s="462">
        <v>10000000</v>
      </c>
      <c r="J47" s="462"/>
      <c r="K47" s="1867"/>
      <c r="L47" s="1855"/>
    </row>
    <row r="48" spans="2:12" ht="17.25" hidden="1" customHeight="1" thickTop="1" x14ac:dyDescent="0.2">
      <c r="B48" s="1868" t="s">
        <v>213</v>
      </c>
      <c r="C48" s="1868"/>
      <c r="D48" s="1868"/>
      <c r="E48" s="1868"/>
      <c r="F48" s="1868"/>
      <c r="G48" s="1868"/>
      <c r="H48" s="1869"/>
      <c r="I48" s="462">
        <v>155873200</v>
      </c>
      <c r="J48" s="462"/>
      <c r="K48" s="1867"/>
      <c r="L48" s="1855"/>
    </row>
    <row r="49" spans="2:12" ht="17.25" hidden="1" customHeight="1" thickTop="1" x14ac:dyDescent="0.2">
      <c r="B49" s="1866" t="s">
        <v>158</v>
      </c>
      <c r="C49" s="1866"/>
      <c r="D49" s="1866"/>
      <c r="E49" s="1866"/>
      <c r="F49" s="1866"/>
      <c r="G49" s="1866"/>
      <c r="H49" s="1866"/>
      <c r="I49" s="462">
        <v>180000000</v>
      </c>
      <c r="J49" s="462"/>
      <c r="K49" s="1867"/>
      <c r="L49" s="1855"/>
    </row>
    <row r="50" spans="2:12" ht="17.25" hidden="1" customHeight="1" thickTop="1" x14ac:dyDescent="0.2">
      <c r="B50" s="1870" t="s">
        <v>1049</v>
      </c>
      <c r="C50" s="1870"/>
      <c r="D50" s="1870"/>
      <c r="E50" s="1870"/>
      <c r="F50" s="1870"/>
      <c r="G50" s="1870"/>
      <c r="H50" s="1870"/>
      <c r="I50" s="462">
        <v>3690321400</v>
      </c>
      <c r="J50" s="462"/>
      <c r="K50" s="1867"/>
      <c r="L50" s="1855"/>
    </row>
    <row r="51" spans="2:12" ht="17.25" hidden="1" customHeight="1" thickTop="1" x14ac:dyDescent="0.2">
      <c r="B51" s="1870" t="s">
        <v>215</v>
      </c>
      <c r="C51" s="1870"/>
      <c r="D51" s="1870"/>
      <c r="E51" s="1870"/>
      <c r="F51" s="1870"/>
      <c r="G51" s="1870"/>
      <c r="H51" s="1870"/>
      <c r="I51" s="462">
        <v>228965000</v>
      </c>
      <c r="J51" s="462"/>
      <c r="K51" s="1867"/>
      <c r="L51" s="1855"/>
    </row>
    <row r="52" spans="2:12" ht="17.25" hidden="1" customHeight="1" thickTop="1" x14ac:dyDescent="0.2">
      <c r="B52" s="1871" t="s">
        <v>217</v>
      </c>
      <c r="C52" s="1871"/>
      <c r="D52" s="1871"/>
      <c r="E52" s="1871"/>
      <c r="F52" s="1871"/>
      <c r="G52" s="1871"/>
      <c r="H52" s="1871"/>
      <c r="I52" s="462">
        <f>6508802170-500000000</f>
        <v>6008802170</v>
      </c>
      <c r="J52" s="462"/>
      <c r="K52" s="1867"/>
      <c r="L52" s="1855"/>
    </row>
    <row r="53" spans="2:12" ht="17.25" hidden="1" customHeight="1" thickTop="1" x14ac:dyDescent="0.2">
      <c r="B53" s="463" t="s">
        <v>98</v>
      </c>
      <c r="C53" s="463"/>
      <c r="D53" s="463"/>
      <c r="E53" s="463"/>
      <c r="F53" s="463"/>
      <c r="G53" s="463"/>
      <c r="H53" s="1869"/>
      <c r="I53" s="462">
        <v>98500000</v>
      </c>
      <c r="J53" s="462"/>
      <c r="K53" s="1867"/>
      <c r="L53" s="1855"/>
    </row>
    <row r="54" spans="2:12" ht="17.25" hidden="1" customHeight="1" thickTop="1" x14ac:dyDescent="0.2">
      <c r="B54" s="1872" t="s">
        <v>1050</v>
      </c>
      <c r="C54" s="1872"/>
      <c r="D54" s="1872"/>
      <c r="E54" s="1872"/>
      <c r="F54" s="1872"/>
      <c r="G54" s="1872"/>
      <c r="H54" s="1873"/>
      <c r="I54" s="466">
        <v>10000000</v>
      </c>
      <c r="J54" s="466"/>
      <c r="K54" s="1874"/>
      <c r="L54" s="1855"/>
    </row>
    <row r="55" spans="2:12" ht="17.25" hidden="1" customHeight="1" thickTop="1" x14ac:dyDescent="0.2">
      <c r="B55" s="3299" t="s">
        <v>221</v>
      </c>
      <c r="C55" s="3299"/>
      <c r="D55" s="3299"/>
      <c r="E55" s="3299"/>
      <c r="F55" s="3299"/>
      <c r="G55" s="3299"/>
      <c r="H55" s="3299"/>
      <c r="I55" s="467">
        <v>111745000000</v>
      </c>
      <c r="J55" s="468"/>
      <c r="K55" s="469"/>
      <c r="L55" s="1855"/>
    </row>
    <row r="56" spans="2:12" ht="17.25" hidden="1" customHeight="1" thickTop="1" x14ac:dyDescent="0.2">
      <c r="B56" s="1875"/>
      <c r="C56" s="1875"/>
      <c r="D56" s="1875"/>
      <c r="E56" s="1875"/>
      <c r="F56" s="1875"/>
      <c r="G56" s="1875"/>
      <c r="H56" s="1875"/>
      <c r="I56" s="470"/>
      <c r="J56" s="470"/>
      <c r="K56" s="470"/>
      <c r="L56" s="1855"/>
    </row>
    <row r="57" spans="2:12" ht="17.25" hidden="1" customHeight="1" thickTop="1" x14ac:dyDescent="0.2">
      <c r="B57" s="3282" t="s">
        <v>1051</v>
      </c>
      <c r="C57" s="3282"/>
      <c r="D57" s="3282"/>
      <c r="E57" s="3282"/>
      <c r="F57" s="3282"/>
      <c r="G57" s="3282"/>
      <c r="H57" s="3282"/>
      <c r="I57" s="3282"/>
      <c r="J57" s="3282"/>
      <c r="K57" s="3282"/>
      <c r="L57" s="1855"/>
    </row>
    <row r="58" spans="2:12" ht="17.25" hidden="1" customHeight="1" thickTop="1" x14ac:dyDescent="0.2">
      <c r="B58" s="3282"/>
      <c r="C58" s="3282"/>
      <c r="D58" s="3282"/>
      <c r="E58" s="3282"/>
      <c r="F58" s="3282"/>
      <c r="G58" s="3282"/>
      <c r="H58" s="3282"/>
      <c r="I58" s="3282"/>
      <c r="J58" s="3282"/>
      <c r="K58" s="3282"/>
      <c r="L58" s="1855"/>
    </row>
    <row r="59" spans="2:12" ht="17.25" hidden="1" customHeight="1" thickTop="1" x14ac:dyDescent="0.2">
      <c r="B59" s="1854"/>
      <c r="C59" s="1854"/>
      <c r="D59" s="1854"/>
      <c r="E59" s="1854"/>
      <c r="F59" s="1854"/>
      <c r="G59" s="1854"/>
      <c r="H59" s="1854"/>
      <c r="I59" s="1854"/>
      <c r="J59" s="1854"/>
      <c r="K59" s="459"/>
      <c r="L59" s="1855"/>
    </row>
    <row r="60" spans="2:12" ht="17.25" hidden="1" customHeight="1" thickTop="1" x14ac:dyDescent="0.2">
      <c r="B60" s="3297" t="s">
        <v>196</v>
      </c>
      <c r="C60" s="1864"/>
      <c r="D60" s="1864"/>
      <c r="E60" s="1864"/>
      <c r="F60" s="1864"/>
      <c r="G60" s="1864"/>
      <c r="H60" s="3289"/>
      <c r="I60" s="1865" t="s">
        <v>1048</v>
      </c>
      <c r="J60" s="1865"/>
      <c r="K60" s="1865"/>
      <c r="L60" s="1855"/>
    </row>
    <row r="61" spans="2:12" ht="17.25" hidden="1" customHeight="1" thickTop="1" x14ac:dyDescent="0.2">
      <c r="B61" s="3297"/>
      <c r="C61" s="1864"/>
      <c r="D61" s="1864"/>
      <c r="E61" s="1864"/>
      <c r="F61" s="1864"/>
      <c r="G61" s="1864"/>
      <c r="H61" s="3289"/>
      <c r="I61" s="1865" t="s">
        <v>13</v>
      </c>
      <c r="J61" s="1865"/>
      <c r="K61" s="1865"/>
      <c r="L61" s="1855"/>
    </row>
    <row r="62" spans="2:12" ht="17.25" hidden="1" customHeight="1" thickTop="1" x14ac:dyDescent="0.2">
      <c r="B62" s="1868">
        <v>1503002046</v>
      </c>
      <c r="C62" s="1868"/>
      <c r="D62" s="1868"/>
      <c r="E62" s="1868"/>
      <c r="F62" s="1868"/>
      <c r="G62" s="1868"/>
      <c r="H62" s="1869"/>
      <c r="I62" s="462">
        <f>513779564-13779564</f>
        <v>500000000</v>
      </c>
      <c r="J62" s="462"/>
      <c r="K62" s="1867"/>
      <c r="L62" s="1855"/>
    </row>
    <row r="63" spans="2:12" ht="17.25" hidden="1" customHeight="1" thickTop="1" x14ac:dyDescent="0.2">
      <c r="B63" s="1876" t="s">
        <v>217</v>
      </c>
      <c r="C63" s="1876"/>
      <c r="D63" s="1876"/>
      <c r="E63" s="1876"/>
      <c r="F63" s="1876"/>
      <c r="G63" s="1876"/>
      <c r="H63" s="1877"/>
      <c r="I63" s="466">
        <v>500000000</v>
      </c>
      <c r="J63" s="466"/>
      <c r="K63" s="1874"/>
      <c r="L63" s="1855"/>
    </row>
    <row r="64" spans="2:12" ht="17.25" hidden="1" customHeight="1" thickTop="1" x14ac:dyDescent="0.2">
      <c r="B64" s="3290" t="s">
        <v>222</v>
      </c>
      <c r="C64" s="3290"/>
      <c r="D64" s="3290"/>
      <c r="E64" s="3290"/>
      <c r="F64" s="3290"/>
      <c r="G64" s="3290"/>
      <c r="H64" s="3290"/>
      <c r="I64" s="467">
        <f>SUM(I62:I63)</f>
        <v>1000000000</v>
      </c>
      <c r="J64" s="468"/>
      <c r="K64" s="1878"/>
      <c r="L64" s="1855"/>
    </row>
    <row r="65" spans="2:12" ht="17.25" hidden="1" customHeight="1" thickTop="1" x14ac:dyDescent="0.2">
      <c r="B65" s="1854"/>
      <c r="C65" s="1854"/>
      <c r="D65" s="1854"/>
      <c r="E65" s="1854"/>
      <c r="F65" s="1854"/>
      <c r="G65" s="1854"/>
      <c r="H65" s="1854"/>
      <c r="I65" s="1854"/>
      <c r="J65" s="1854"/>
      <c r="K65" s="459"/>
      <c r="L65" s="1855"/>
    </row>
    <row r="66" spans="2:12" ht="17.25" hidden="1" customHeight="1" thickTop="1" x14ac:dyDescent="0.2">
      <c r="B66" s="3282" t="s">
        <v>1052</v>
      </c>
      <c r="C66" s="3282"/>
      <c r="D66" s="3282"/>
      <c r="E66" s="3282"/>
      <c r="F66" s="3282"/>
      <c r="G66" s="3282"/>
      <c r="H66" s="3282"/>
      <c r="I66" s="3282"/>
      <c r="J66" s="3282"/>
      <c r="K66" s="3282"/>
      <c r="L66" s="1855"/>
    </row>
    <row r="67" spans="2:12" ht="17.25" hidden="1" customHeight="1" thickTop="1" x14ac:dyDescent="0.2">
      <c r="B67" s="3282"/>
      <c r="C67" s="3282"/>
      <c r="D67" s="3282"/>
      <c r="E67" s="3282"/>
      <c r="F67" s="3282"/>
      <c r="G67" s="3282"/>
      <c r="H67" s="3282"/>
      <c r="I67" s="3282"/>
      <c r="J67" s="3282"/>
      <c r="K67" s="3282"/>
      <c r="L67" s="1855"/>
    </row>
    <row r="68" spans="2:12" ht="17.25" hidden="1" customHeight="1" thickTop="1" x14ac:dyDescent="0.2">
      <c r="B68" s="1854"/>
      <c r="C68" s="1854"/>
      <c r="D68" s="1854"/>
      <c r="E68" s="1854"/>
      <c r="F68" s="1854"/>
      <c r="G68" s="1854"/>
      <c r="H68" s="1854"/>
      <c r="I68" s="1854"/>
      <c r="J68" s="1854"/>
      <c r="K68" s="459"/>
      <c r="L68" s="1855"/>
    </row>
    <row r="69" spans="2:12" ht="17.25" hidden="1" customHeight="1" thickTop="1" x14ac:dyDescent="0.2">
      <c r="B69" s="3297" t="s">
        <v>196</v>
      </c>
      <c r="C69" s="1864"/>
      <c r="D69" s="1864"/>
      <c r="E69" s="1864"/>
      <c r="F69" s="1864"/>
      <c r="G69" s="1864"/>
      <c r="H69" s="3289"/>
      <c r="I69" s="1865" t="s">
        <v>1048</v>
      </c>
      <c r="J69" s="1865"/>
      <c r="K69" s="1865"/>
      <c r="L69" s="1855"/>
    </row>
    <row r="70" spans="2:12" ht="17.25" hidden="1" customHeight="1" thickTop="1" x14ac:dyDescent="0.2">
      <c r="B70" s="3297"/>
      <c r="C70" s="1864"/>
      <c r="D70" s="1864"/>
      <c r="E70" s="1864"/>
      <c r="F70" s="1864"/>
      <c r="G70" s="1864"/>
      <c r="H70" s="3289"/>
      <c r="I70" s="1865" t="s">
        <v>13</v>
      </c>
      <c r="J70" s="1865"/>
      <c r="K70" s="1865"/>
      <c r="L70" s="1855"/>
    </row>
    <row r="71" spans="2:12" ht="17.25" hidden="1" customHeight="1" thickTop="1" x14ac:dyDescent="0.2">
      <c r="B71" s="1868">
        <v>1503002046</v>
      </c>
      <c r="C71" s="1868"/>
      <c r="D71" s="1868"/>
      <c r="E71" s="1868"/>
      <c r="F71" s="1868"/>
      <c r="G71" s="1868"/>
      <c r="H71" s="1869"/>
      <c r="I71" s="462">
        <v>13779564</v>
      </c>
      <c r="J71" s="462"/>
      <c r="K71" s="1867"/>
      <c r="L71" s="1855"/>
    </row>
    <row r="72" spans="2:12" ht="17.25" hidden="1" customHeight="1" thickTop="1" x14ac:dyDescent="0.2">
      <c r="B72" s="1866">
        <v>1307002010</v>
      </c>
      <c r="C72" s="1866"/>
      <c r="D72" s="1866"/>
      <c r="E72" s="1866"/>
      <c r="F72" s="1866"/>
      <c r="G72" s="1866"/>
      <c r="H72" s="1866"/>
      <c r="I72" s="462">
        <v>13779564</v>
      </c>
      <c r="J72" s="462"/>
      <c r="K72" s="1867"/>
      <c r="L72" s="1855"/>
    </row>
    <row r="73" spans="2:12" ht="17.25" hidden="1" customHeight="1" thickTop="1" x14ac:dyDescent="0.2">
      <c r="B73" s="1868">
        <v>1307006001</v>
      </c>
      <c r="C73" s="1879"/>
      <c r="D73" s="1879"/>
      <c r="E73" s="1879"/>
      <c r="F73" s="1879"/>
      <c r="G73" s="1879"/>
      <c r="H73" s="1880"/>
      <c r="I73" s="466">
        <v>13779564</v>
      </c>
      <c r="J73" s="466"/>
      <c r="K73" s="1874"/>
      <c r="L73" s="1855"/>
    </row>
    <row r="74" spans="2:12" ht="17.25" hidden="1" customHeight="1" thickTop="1" x14ac:dyDescent="0.2">
      <c r="B74" s="3290" t="s">
        <v>222</v>
      </c>
      <c r="C74" s="3290"/>
      <c r="D74" s="3290"/>
      <c r="E74" s="3290"/>
      <c r="F74" s="3290"/>
      <c r="G74" s="3290"/>
      <c r="H74" s="3290"/>
      <c r="I74" s="467">
        <v>41000000</v>
      </c>
      <c r="J74" s="468"/>
      <c r="K74" s="1878"/>
      <c r="L74" s="1855"/>
    </row>
    <row r="75" spans="2:12" ht="17.25" hidden="1" customHeight="1" thickTop="1" x14ac:dyDescent="0.2">
      <c r="B75" s="1585"/>
      <c r="C75" s="1585"/>
      <c r="D75" s="1585"/>
      <c r="E75" s="1585"/>
      <c r="F75" s="1585"/>
      <c r="G75" s="1585"/>
      <c r="H75" s="1585"/>
      <c r="I75" s="470"/>
      <c r="J75" s="470"/>
      <c r="K75" s="470"/>
      <c r="L75" s="1855"/>
    </row>
    <row r="76" spans="2:12" ht="17.25" hidden="1" customHeight="1" thickTop="1" x14ac:dyDescent="0.2">
      <c r="B76" s="3282" t="s">
        <v>1053</v>
      </c>
      <c r="C76" s="3282"/>
      <c r="D76" s="3282"/>
      <c r="E76" s="3282"/>
      <c r="F76" s="3282"/>
      <c r="G76" s="3282"/>
      <c r="H76" s="3282"/>
      <c r="I76" s="3282"/>
      <c r="J76" s="3282"/>
      <c r="K76" s="3282"/>
      <c r="L76" s="1855"/>
    </row>
    <row r="77" spans="2:12" ht="17.25" hidden="1" customHeight="1" thickTop="1" x14ac:dyDescent="0.2">
      <c r="B77" s="3282"/>
      <c r="C77" s="3282"/>
      <c r="D77" s="3282"/>
      <c r="E77" s="3282"/>
      <c r="F77" s="3282"/>
      <c r="G77" s="3282"/>
      <c r="H77" s="3282"/>
      <c r="I77" s="3282"/>
      <c r="J77" s="3282"/>
      <c r="K77" s="3282"/>
      <c r="L77" s="1855"/>
    </row>
    <row r="78" spans="2:12" ht="17.25" hidden="1" customHeight="1" thickTop="1" x14ac:dyDescent="0.2">
      <c r="B78" s="1854"/>
      <c r="C78" s="1854"/>
      <c r="D78" s="1854"/>
      <c r="E78" s="1854"/>
      <c r="F78" s="1854"/>
      <c r="G78" s="1854"/>
      <c r="H78" s="1854"/>
      <c r="I78" s="1854"/>
      <c r="J78" s="1854"/>
      <c r="K78" s="471"/>
      <c r="L78" s="1855"/>
    </row>
    <row r="79" spans="2:12" ht="17.25" hidden="1" customHeight="1" thickTop="1" x14ac:dyDescent="0.2">
      <c r="B79" s="3289" t="s">
        <v>196</v>
      </c>
      <c r="C79" s="1865"/>
      <c r="D79" s="1865"/>
      <c r="E79" s="1865"/>
      <c r="F79" s="1865"/>
      <c r="G79" s="1865"/>
      <c r="H79" s="3289"/>
      <c r="I79" s="1865" t="s">
        <v>1048</v>
      </c>
      <c r="J79" s="1865"/>
      <c r="K79" s="1865"/>
      <c r="L79" s="1855"/>
    </row>
    <row r="80" spans="2:12" ht="17.25" hidden="1" customHeight="1" thickTop="1" x14ac:dyDescent="0.2">
      <c r="B80" s="3289"/>
      <c r="C80" s="1865"/>
      <c r="D80" s="1865"/>
      <c r="E80" s="1865"/>
      <c r="F80" s="1865"/>
      <c r="G80" s="1865"/>
      <c r="H80" s="3289"/>
      <c r="I80" s="1865" t="s">
        <v>13</v>
      </c>
      <c r="J80" s="1865"/>
      <c r="K80" s="1865"/>
      <c r="L80" s="1855"/>
    </row>
    <row r="81" spans="2:12" s="1882" customFormat="1" ht="17.25" hidden="1" customHeight="1" thickTop="1" x14ac:dyDescent="0.2">
      <c r="B81" s="1866">
        <v>1503002046</v>
      </c>
      <c r="C81" s="1866"/>
      <c r="D81" s="1866"/>
      <c r="E81" s="1866"/>
      <c r="F81" s="1866"/>
      <c r="G81" s="1866"/>
      <c r="H81" s="1881"/>
      <c r="I81" s="472">
        <v>6915966142</v>
      </c>
      <c r="J81" s="472"/>
      <c r="K81" s="1867"/>
      <c r="L81" s="1857"/>
    </row>
    <row r="82" spans="2:12" s="1882" customFormat="1" ht="17.25" hidden="1" customHeight="1" thickTop="1" x14ac:dyDescent="0.2">
      <c r="B82" s="1866">
        <v>1307002010</v>
      </c>
      <c r="C82" s="1866"/>
      <c r="D82" s="1866"/>
      <c r="E82" s="1866"/>
      <c r="F82" s="1866"/>
      <c r="G82" s="1866"/>
      <c r="H82" s="1881"/>
      <c r="I82" s="472">
        <v>1786730785</v>
      </c>
      <c r="J82" s="472"/>
      <c r="K82" s="1867"/>
      <c r="L82" s="1857"/>
    </row>
    <row r="83" spans="2:12" s="1882" customFormat="1" ht="17.25" hidden="1" customHeight="1" thickTop="1" x14ac:dyDescent="0.2">
      <c r="B83" s="1866" t="s">
        <v>189</v>
      </c>
      <c r="C83" s="1866"/>
      <c r="D83" s="1866"/>
      <c r="E83" s="1866"/>
      <c r="F83" s="1866"/>
      <c r="G83" s="1866"/>
      <c r="H83" s="1881"/>
      <c r="I83" s="472">
        <v>789555</v>
      </c>
      <c r="J83" s="472"/>
      <c r="K83" s="472"/>
      <c r="L83" s="1857"/>
    </row>
    <row r="84" spans="2:12" s="1882" customFormat="1" ht="17.25" hidden="1" customHeight="1" thickTop="1" x14ac:dyDescent="0.2">
      <c r="B84" s="1883" t="s">
        <v>225</v>
      </c>
      <c r="C84" s="1883"/>
      <c r="D84" s="1883"/>
      <c r="E84" s="1883"/>
      <c r="F84" s="1883"/>
      <c r="G84" s="1883"/>
      <c r="H84" s="1881"/>
      <c r="I84" s="472">
        <v>145014</v>
      </c>
      <c r="J84" s="472"/>
      <c r="K84" s="472"/>
      <c r="L84" s="1857"/>
    </row>
    <row r="85" spans="2:12" s="1882" customFormat="1" ht="17.25" hidden="1" customHeight="1" thickTop="1" x14ac:dyDescent="0.2">
      <c r="B85" s="1884" t="s">
        <v>1054</v>
      </c>
      <c r="C85" s="1884"/>
      <c r="D85" s="1884"/>
      <c r="E85" s="1884"/>
      <c r="F85" s="1884"/>
      <c r="G85" s="1884"/>
      <c r="H85" s="1881"/>
      <c r="I85" s="472">
        <v>9523809</v>
      </c>
      <c r="J85" s="472"/>
      <c r="K85" s="1867"/>
      <c r="L85" s="1857"/>
    </row>
    <row r="86" spans="2:12" s="1882" customFormat="1" ht="17.25" hidden="1" customHeight="1" thickTop="1" x14ac:dyDescent="0.2">
      <c r="B86" s="1866" t="s">
        <v>228</v>
      </c>
      <c r="C86" s="1866"/>
      <c r="D86" s="1866"/>
      <c r="E86" s="1866"/>
      <c r="F86" s="1866"/>
      <c r="G86" s="1866"/>
      <c r="H86" s="1881"/>
      <c r="I86" s="472">
        <v>42779262</v>
      </c>
      <c r="J86" s="472"/>
      <c r="K86" s="472"/>
      <c r="L86" s="1857"/>
    </row>
    <row r="87" spans="2:12" s="1882" customFormat="1" ht="17.25" hidden="1" customHeight="1" thickTop="1" x14ac:dyDescent="0.2">
      <c r="B87" s="1884">
        <v>40904224</v>
      </c>
      <c r="C87" s="1885"/>
      <c r="D87" s="1885"/>
      <c r="E87" s="1885"/>
      <c r="F87" s="1885"/>
      <c r="G87" s="1885"/>
      <c r="H87" s="1886"/>
      <c r="I87" s="473">
        <v>525443952</v>
      </c>
      <c r="J87" s="473"/>
      <c r="K87" s="474"/>
      <c r="L87" s="1857"/>
    </row>
    <row r="88" spans="2:12" ht="17.25" hidden="1" customHeight="1" thickTop="1" x14ac:dyDescent="0.2">
      <c r="B88" s="3296" t="s">
        <v>195</v>
      </c>
      <c r="C88" s="3296"/>
      <c r="D88" s="3296"/>
      <c r="E88" s="3296"/>
      <c r="F88" s="3296"/>
      <c r="G88" s="3296"/>
      <c r="H88" s="3296"/>
      <c r="I88" s="1887">
        <v>9281000000</v>
      </c>
      <c r="J88" s="1888"/>
      <c r="K88" s="475"/>
      <c r="L88" s="1855"/>
    </row>
    <row r="89" spans="2:12" ht="17.25" hidden="1" customHeight="1" thickTop="1" x14ac:dyDescent="0.2">
      <c r="B89" s="1854"/>
      <c r="C89" s="1854"/>
      <c r="D89" s="1854"/>
      <c r="E89" s="1854"/>
      <c r="F89" s="1854"/>
      <c r="G89" s="1854"/>
      <c r="H89" s="1854"/>
      <c r="I89" s="1854"/>
      <c r="J89" s="1854"/>
      <c r="K89" s="471"/>
      <c r="L89" s="1855"/>
    </row>
    <row r="90" spans="2:12" ht="17.25" hidden="1" customHeight="1" thickTop="1" x14ac:dyDescent="0.2">
      <c r="B90" s="1854"/>
      <c r="C90" s="1854"/>
      <c r="D90" s="1854"/>
      <c r="E90" s="1854"/>
      <c r="F90" s="1854"/>
      <c r="G90" s="1854"/>
      <c r="H90" s="1854"/>
      <c r="I90" s="1854"/>
      <c r="J90" s="1854"/>
      <c r="K90" s="471"/>
      <c r="L90" s="1855"/>
    </row>
    <row r="91" spans="2:12" ht="17.25" hidden="1" customHeight="1" thickTop="1" x14ac:dyDescent="0.2">
      <c r="B91" s="3276">
        <v>17</v>
      </c>
      <c r="C91" s="3276"/>
      <c r="D91" s="3276"/>
      <c r="E91" s="3276"/>
      <c r="F91" s="3276"/>
      <c r="G91" s="3276"/>
      <c r="H91" s="3276"/>
      <c r="I91" s="3276"/>
      <c r="J91" s="3276"/>
      <c r="K91" s="3276"/>
      <c r="L91" s="3276"/>
    </row>
    <row r="92" spans="2:12" ht="17.25" hidden="1" customHeight="1" thickTop="1" x14ac:dyDescent="0.2">
      <c r="B92" s="1854"/>
      <c r="C92" s="1854"/>
      <c r="D92" s="1854"/>
      <c r="E92" s="1854"/>
      <c r="F92" s="1854"/>
      <c r="G92" s="1854"/>
      <c r="H92" s="1854"/>
      <c r="I92" s="1854"/>
      <c r="J92" s="1854"/>
      <c r="K92" s="471"/>
      <c r="L92" s="1855"/>
    </row>
    <row r="93" spans="2:12" ht="17.25" hidden="1" customHeight="1" thickTop="1" x14ac:dyDescent="0.2">
      <c r="B93" s="3282" t="s">
        <v>1055</v>
      </c>
      <c r="C93" s="3282"/>
      <c r="D93" s="3282"/>
      <c r="E93" s="3282"/>
      <c r="F93" s="3282"/>
      <c r="G93" s="3282"/>
      <c r="H93" s="3282"/>
      <c r="I93" s="3282"/>
      <c r="J93" s="3282"/>
      <c r="K93" s="3282"/>
      <c r="L93" s="1855"/>
    </row>
    <row r="94" spans="2:12" ht="17.25" hidden="1" customHeight="1" thickTop="1" x14ac:dyDescent="0.2">
      <c r="B94" s="3282"/>
      <c r="C94" s="3282"/>
      <c r="D94" s="3282"/>
      <c r="E94" s="3282"/>
      <c r="F94" s="3282"/>
      <c r="G94" s="3282"/>
      <c r="H94" s="3282"/>
      <c r="I94" s="3282"/>
      <c r="J94" s="3282"/>
      <c r="K94" s="3282"/>
      <c r="L94" s="1855"/>
    </row>
    <row r="95" spans="2:12" ht="17.25" hidden="1" customHeight="1" thickTop="1" x14ac:dyDescent="0.2">
      <c r="B95" s="1854"/>
      <c r="C95" s="1854"/>
      <c r="D95" s="1854"/>
      <c r="E95" s="1854"/>
      <c r="F95" s="1854"/>
      <c r="G95" s="1854"/>
      <c r="H95" s="1854"/>
      <c r="I95" s="1854"/>
      <c r="J95" s="1854"/>
      <c r="K95" s="459"/>
      <c r="L95" s="1855"/>
    </row>
    <row r="96" spans="2:12" s="1882" customFormat="1" ht="17.25" hidden="1" customHeight="1" thickTop="1" x14ac:dyDescent="0.2">
      <c r="B96" s="3297" t="s">
        <v>196</v>
      </c>
      <c r="C96" s="1864"/>
      <c r="D96" s="1864"/>
      <c r="E96" s="1864"/>
      <c r="F96" s="1864"/>
      <c r="G96" s="1864"/>
      <c r="H96" s="3289"/>
      <c r="I96" s="1865" t="s">
        <v>1048</v>
      </c>
      <c r="J96" s="1865"/>
      <c r="K96" s="1865"/>
      <c r="L96" s="1855"/>
    </row>
    <row r="97" spans="2:12" s="1882" customFormat="1" ht="17.25" hidden="1" customHeight="1" thickTop="1" x14ac:dyDescent="0.2">
      <c r="B97" s="3297"/>
      <c r="C97" s="1864"/>
      <c r="D97" s="1864"/>
      <c r="E97" s="1864"/>
      <c r="F97" s="1864"/>
      <c r="G97" s="1864"/>
      <c r="H97" s="3289"/>
      <c r="I97" s="1865" t="s">
        <v>13</v>
      </c>
      <c r="J97" s="1865"/>
      <c r="K97" s="1865"/>
      <c r="L97" s="1855"/>
    </row>
    <row r="98" spans="2:12" s="1882" customFormat="1" ht="17.25" hidden="1" customHeight="1" thickTop="1" x14ac:dyDescent="0.2">
      <c r="B98" s="1866" t="s">
        <v>63</v>
      </c>
      <c r="C98" s="1866"/>
      <c r="D98" s="1866"/>
      <c r="E98" s="1866"/>
      <c r="F98" s="1866"/>
      <c r="G98" s="1866"/>
      <c r="H98" s="1866"/>
      <c r="I98" s="462">
        <v>22431701</v>
      </c>
      <c r="J98" s="462"/>
      <c r="K98" s="462"/>
      <c r="L98" s="1857"/>
    </row>
    <row r="99" spans="2:12" s="1882" customFormat="1" ht="17.25" hidden="1" customHeight="1" thickTop="1" x14ac:dyDescent="0.2">
      <c r="B99" s="1868" t="s">
        <v>104</v>
      </c>
      <c r="C99" s="1868"/>
      <c r="D99" s="1868"/>
      <c r="E99" s="1868"/>
      <c r="F99" s="1868"/>
      <c r="G99" s="1868"/>
      <c r="H99" s="1869"/>
      <c r="I99" s="462">
        <v>612084601</v>
      </c>
      <c r="J99" s="462"/>
      <c r="K99" s="1867"/>
      <c r="L99" s="1857"/>
    </row>
    <row r="100" spans="2:12" s="1882" customFormat="1" ht="17.25" hidden="1" customHeight="1" thickTop="1" x14ac:dyDescent="0.2">
      <c r="B100" s="1866" t="s">
        <v>200</v>
      </c>
      <c r="C100" s="1866"/>
      <c r="D100" s="1866"/>
      <c r="E100" s="1866"/>
      <c r="F100" s="1866"/>
      <c r="G100" s="1866"/>
      <c r="H100" s="1866"/>
      <c r="I100" s="462">
        <v>21927501</v>
      </c>
      <c r="J100" s="462"/>
      <c r="K100" s="476"/>
      <c r="L100" s="1857"/>
    </row>
    <row r="101" spans="2:12" s="1882" customFormat="1" ht="17.25" hidden="1" customHeight="1" thickTop="1" x14ac:dyDescent="0.2">
      <c r="B101" s="1866" t="s">
        <v>66</v>
      </c>
      <c r="C101" s="1866"/>
      <c r="D101" s="1866"/>
      <c r="E101" s="1866"/>
      <c r="F101" s="1866"/>
      <c r="G101" s="1866"/>
      <c r="H101" s="1866"/>
      <c r="I101" s="462">
        <v>53439522</v>
      </c>
      <c r="J101" s="462"/>
      <c r="K101" s="476"/>
      <c r="L101" s="1857"/>
    </row>
    <row r="102" spans="2:12" s="1882" customFormat="1" ht="17.25" hidden="1" customHeight="1" thickTop="1" x14ac:dyDescent="0.2">
      <c r="B102" s="1866" t="s">
        <v>68</v>
      </c>
      <c r="C102" s="1866"/>
      <c r="D102" s="1866"/>
      <c r="E102" s="1866"/>
      <c r="F102" s="1866"/>
      <c r="G102" s="1866"/>
      <c r="H102" s="1866"/>
      <c r="I102" s="462">
        <v>102171257</v>
      </c>
      <c r="J102" s="462"/>
      <c r="K102" s="462"/>
      <c r="L102" s="1857"/>
    </row>
    <row r="103" spans="2:12" s="1882" customFormat="1" ht="17.25" hidden="1" customHeight="1" thickTop="1" x14ac:dyDescent="0.2">
      <c r="B103" s="1866" t="s">
        <v>161</v>
      </c>
      <c r="C103" s="1866"/>
      <c r="D103" s="1866"/>
      <c r="E103" s="1866"/>
      <c r="F103" s="1866"/>
      <c r="G103" s="1866"/>
      <c r="H103" s="1866"/>
      <c r="I103" s="462">
        <f>66781253+8852412</f>
        <v>75633665</v>
      </c>
      <c r="J103" s="462"/>
      <c r="K103" s="462"/>
      <c r="L103" s="1857"/>
    </row>
    <row r="104" spans="2:12" s="1882" customFormat="1" ht="17.25" hidden="1" customHeight="1" thickTop="1" x14ac:dyDescent="0.2">
      <c r="B104" s="1866" t="s">
        <v>69</v>
      </c>
      <c r="C104" s="1866"/>
      <c r="D104" s="1866"/>
      <c r="E104" s="1866"/>
      <c r="F104" s="1866"/>
      <c r="G104" s="1866"/>
      <c r="H104" s="1866"/>
      <c r="I104" s="462">
        <v>928974493</v>
      </c>
      <c r="J104" s="462"/>
      <c r="K104" s="1867"/>
      <c r="L104" s="1857"/>
    </row>
    <row r="105" spans="2:12" s="1882" customFormat="1" ht="17.25" hidden="1" customHeight="1" thickTop="1" x14ac:dyDescent="0.2">
      <c r="B105" s="1866">
        <v>1307002010</v>
      </c>
      <c r="C105" s="1866"/>
      <c r="D105" s="1866"/>
      <c r="E105" s="1866"/>
      <c r="F105" s="1866"/>
      <c r="G105" s="1866"/>
      <c r="H105" s="1866"/>
      <c r="I105" s="462">
        <v>17587988318</v>
      </c>
      <c r="J105" s="462"/>
      <c r="K105" s="1867"/>
      <c r="L105" s="1857"/>
    </row>
    <row r="106" spans="2:12" s="1882" customFormat="1" ht="17.25" hidden="1" customHeight="1" thickTop="1" x14ac:dyDescent="0.2">
      <c r="B106" s="1866" t="s">
        <v>204</v>
      </c>
      <c r="C106" s="1866"/>
      <c r="D106" s="1866"/>
      <c r="E106" s="1866"/>
      <c r="F106" s="1866"/>
      <c r="G106" s="1866"/>
      <c r="H106" s="1866"/>
      <c r="I106" s="462">
        <f>16141173+107940680</f>
        <v>124081853</v>
      </c>
      <c r="J106" s="462"/>
      <c r="K106" s="462"/>
      <c r="L106" s="1857"/>
    </row>
    <row r="107" spans="2:12" s="1882" customFormat="1" ht="17.25" hidden="1" customHeight="1" thickTop="1" x14ac:dyDescent="0.2">
      <c r="B107" s="1868">
        <v>1503002046</v>
      </c>
      <c r="C107" s="1868"/>
      <c r="D107" s="1868"/>
      <c r="E107" s="1868"/>
      <c r="F107" s="1868"/>
      <c r="G107" s="1868"/>
      <c r="H107" s="1869"/>
      <c r="I107" s="462">
        <v>268809354</v>
      </c>
      <c r="J107" s="462"/>
      <c r="K107" s="462"/>
      <c r="L107" s="1857"/>
    </row>
    <row r="108" spans="2:12" s="1882" customFormat="1" ht="17.25" hidden="1" customHeight="1" thickTop="1" x14ac:dyDescent="0.2">
      <c r="B108" s="1866">
        <v>1503002096</v>
      </c>
      <c r="C108" s="1866"/>
      <c r="D108" s="1866"/>
      <c r="E108" s="1866"/>
      <c r="F108" s="1866"/>
      <c r="G108" s="1866"/>
      <c r="H108" s="1866"/>
      <c r="I108" s="462">
        <v>42083117</v>
      </c>
      <c r="J108" s="462"/>
      <c r="K108" s="462"/>
      <c r="L108" s="1857"/>
    </row>
    <row r="109" spans="2:12" s="1882" customFormat="1" ht="17.25" hidden="1" customHeight="1" thickTop="1" x14ac:dyDescent="0.2">
      <c r="B109" s="1868">
        <v>1503002173</v>
      </c>
      <c r="C109" s="1868"/>
      <c r="D109" s="1868"/>
      <c r="E109" s="1868"/>
      <c r="F109" s="1868"/>
      <c r="G109" s="1868"/>
      <c r="H109" s="1869"/>
      <c r="I109" s="462">
        <v>1550000000</v>
      </c>
      <c r="J109" s="462"/>
      <c r="K109" s="1867"/>
      <c r="L109" s="1857"/>
    </row>
    <row r="110" spans="2:12" s="1882" customFormat="1" ht="17.25" hidden="1" customHeight="1" thickTop="1" x14ac:dyDescent="0.2">
      <c r="B110" s="1866" t="s">
        <v>90</v>
      </c>
      <c r="C110" s="1866"/>
      <c r="D110" s="1866"/>
      <c r="E110" s="1866"/>
      <c r="F110" s="1866"/>
      <c r="G110" s="1866"/>
      <c r="H110" s="1866"/>
      <c r="I110" s="462">
        <v>254170116</v>
      </c>
      <c r="J110" s="462"/>
      <c r="K110" s="1867"/>
      <c r="L110" s="1857"/>
    </row>
    <row r="111" spans="2:12" s="1882" customFormat="1" ht="17.25" hidden="1" customHeight="1" thickTop="1" x14ac:dyDescent="0.2">
      <c r="B111" s="1866" t="s">
        <v>101</v>
      </c>
      <c r="C111" s="1866"/>
      <c r="D111" s="1866"/>
      <c r="E111" s="1866"/>
      <c r="F111" s="1866"/>
      <c r="G111" s="1866"/>
      <c r="H111" s="1866"/>
      <c r="I111" s="462">
        <v>38508471</v>
      </c>
      <c r="J111" s="462"/>
      <c r="K111" s="462"/>
      <c r="L111" s="1857"/>
    </row>
    <row r="112" spans="2:12" s="1882" customFormat="1" ht="17.25" hidden="1" customHeight="1" thickTop="1" x14ac:dyDescent="0.2">
      <c r="B112" s="1868" t="s">
        <v>206</v>
      </c>
      <c r="C112" s="1868"/>
      <c r="D112" s="1868"/>
      <c r="E112" s="1868"/>
      <c r="F112" s="1868"/>
      <c r="G112" s="1868"/>
      <c r="H112" s="1869"/>
      <c r="I112" s="1867"/>
      <c r="J112" s="1867"/>
      <c r="K112" s="462"/>
      <c r="L112" s="1857"/>
    </row>
    <row r="113" spans="2:12" s="1882" customFormat="1" ht="17.25" hidden="1" customHeight="1" thickTop="1" x14ac:dyDescent="0.2">
      <c r="B113" s="1866" t="s">
        <v>103</v>
      </c>
      <c r="C113" s="1866"/>
      <c r="D113" s="1866"/>
      <c r="E113" s="1866"/>
      <c r="F113" s="1866"/>
      <c r="G113" s="1866"/>
      <c r="H113" s="1866"/>
      <c r="I113" s="1867"/>
      <c r="J113" s="1867"/>
      <c r="K113" s="462"/>
      <c r="L113" s="1857"/>
    </row>
    <row r="114" spans="2:12" s="1882" customFormat="1" ht="17.25" hidden="1" customHeight="1" thickTop="1" x14ac:dyDescent="0.2">
      <c r="B114" s="1868" t="s">
        <v>92</v>
      </c>
      <c r="C114" s="1868"/>
      <c r="D114" s="1868"/>
      <c r="E114" s="1868"/>
      <c r="F114" s="1868"/>
      <c r="G114" s="1868"/>
      <c r="H114" s="1869"/>
      <c r="I114" s="462">
        <v>235820789</v>
      </c>
      <c r="J114" s="462"/>
      <c r="K114" s="1867"/>
      <c r="L114" s="1857"/>
    </row>
    <row r="115" spans="2:12" s="1882" customFormat="1" ht="17.25" hidden="1" customHeight="1" thickTop="1" x14ac:dyDescent="0.2">
      <c r="B115" s="1868" t="s">
        <v>96</v>
      </c>
      <c r="C115" s="1868"/>
      <c r="D115" s="1868"/>
      <c r="E115" s="1868"/>
      <c r="F115" s="1868"/>
      <c r="G115" s="1868"/>
      <c r="H115" s="1869"/>
      <c r="I115" s="462">
        <v>581515078</v>
      </c>
      <c r="J115" s="462"/>
      <c r="K115" s="1867"/>
      <c r="L115" s="1857"/>
    </row>
    <row r="116" spans="2:12" s="1882" customFormat="1" ht="17.25" hidden="1" customHeight="1" thickTop="1" x14ac:dyDescent="0.2">
      <c r="B116" s="1866" t="s">
        <v>209</v>
      </c>
      <c r="C116" s="1866"/>
      <c r="D116" s="1866"/>
      <c r="E116" s="1866"/>
      <c r="F116" s="1866"/>
      <c r="G116" s="1866"/>
      <c r="H116" s="1866"/>
      <c r="I116" s="462">
        <v>20000000</v>
      </c>
      <c r="J116" s="462"/>
      <c r="K116" s="1867"/>
      <c r="L116" s="1857"/>
    </row>
    <row r="117" spans="2:12" s="1882" customFormat="1" ht="17.25" hidden="1" customHeight="1" thickTop="1" x14ac:dyDescent="0.2">
      <c r="B117" s="1866" t="s">
        <v>231</v>
      </c>
      <c r="C117" s="1866"/>
      <c r="D117" s="1866"/>
      <c r="E117" s="1866"/>
      <c r="F117" s="1866"/>
      <c r="G117" s="1866"/>
      <c r="H117" s="1866"/>
      <c r="I117" s="462">
        <v>111860111</v>
      </c>
      <c r="J117" s="462"/>
      <c r="K117" s="1867"/>
      <c r="L117" s="1857"/>
    </row>
    <row r="118" spans="2:12" s="1882" customFormat="1" ht="17.25" hidden="1" customHeight="1" thickTop="1" x14ac:dyDescent="0.2">
      <c r="B118" s="1868" t="s">
        <v>105</v>
      </c>
      <c r="C118" s="1868"/>
      <c r="D118" s="1868"/>
      <c r="E118" s="1868"/>
      <c r="F118" s="1868"/>
      <c r="G118" s="1868"/>
      <c r="H118" s="1869"/>
      <c r="I118" s="462">
        <v>685576018</v>
      </c>
      <c r="J118" s="462"/>
      <c r="K118" s="1867"/>
      <c r="L118" s="1857"/>
    </row>
    <row r="119" spans="2:12" s="1882" customFormat="1" ht="17.25" hidden="1" customHeight="1" thickTop="1" x14ac:dyDescent="0.2">
      <c r="B119" s="1866" t="s">
        <v>164</v>
      </c>
      <c r="C119" s="1866"/>
      <c r="D119" s="1866"/>
      <c r="E119" s="1866"/>
      <c r="F119" s="1866"/>
      <c r="G119" s="1866"/>
      <c r="H119" s="1866"/>
      <c r="I119" s="462">
        <v>1032344928</v>
      </c>
      <c r="J119" s="462"/>
      <c r="K119" s="1867"/>
      <c r="L119" s="1857"/>
    </row>
    <row r="120" spans="2:12" s="1882" customFormat="1" ht="17.25" hidden="1" customHeight="1" thickTop="1" x14ac:dyDescent="0.2">
      <c r="B120" s="1868" t="s">
        <v>165</v>
      </c>
      <c r="C120" s="1868"/>
      <c r="D120" s="1868"/>
      <c r="E120" s="1868"/>
      <c r="F120" s="1868"/>
      <c r="G120" s="1868"/>
      <c r="H120" s="1869"/>
      <c r="I120" s="462">
        <v>264219750</v>
      </c>
      <c r="J120" s="462"/>
      <c r="K120" s="1867"/>
      <c r="L120" s="1857"/>
    </row>
    <row r="121" spans="2:12" s="1882" customFormat="1" ht="17.25" hidden="1" customHeight="1" thickTop="1" x14ac:dyDescent="0.2">
      <c r="B121" s="1868" t="s">
        <v>113</v>
      </c>
      <c r="C121" s="1868"/>
      <c r="D121" s="1868"/>
      <c r="E121" s="1868"/>
      <c r="F121" s="1868"/>
      <c r="G121" s="1868"/>
      <c r="H121" s="1869"/>
      <c r="I121" s="462">
        <v>200000000</v>
      </c>
      <c r="J121" s="462"/>
      <c r="K121" s="1867"/>
      <c r="L121" s="1857"/>
    </row>
    <row r="122" spans="2:12" s="1882" customFormat="1" ht="17.25" hidden="1" customHeight="1" thickTop="1" x14ac:dyDescent="0.2">
      <c r="B122" s="1866" t="s">
        <v>115</v>
      </c>
      <c r="C122" s="1866"/>
      <c r="D122" s="1866"/>
      <c r="E122" s="1866"/>
      <c r="F122" s="1866"/>
      <c r="G122" s="1866"/>
      <c r="H122" s="1866"/>
      <c r="I122" s="462">
        <v>107697009</v>
      </c>
      <c r="J122" s="462"/>
      <c r="K122" s="1867"/>
      <c r="L122" s="1857"/>
    </row>
    <row r="123" spans="2:12" s="1882" customFormat="1" ht="17.25" hidden="1" customHeight="1" thickTop="1" x14ac:dyDescent="0.2">
      <c r="B123" s="1866">
        <v>1503003007</v>
      </c>
      <c r="C123" s="1866"/>
      <c r="D123" s="1866"/>
      <c r="E123" s="1866"/>
      <c r="F123" s="1866"/>
      <c r="G123" s="1866"/>
      <c r="H123" s="1866"/>
      <c r="I123" s="462">
        <v>126315638</v>
      </c>
      <c r="J123" s="462"/>
      <c r="K123" s="1867"/>
      <c r="L123" s="1857"/>
    </row>
    <row r="124" spans="2:12" s="1882" customFormat="1" ht="17.25" hidden="1" customHeight="1" thickTop="1" x14ac:dyDescent="0.2">
      <c r="B124" s="1866">
        <v>1502001005</v>
      </c>
      <c r="C124" s="1866"/>
      <c r="D124" s="1866"/>
      <c r="E124" s="1866"/>
      <c r="F124" s="1866"/>
      <c r="G124" s="1866"/>
      <c r="H124" s="1866"/>
      <c r="I124" s="462">
        <v>15501458</v>
      </c>
      <c r="J124" s="462"/>
      <c r="K124" s="1867"/>
      <c r="L124" s="1857"/>
    </row>
    <row r="125" spans="2:12" s="1882" customFormat="1" ht="17.25" hidden="1" customHeight="1" thickTop="1" x14ac:dyDescent="0.2">
      <c r="B125" s="1866" t="s">
        <v>234</v>
      </c>
      <c r="C125" s="1866"/>
      <c r="D125" s="1866"/>
      <c r="E125" s="1866"/>
      <c r="F125" s="1866"/>
      <c r="G125" s="1866"/>
      <c r="H125" s="1866"/>
      <c r="I125" s="462">
        <v>120036204</v>
      </c>
      <c r="J125" s="462"/>
      <c r="K125" s="462"/>
      <c r="L125" s="1857"/>
    </row>
    <row r="126" spans="2:12" s="1882" customFormat="1" ht="17.25" hidden="1" customHeight="1" thickTop="1" x14ac:dyDescent="0.2">
      <c r="B126" s="1866" t="s">
        <v>236</v>
      </c>
      <c r="C126" s="1866"/>
      <c r="D126" s="1866"/>
      <c r="E126" s="1866"/>
      <c r="F126" s="1866"/>
      <c r="G126" s="1866"/>
      <c r="H126" s="1866"/>
      <c r="I126" s="462">
        <v>88452000</v>
      </c>
      <c r="J126" s="462"/>
      <c r="K126" s="1867"/>
      <c r="L126" s="1857"/>
    </row>
    <row r="127" spans="2:12" s="1882" customFormat="1" ht="17.25" hidden="1" customHeight="1" thickTop="1" x14ac:dyDescent="0.2">
      <c r="B127" s="1868" t="s">
        <v>213</v>
      </c>
      <c r="C127" s="1868"/>
      <c r="D127" s="1868"/>
      <c r="E127" s="1868"/>
      <c r="F127" s="1868"/>
      <c r="G127" s="1868"/>
      <c r="H127" s="1869"/>
      <c r="I127" s="462">
        <v>555517464</v>
      </c>
      <c r="J127" s="462"/>
      <c r="K127" s="1867"/>
      <c r="L127" s="1857"/>
    </row>
    <row r="128" spans="2:12" s="1882" customFormat="1" ht="17.25" hidden="1" customHeight="1" thickTop="1" x14ac:dyDescent="0.2">
      <c r="B128" s="1868" t="s">
        <v>130</v>
      </c>
      <c r="C128" s="1868"/>
      <c r="D128" s="1868"/>
      <c r="E128" s="1868"/>
      <c r="F128" s="1868"/>
      <c r="G128" s="1868"/>
      <c r="H128" s="1869"/>
      <c r="I128" s="462">
        <v>179222394</v>
      </c>
      <c r="J128" s="462"/>
      <c r="K128" s="1867"/>
      <c r="L128" s="1857"/>
    </row>
    <row r="129" spans="2:12" s="1882" customFormat="1" ht="17.25" hidden="1" customHeight="1" thickTop="1" x14ac:dyDescent="0.2">
      <c r="B129" s="1866" t="s">
        <v>157</v>
      </c>
      <c r="C129" s="1866"/>
      <c r="D129" s="1866"/>
      <c r="E129" s="1866"/>
      <c r="F129" s="1866"/>
      <c r="G129" s="1866"/>
      <c r="H129" s="1866"/>
      <c r="I129" s="462">
        <v>61005157</v>
      </c>
      <c r="J129" s="462"/>
      <c r="K129" s="1867"/>
      <c r="L129" s="1857"/>
    </row>
    <row r="130" spans="2:12" s="1882" customFormat="1" ht="17.25" hidden="1" customHeight="1" thickTop="1" x14ac:dyDescent="0.2">
      <c r="B130" s="1866" t="s">
        <v>158</v>
      </c>
      <c r="C130" s="1866"/>
      <c r="D130" s="1866"/>
      <c r="E130" s="1866"/>
      <c r="F130" s="1866"/>
      <c r="G130" s="1866"/>
      <c r="H130" s="1866"/>
      <c r="I130" s="462">
        <f>407308117+87014500</f>
        <v>494322617</v>
      </c>
      <c r="J130" s="462"/>
      <c r="K130" s="1867"/>
      <c r="L130" s="1857"/>
    </row>
    <row r="131" spans="2:12" s="1882" customFormat="1" ht="17.25" hidden="1" customHeight="1" thickTop="1" x14ac:dyDescent="0.2">
      <c r="B131" s="1866" t="s">
        <v>228</v>
      </c>
      <c r="C131" s="1866"/>
      <c r="D131" s="1866"/>
      <c r="E131" s="1866"/>
      <c r="F131" s="1866"/>
      <c r="G131" s="1866"/>
      <c r="H131" s="1881"/>
      <c r="I131" s="462">
        <v>21026395</v>
      </c>
      <c r="J131" s="462"/>
      <c r="K131" s="462"/>
      <c r="L131" s="1857"/>
    </row>
    <row r="132" spans="2:12" s="1882" customFormat="1" ht="17.25" hidden="1" customHeight="1" thickTop="1" x14ac:dyDescent="0.2">
      <c r="B132" s="1870" t="s">
        <v>1049</v>
      </c>
      <c r="C132" s="1870"/>
      <c r="D132" s="1870"/>
      <c r="E132" s="1870"/>
      <c r="F132" s="1870"/>
      <c r="G132" s="1870"/>
      <c r="H132" s="1870"/>
      <c r="I132" s="462">
        <v>340912610</v>
      </c>
      <c r="J132" s="462"/>
      <c r="K132" s="462"/>
      <c r="L132" s="1857"/>
    </row>
    <row r="133" spans="2:12" s="1882" customFormat="1" ht="17.25" hidden="1" customHeight="1" thickTop="1" x14ac:dyDescent="0.2">
      <c r="B133" s="1870" t="s">
        <v>215</v>
      </c>
      <c r="C133" s="1870"/>
      <c r="D133" s="1870"/>
      <c r="E133" s="1870"/>
      <c r="F133" s="1870"/>
      <c r="G133" s="1870"/>
      <c r="H133" s="1870"/>
      <c r="I133" s="462">
        <v>348912260</v>
      </c>
      <c r="J133" s="462"/>
      <c r="K133" s="462"/>
      <c r="L133" s="1857"/>
    </row>
    <row r="134" spans="2:12" s="1882" customFormat="1" ht="17.25" hidden="1" customHeight="1" thickTop="1" x14ac:dyDescent="0.2">
      <c r="B134" s="1870" t="s">
        <v>238</v>
      </c>
      <c r="C134" s="1870"/>
      <c r="D134" s="1870"/>
      <c r="E134" s="1870"/>
      <c r="F134" s="1870"/>
      <c r="G134" s="1870"/>
      <c r="H134" s="1870"/>
      <c r="I134" s="1867"/>
      <c r="J134" s="1867"/>
      <c r="K134" s="462"/>
      <c r="L134" s="1857"/>
    </row>
    <row r="135" spans="2:12" s="1882" customFormat="1" ht="17.25" hidden="1" customHeight="1" thickTop="1" x14ac:dyDescent="0.2">
      <c r="B135" s="1870" t="s">
        <v>240</v>
      </c>
      <c r="C135" s="1870"/>
      <c r="D135" s="1870"/>
      <c r="E135" s="1870"/>
      <c r="F135" s="1870"/>
      <c r="G135" s="1870"/>
      <c r="H135" s="1870"/>
      <c r="I135" s="462">
        <v>11609858</v>
      </c>
      <c r="J135" s="462"/>
      <c r="K135" s="462"/>
      <c r="L135" s="1857"/>
    </row>
    <row r="136" spans="2:12" s="1882" customFormat="1" ht="17.25" hidden="1" customHeight="1" thickTop="1" x14ac:dyDescent="0.2">
      <c r="B136" s="1870" t="s">
        <v>242</v>
      </c>
      <c r="C136" s="1870"/>
      <c r="D136" s="1870"/>
      <c r="E136" s="1870"/>
      <c r="F136" s="1870"/>
      <c r="G136" s="1870"/>
      <c r="H136" s="1870"/>
      <c r="I136" s="462">
        <v>19699</v>
      </c>
      <c r="J136" s="462"/>
      <c r="K136" s="462"/>
      <c r="L136" s="1857"/>
    </row>
    <row r="137" spans="2:12" s="1882" customFormat="1" ht="17.25" hidden="1" customHeight="1" thickTop="1" x14ac:dyDescent="0.2">
      <c r="B137" s="1871" t="s">
        <v>244</v>
      </c>
      <c r="C137" s="1871"/>
      <c r="D137" s="1871"/>
      <c r="E137" s="1871"/>
      <c r="F137" s="1871"/>
      <c r="G137" s="1871"/>
      <c r="H137" s="1871"/>
      <c r="I137" s="462">
        <v>78657324</v>
      </c>
      <c r="J137" s="462"/>
      <c r="K137" s="462"/>
      <c r="L137" s="1857"/>
    </row>
    <row r="138" spans="2:12" s="1882" customFormat="1" ht="17.25" hidden="1" customHeight="1" thickTop="1" x14ac:dyDescent="0.2">
      <c r="B138" s="1871" t="s">
        <v>217</v>
      </c>
      <c r="C138" s="1871"/>
      <c r="D138" s="1871"/>
      <c r="E138" s="1871"/>
      <c r="F138" s="1871"/>
      <c r="G138" s="1871"/>
      <c r="H138" s="1871"/>
      <c r="I138" s="462">
        <f>13286640+1946525049-71745289</f>
        <v>1888066400</v>
      </c>
      <c r="J138" s="462"/>
      <c r="K138" s="462"/>
      <c r="L138" s="1857"/>
    </row>
    <row r="139" spans="2:12" s="1882" customFormat="1" ht="17.25" hidden="1" customHeight="1" thickTop="1" x14ac:dyDescent="0.2">
      <c r="B139" s="463" t="s">
        <v>98</v>
      </c>
      <c r="C139" s="463"/>
      <c r="D139" s="463"/>
      <c r="E139" s="463"/>
      <c r="F139" s="463"/>
      <c r="G139" s="463"/>
      <c r="H139" s="1869"/>
      <c r="I139" s="462">
        <v>16051665</v>
      </c>
      <c r="J139" s="462"/>
      <c r="K139" s="1867"/>
      <c r="L139" s="1857"/>
    </row>
    <row r="140" spans="2:12" s="1882" customFormat="1" ht="17.25" hidden="1" customHeight="1" thickTop="1" x14ac:dyDescent="0.2">
      <c r="B140" s="1871" t="s">
        <v>246</v>
      </c>
      <c r="C140" s="1871"/>
      <c r="D140" s="1871"/>
      <c r="E140" s="1871"/>
      <c r="F140" s="1871"/>
      <c r="G140" s="1871"/>
      <c r="H140" s="1889"/>
      <c r="I140" s="462">
        <v>26818519</v>
      </c>
      <c r="J140" s="462"/>
      <c r="K140" s="462"/>
      <c r="L140" s="1857"/>
    </row>
    <row r="141" spans="2:12" s="1882" customFormat="1" ht="17.25" hidden="1" customHeight="1" thickTop="1" x14ac:dyDescent="0.2">
      <c r="B141" s="1871" t="s">
        <v>248</v>
      </c>
      <c r="C141" s="1871"/>
      <c r="D141" s="1871"/>
      <c r="E141" s="1871"/>
      <c r="F141" s="1871"/>
      <c r="G141" s="1871"/>
      <c r="H141" s="1889"/>
      <c r="I141" s="462">
        <v>12914505</v>
      </c>
      <c r="J141" s="462"/>
      <c r="K141" s="1867"/>
      <c r="L141" s="1857"/>
    </row>
    <row r="142" spans="2:12" s="1882" customFormat="1" ht="17.25" hidden="1" customHeight="1" thickTop="1" x14ac:dyDescent="0.2">
      <c r="B142" s="1890" t="s">
        <v>250</v>
      </c>
      <c r="C142" s="1890"/>
      <c r="D142" s="1890"/>
      <c r="E142" s="1890"/>
      <c r="F142" s="1890"/>
      <c r="G142" s="1890"/>
      <c r="H142" s="1890"/>
      <c r="I142" s="462">
        <v>6954312</v>
      </c>
      <c r="J142" s="462"/>
      <c r="K142" s="462"/>
      <c r="L142" s="1857"/>
    </row>
    <row r="143" spans="2:12" s="1882" customFormat="1" ht="17.25" hidden="1" customHeight="1" thickTop="1" x14ac:dyDescent="0.2">
      <c r="B143" s="1866" t="s">
        <v>251</v>
      </c>
      <c r="C143" s="1866"/>
      <c r="D143" s="1866"/>
      <c r="E143" s="1866"/>
      <c r="F143" s="1866"/>
      <c r="G143" s="1866"/>
      <c r="H143" s="1891"/>
      <c r="I143" s="462">
        <v>98344152</v>
      </c>
      <c r="J143" s="462"/>
      <c r="K143" s="462"/>
      <c r="L143" s="1857"/>
    </row>
    <row r="144" spans="2:12" ht="17.25" hidden="1" customHeight="1" thickTop="1" x14ac:dyDescent="0.2">
      <c r="B144" s="1872" t="s">
        <v>1050</v>
      </c>
      <c r="C144" s="1872"/>
      <c r="D144" s="1872"/>
      <c r="E144" s="1872"/>
      <c r="F144" s="1872"/>
      <c r="G144" s="1872"/>
      <c r="H144" s="1873"/>
      <c r="I144" s="466">
        <v>125922286</v>
      </c>
      <c r="J144" s="466"/>
      <c r="K144" s="466"/>
      <c r="L144" s="1857"/>
    </row>
    <row r="145" spans="2:12" ht="17.25" hidden="1" customHeight="1" thickTop="1" x14ac:dyDescent="0.2">
      <c r="B145" s="3299" t="s">
        <v>221</v>
      </c>
      <c r="C145" s="3299"/>
      <c r="D145" s="3299"/>
      <c r="E145" s="3299"/>
      <c r="F145" s="3299"/>
      <c r="G145" s="3299"/>
      <c r="H145" s="3299"/>
      <c r="I145" s="467">
        <v>29538000000</v>
      </c>
      <c r="J145" s="468"/>
      <c r="K145" s="469"/>
      <c r="L145" s="1857"/>
    </row>
    <row r="146" spans="2:12" ht="17.25" hidden="1" customHeight="1" thickTop="1" x14ac:dyDescent="0.2">
      <c r="B146" s="1882"/>
      <c r="C146" s="1882"/>
      <c r="D146" s="1882"/>
      <c r="E146" s="1882"/>
      <c r="F146" s="1882"/>
      <c r="G146" s="1882"/>
      <c r="H146" s="1882"/>
      <c r="I146" s="1882"/>
      <c r="J146" s="1882"/>
      <c r="K146" s="1882"/>
      <c r="L146" s="1857"/>
    </row>
    <row r="147" spans="2:12" ht="17.25" hidden="1" customHeight="1" thickTop="1" x14ac:dyDescent="0.2">
      <c r="B147" s="3282" t="s">
        <v>1056</v>
      </c>
      <c r="C147" s="3282"/>
      <c r="D147" s="3282"/>
      <c r="E147" s="3282"/>
      <c r="F147" s="3282"/>
      <c r="G147" s="3282"/>
      <c r="H147" s="3282"/>
      <c r="I147" s="3282"/>
      <c r="J147" s="3282"/>
      <c r="K147" s="3282"/>
      <c r="L147" s="1855"/>
    </row>
    <row r="148" spans="2:12" ht="17.25" hidden="1" customHeight="1" thickTop="1" x14ac:dyDescent="0.2">
      <c r="B148" s="3282"/>
      <c r="C148" s="3282"/>
      <c r="D148" s="3282"/>
      <c r="E148" s="3282"/>
      <c r="F148" s="3282"/>
      <c r="G148" s="3282"/>
      <c r="H148" s="3282"/>
      <c r="I148" s="3282"/>
      <c r="J148" s="3282"/>
      <c r="K148" s="3282"/>
      <c r="L148" s="1855"/>
    </row>
    <row r="149" spans="2:12" ht="17.25" hidden="1" customHeight="1" thickTop="1" x14ac:dyDescent="0.2">
      <c r="B149" s="1854"/>
      <c r="C149" s="1854"/>
      <c r="D149" s="1854"/>
      <c r="E149" s="1854"/>
      <c r="F149" s="1854"/>
      <c r="G149" s="1854"/>
      <c r="H149" s="1854"/>
      <c r="I149" s="1854"/>
      <c r="J149" s="1854"/>
      <c r="K149" s="459"/>
      <c r="L149" s="1855"/>
    </row>
    <row r="150" spans="2:12" ht="17.25" hidden="1" customHeight="1" thickTop="1" x14ac:dyDescent="0.2">
      <c r="B150" s="3289" t="s">
        <v>196</v>
      </c>
      <c r="C150" s="1865"/>
      <c r="D150" s="1865"/>
      <c r="E150" s="1865"/>
      <c r="F150" s="1865"/>
      <c r="G150" s="1865"/>
      <c r="H150" s="3289"/>
      <c r="I150" s="1865" t="s">
        <v>1048</v>
      </c>
      <c r="J150" s="1865"/>
      <c r="K150" s="1865"/>
      <c r="L150" s="1855"/>
    </row>
    <row r="151" spans="2:12" ht="17.25" hidden="1" customHeight="1" thickTop="1" x14ac:dyDescent="0.2">
      <c r="B151" s="3289"/>
      <c r="C151" s="1865"/>
      <c r="D151" s="1865"/>
      <c r="E151" s="1865"/>
      <c r="F151" s="1865"/>
      <c r="G151" s="1865"/>
      <c r="H151" s="3289"/>
      <c r="I151" s="1865" t="s">
        <v>13</v>
      </c>
      <c r="J151" s="1865"/>
      <c r="K151" s="1865"/>
      <c r="L151" s="1855"/>
    </row>
    <row r="152" spans="2:12" ht="17.25" hidden="1" customHeight="1" thickTop="1" x14ac:dyDescent="0.2">
      <c r="B152" s="1892">
        <v>40202125</v>
      </c>
      <c r="C152" s="1892"/>
      <c r="D152" s="1892"/>
      <c r="E152" s="1892"/>
      <c r="F152" s="1892"/>
      <c r="G152" s="1892"/>
      <c r="H152" s="1891"/>
      <c r="I152" s="462">
        <v>101647569</v>
      </c>
      <c r="J152" s="462"/>
      <c r="K152" s="462"/>
      <c r="L152" s="1855"/>
    </row>
    <row r="153" spans="2:12" ht="17.25" hidden="1" customHeight="1" thickTop="1" x14ac:dyDescent="0.2">
      <c r="B153" s="1871" t="s">
        <v>217</v>
      </c>
      <c r="C153" s="1876"/>
      <c r="D153" s="1876"/>
      <c r="E153" s="1876"/>
      <c r="F153" s="1876"/>
      <c r="G153" s="1876"/>
      <c r="H153" s="1877"/>
      <c r="I153" s="466">
        <v>71745289</v>
      </c>
      <c r="J153" s="466"/>
      <c r="K153" s="1874"/>
    </row>
    <row r="154" spans="2:12" ht="17.25" hidden="1" customHeight="1" thickTop="1" x14ac:dyDescent="0.2">
      <c r="B154" s="3290" t="s">
        <v>222</v>
      </c>
      <c r="C154" s="3290"/>
      <c r="D154" s="3290"/>
      <c r="E154" s="3290"/>
      <c r="F154" s="3290"/>
      <c r="G154" s="3290"/>
      <c r="H154" s="3290"/>
      <c r="I154" s="467">
        <v>173000000</v>
      </c>
      <c r="J154" s="468"/>
      <c r="K154" s="469"/>
    </row>
    <row r="155" spans="2:12" ht="17.25" hidden="1" customHeight="1" thickTop="1" x14ac:dyDescent="0.2"/>
    <row r="156" spans="2:12" ht="17.25" hidden="1" customHeight="1" thickTop="1" x14ac:dyDescent="0.2">
      <c r="B156" s="3314">
        <v>18</v>
      </c>
      <c r="C156" s="3314"/>
      <c r="D156" s="3314"/>
      <c r="E156" s="3314"/>
      <c r="F156" s="3314"/>
      <c r="G156" s="3314"/>
      <c r="H156" s="3314"/>
      <c r="I156" s="3314"/>
      <c r="J156" s="3314"/>
      <c r="K156" s="3314"/>
      <c r="L156" s="3314"/>
    </row>
    <row r="157" spans="2:12" ht="17.25" hidden="1" customHeight="1" thickTop="1" x14ac:dyDescent="0.2"/>
    <row r="158" spans="2:12" ht="17.25" hidden="1" customHeight="1" thickTop="1" x14ac:dyDescent="0.2"/>
    <row r="159" spans="2:12" ht="17.25" hidden="1" customHeight="1" thickTop="1" x14ac:dyDescent="0.2"/>
    <row r="160" spans="2:12" ht="17.25" hidden="1" customHeight="1" thickTop="1" x14ac:dyDescent="0.2"/>
    <row r="161" spans="2:12" ht="17.25" hidden="1" customHeight="1" thickTop="1" x14ac:dyDescent="0.2"/>
    <row r="162" spans="2:12" ht="17.25" customHeight="1" thickTop="1" x14ac:dyDescent="0.2"/>
    <row r="163" spans="2:12" ht="6" customHeight="1" x14ac:dyDescent="0.2"/>
    <row r="164" spans="2:12" ht="12.75" customHeight="1" x14ac:dyDescent="0.2">
      <c r="B164" s="3303" t="s">
        <v>1207</v>
      </c>
      <c r="C164" s="3303"/>
      <c r="D164" s="3303"/>
      <c r="E164" s="3303"/>
      <c r="F164" s="3303"/>
      <c r="G164" s="3303"/>
      <c r="H164" s="3303"/>
      <c r="I164" s="3303"/>
      <c r="J164" s="1893"/>
      <c r="K164" s="1852"/>
      <c r="L164" s="1894"/>
    </row>
    <row r="165" spans="2:12" ht="12.75" customHeight="1" x14ac:dyDescent="0.2">
      <c r="B165" s="1893"/>
      <c r="C165" s="1893"/>
      <c r="D165" s="1893"/>
      <c r="E165" s="1893"/>
      <c r="F165" s="1893"/>
      <c r="G165" s="1893"/>
      <c r="H165" s="1893"/>
      <c r="I165" s="1893"/>
      <c r="J165" s="3313" t="s">
        <v>194</v>
      </c>
      <c r="K165" s="3313"/>
      <c r="L165" s="1894"/>
    </row>
    <row r="166" spans="2:12" ht="10.9" customHeight="1" x14ac:dyDescent="0.2">
      <c r="B166" s="3301" t="s">
        <v>196</v>
      </c>
      <c r="C166" s="3304" t="s">
        <v>197</v>
      </c>
      <c r="D166" s="3305"/>
      <c r="E166" s="3305"/>
      <c r="F166" s="3305"/>
      <c r="G166" s="3305"/>
      <c r="H166" s="3306"/>
      <c r="I166" s="3283" t="s">
        <v>1976</v>
      </c>
      <c r="J166" s="3285" t="s">
        <v>1977</v>
      </c>
      <c r="K166" s="3286"/>
    </row>
    <row r="167" spans="2:12" ht="10.9" customHeight="1" x14ac:dyDescent="0.2">
      <c r="B167" s="3302"/>
      <c r="C167" s="3307"/>
      <c r="D167" s="3308"/>
      <c r="E167" s="3308"/>
      <c r="F167" s="3308"/>
      <c r="G167" s="3308"/>
      <c r="H167" s="3309"/>
      <c r="I167" s="3284"/>
      <c r="J167" s="3287"/>
      <c r="K167" s="3288"/>
    </row>
    <row r="168" spans="2:12" ht="15.6" customHeight="1" x14ac:dyDescent="0.2">
      <c r="B168" s="1762" t="s">
        <v>2049</v>
      </c>
      <c r="C168" s="3291" t="s">
        <v>2025</v>
      </c>
      <c r="D168" s="3292"/>
      <c r="E168" s="3292"/>
      <c r="F168" s="3292"/>
      <c r="G168" s="3292"/>
      <c r="H168" s="3293"/>
      <c r="I168" s="478">
        <v>797703996470</v>
      </c>
      <c r="J168" s="3246"/>
      <c r="K168" s="3246"/>
    </row>
    <row r="169" spans="2:12" ht="15.6" customHeight="1" x14ac:dyDescent="0.4">
      <c r="B169" s="1895">
        <v>1307002010</v>
      </c>
      <c r="C169" s="3310" t="s">
        <v>224</v>
      </c>
      <c r="D169" s="3311"/>
      <c r="E169" s="3311"/>
      <c r="F169" s="3311"/>
      <c r="G169" s="3311"/>
      <c r="H169" s="3312"/>
      <c r="I169" s="1896">
        <v>778868875518</v>
      </c>
      <c r="J169" s="3246">
        <v>171004520127</v>
      </c>
      <c r="K169" s="3246"/>
    </row>
    <row r="170" spans="2:12" ht="15.6" customHeight="1" x14ac:dyDescent="0.4">
      <c r="B170" s="1762" t="s">
        <v>2050</v>
      </c>
      <c r="C170" s="3240" t="s">
        <v>2028</v>
      </c>
      <c r="D170" s="3241"/>
      <c r="E170" s="3241"/>
      <c r="F170" s="3241"/>
      <c r="G170" s="3241"/>
      <c r="H170" s="3242"/>
      <c r="I170" s="1896">
        <v>560162010326</v>
      </c>
      <c r="J170" s="3246"/>
      <c r="K170" s="3246"/>
    </row>
    <row r="171" spans="2:12" ht="15.6" customHeight="1" x14ac:dyDescent="0.4">
      <c r="B171" s="1762" t="s">
        <v>2051</v>
      </c>
      <c r="C171" s="3240" t="s">
        <v>2029</v>
      </c>
      <c r="D171" s="3241"/>
      <c r="E171" s="3241"/>
      <c r="F171" s="3241"/>
      <c r="G171" s="3241"/>
      <c r="H171" s="3242"/>
      <c r="I171" s="1896">
        <v>488941100138</v>
      </c>
      <c r="J171" s="3246"/>
      <c r="K171" s="3246"/>
    </row>
    <row r="172" spans="2:12" ht="15.6" customHeight="1" x14ac:dyDescent="0.4">
      <c r="B172" s="1762" t="s">
        <v>2052</v>
      </c>
      <c r="C172" s="3240" t="s">
        <v>2030</v>
      </c>
      <c r="D172" s="3241"/>
      <c r="E172" s="3241"/>
      <c r="F172" s="3241"/>
      <c r="G172" s="3241"/>
      <c r="H172" s="3242"/>
      <c r="I172" s="1896">
        <v>359673888844</v>
      </c>
      <c r="J172" s="3246"/>
      <c r="K172" s="3246"/>
    </row>
    <row r="173" spans="2:12" ht="15.6" customHeight="1" x14ac:dyDescent="0.4">
      <c r="B173" s="1895" t="s">
        <v>346</v>
      </c>
      <c r="C173" s="3247" t="s">
        <v>323</v>
      </c>
      <c r="D173" s="3248"/>
      <c r="E173" s="3248"/>
      <c r="F173" s="3248"/>
      <c r="G173" s="3248"/>
      <c r="H173" s="3249"/>
      <c r="I173" s="1896">
        <v>313650128447</v>
      </c>
      <c r="J173" s="3246">
        <v>1395871897351</v>
      </c>
      <c r="K173" s="3246"/>
    </row>
    <row r="174" spans="2:12" ht="15.6" customHeight="1" x14ac:dyDescent="0.4">
      <c r="B174" s="1762" t="s">
        <v>2053</v>
      </c>
      <c r="C174" s="3240" t="s">
        <v>2031</v>
      </c>
      <c r="D174" s="3241"/>
      <c r="E174" s="3241"/>
      <c r="F174" s="3241"/>
      <c r="G174" s="3241"/>
      <c r="H174" s="3242"/>
      <c r="I174" s="1896">
        <v>289107450000</v>
      </c>
      <c r="J174" s="3245"/>
      <c r="K174" s="3245"/>
    </row>
    <row r="175" spans="2:12" ht="15.6" customHeight="1" x14ac:dyDescent="0.4">
      <c r="B175" s="1762" t="s">
        <v>2054</v>
      </c>
      <c r="C175" s="3240" t="s">
        <v>2032</v>
      </c>
      <c r="D175" s="3241"/>
      <c r="E175" s="3241"/>
      <c r="F175" s="3241"/>
      <c r="G175" s="3241"/>
      <c r="H175" s="3242"/>
      <c r="I175" s="1896">
        <v>282758396618</v>
      </c>
      <c r="J175" s="3245"/>
      <c r="K175" s="3245"/>
    </row>
    <row r="176" spans="2:12" ht="15.6" customHeight="1" x14ac:dyDescent="0.4">
      <c r="B176" s="1762" t="s">
        <v>2055</v>
      </c>
      <c r="C176" s="3240" t="s">
        <v>2033</v>
      </c>
      <c r="D176" s="3241"/>
      <c r="E176" s="3241"/>
      <c r="F176" s="3241"/>
      <c r="G176" s="3241"/>
      <c r="H176" s="3242"/>
      <c r="I176" s="1896">
        <v>280861789413</v>
      </c>
      <c r="J176" s="3246"/>
      <c r="K176" s="3246"/>
    </row>
    <row r="177" spans="2:11" ht="15.6" customHeight="1" x14ac:dyDescent="0.4">
      <c r="B177" s="1762" t="s">
        <v>2056</v>
      </c>
      <c r="C177" s="3240" t="s">
        <v>2072</v>
      </c>
      <c r="D177" s="3241"/>
      <c r="E177" s="3241"/>
      <c r="F177" s="3241"/>
      <c r="G177" s="3241"/>
      <c r="H177" s="3242"/>
      <c r="I177" s="1896">
        <v>255000000000</v>
      </c>
      <c r="J177" s="3246"/>
      <c r="K177" s="3246"/>
    </row>
    <row r="178" spans="2:11" ht="15.6" customHeight="1" x14ac:dyDescent="0.4">
      <c r="B178" s="1762" t="s">
        <v>2057</v>
      </c>
      <c r="C178" s="3240" t="s">
        <v>2034</v>
      </c>
      <c r="D178" s="3241"/>
      <c r="E178" s="3241"/>
      <c r="F178" s="3241"/>
      <c r="G178" s="3241"/>
      <c r="H178" s="3242"/>
      <c r="I178" s="1896">
        <v>187786000000</v>
      </c>
      <c r="J178" s="3245"/>
      <c r="K178" s="3245"/>
    </row>
    <row r="179" spans="2:11" ht="15.6" customHeight="1" x14ac:dyDescent="0.4">
      <c r="B179" s="1762" t="s">
        <v>2058</v>
      </c>
      <c r="C179" s="3240" t="s">
        <v>2035</v>
      </c>
      <c r="D179" s="3241"/>
      <c r="E179" s="3241"/>
      <c r="F179" s="3241"/>
      <c r="G179" s="3241"/>
      <c r="H179" s="3242"/>
      <c r="I179" s="1896">
        <v>171218105670</v>
      </c>
      <c r="J179" s="3246"/>
      <c r="K179" s="3246"/>
    </row>
    <row r="180" spans="2:11" ht="15.6" customHeight="1" x14ac:dyDescent="0.4">
      <c r="B180" s="1762" t="s">
        <v>2059</v>
      </c>
      <c r="C180" s="3240" t="s">
        <v>2036</v>
      </c>
      <c r="D180" s="3241"/>
      <c r="E180" s="3241"/>
      <c r="F180" s="3241"/>
      <c r="G180" s="3241"/>
      <c r="H180" s="3242"/>
      <c r="I180" s="1896">
        <v>169391000000</v>
      </c>
      <c r="J180" s="3246"/>
      <c r="K180" s="3246"/>
    </row>
    <row r="181" spans="2:11" ht="15.6" customHeight="1" x14ac:dyDescent="0.4">
      <c r="B181" s="1762" t="s">
        <v>2060</v>
      </c>
      <c r="C181" s="3240" t="s">
        <v>2037</v>
      </c>
      <c r="D181" s="3241"/>
      <c r="E181" s="3241"/>
      <c r="F181" s="3241"/>
      <c r="G181" s="3241"/>
      <c r="H181" s="3242"/>
      <c r="I181" s="1896">
        <v>122438024843</v>
      </c>
      <c r="J181" s="3246"/>
      <c r="K181" s="3246"/>
    </row>
    <row r="182" spans="2:11" ht="15.6" customHeight="1" x14ac:dyDescent="0.4">
      <c r="B182" s="1762" t="s">
        <v>2061</v>
      </c>
      <c r="C182" s="3240" t="s">
        <v>2038</v>
      </c>
      <c r="D182" s="3241"/>
      <c r="E182" s="3241"/>
      <c r="F182" s="3241"/>
      <c r="G182" s="3241"/>
      <c r="H182" s="3242"/>
      <c r="I182" s="1896">
        <v>121143348307</v>
      </c>
      <c r="J182" s="3246"/>
      <c r="K182" s="3246"/>
    </row>
    <row r="183" spans="2:11" ht="15.6" customHeight="1" x14ac:dyDescent="0.4">
      <c r="B183" s="1762" t="s">
        <v>2062</v>
      </c>
      <c r="C183" s="3240" t="s">
        <v>2074</v>
      </c>
      <c r="D183" s="3241"/>
      <c r="E183" s="3241"/>
      <c r="F183" s="3241"/>
      <c r="G183" s="3241"/>
      <c r="H183" s="3242"/>
      <c r="I183" s="1896">
        <v>101156293431</v>
      </c>
      <c r="J183" s="3246"/>
      <c r="K183" s="3246"/>
    </row>
    <row r="184" spans="2:11" ht="15.6" customHeight="1" x14ac:dyDescent="0.4">
      <c r="B184" s="1762" t="s">
        <v>2063</v>
      </c>
      <c r="C184" s="3240" t="s">
        <v>2039</v>
      </c>
      <c r="D184" s="3241"/>
      <c r="E184" s="3241"/>
      <c r="F184" s="3241"/>
      <c r="G184" s="3241"/>
      <c r="H184" s="3242"/>
      <c r="I184" s="1897">
        <v>90000000000</v>
      </c>
      <c r="J184" s="3245"/>
      <c r="K184" s="3245"/>
    </row>
    <row r="185" spans="2:11" ht="15.6" customHeight="1" x14ac:dyDescent="0.4">
      <c r="B185" s="1806" t="s">
        <v>2041</v>
      </c>
      <c r="C185" s="3240" t="s">
        <v>2040</v>
      </c>
      <c r="D185" s="3241"/>
      <c r="E185" s="3241"/>
      <c r="F185" s="3241"/>
      <c r="G185" s="3241"/>
      <c r="H185" s="3242"/>
      <c r="I185" s="1896">
        <v>82418488246</v>
      </c>
      <c r="J185" s="3243"/>
      <c r="K185" s="3244"/>
    </row>
    <row r="186" spans="2:11" ht="15.6" customHeight="1" x14ac:dyDescent="0.4">
      <c r="B186" s="1762" t="s">
        <v>2064</v>
      </c>
      <c r="C186" s="3240" t="s">
        <v>2042</v>
      </c>
      <c r="D186" s="3241"/>
      <c r="E186" s="3241"/>
      <c r="F186" s="3241"/>
      <c r="G186" s="3241"/>
      <c r="H186" s="3242"/>
      <c r="I186" s="1896">
        <v>49540047866</v>
      </c>
      <c r="J186" s="3245"/>
      <c r="K186" s="3245"/>
    </row>
    <row r="187" spans="2:11" ht="15.6" customHeight="1" x14ac:dyDescent="0.4">
      <c r="B187" s="1762" t="s">
        <v>2065</v>
      </c>
      <c r="C187" s="3240" t="s">
        <v>2043</v>
      </c>
      <c r="D187" s="3241"/>
      <c r="E187" s="3241"/>
      <c r="F187" s="3241"/>
      <c r="G187" s="3241"/>
      <c r="H187" s="3242"/>
      <c r="I187" s="1896">
        <v>34047227848</v>
      </c>
      <c r="J187" s="3245"/>
      <c r="K187" s="3245"/>
    </row>
    <row r="188" spans="2:11" ht="15.6" customHeight="1" x14ac:dyDescent="0.4">
      <c r="B188" s="1762" t="s">
        <v>2066</v>
      </c>
      <c r="C188" s="3240" t="s">
        <v>2044</v>
      </c>
      <c r="D188" s="3241"/>
      <c r="E188" s="3241"/>
      <c r="F188" s="3241"/>
      <c r="G188" s="3241"/>
      <c r="H188" s="3242"/>
      <c r="I188" s="1896">
        <v>30714000000</v>
      </c>
      <c r="J188" s="3245"/>
      <c r="K188" s="3245"/>
    </row>
    <row r="189" spans="2:11" ht="15.6" customHeight="1" x14ac:dyDescent="0.4">
      <c r="B189" s="1762" t="s">
        <v>2067</v>
      </c>
      <c r="C189" s="3240" t="s">
        <v>2045</v>
      </c>
      <c r="D189" s="3241"/>
      <c r="E189" s="3241"/>
      <c r="F189" s="3241"/>
      <c r="G189" s="3241"/>
      <c r="H189" s="3242"/>
      <c r="I189" s="1896">
        <v>23000000000</v>
      </c>
      <c r="J189" s="3243"/>
      <c r="K189" s="3244"/>
    </row>
    <row r="190" spans="2:11" ht="15.6" customHeight="1" x14ac:dyDescent="0.4">
      <c r="B190" s="1762" t="s">
        <v>608</v>
      </c>
      <c r="C190" s="3258" t="s">
        <v>901</v>
      </c>
      <c r="D190" s="3259"/>
      <c r="E190" s="3259"/>
      <c r="F190" s="3259"/>
      <c r="G190" s="3259"/>
      <c r="H190" s="3260"/>
      <c r="I190" s="1896">
        <v>22916362052</v>
      </c>
      <c r="J190" s="3246">
        <v>131781726884</v>
      </c>
      <c r="K190" s="3246"/>
    </row>
    <row r="191" spans="2:11" ht="15.6" customHeight="1" x14ac:dyDescent="0.4">
      <c r="B191" s="1812" t="s">
        <v>2068</v>
      </c>
      <c r="C191" s="3240" t="s">
        <v>2070</v>
      </c>
      <c r="D191" s="3241"/>
      <c r="E191" s="3241"/>
      <c r="F191" s="3241"/>
      <c r="G191" s="3241"/>
      <c r="H191" s="3242"/>
      <c r="I191" s="1896">
        <v>22692552936</v>
      </c>
      <c r="J191" s="3245"/>
      <c r="K191" s="3245"/>
    </row>
    <row r="192" spans="2:11" ht="15.6" customHeight="1" x14ac:dyDescent="0.4">
      <c r="B192" s="1812" t="s">
        <v>2069</v>
      </c>
      <c r="C192" s="3240" t="s">
        <v>2047</v>
      </c>
      <c r="D192" s="3241"/>
      <c r="E192" s="3241"/>
      <c r="F192" s="3241"/>
      <c r="G192" s="3241"/>
      <c r="H192" s="3242"/>
      <c r="I192" s="1896">
        <v>20000000000</v>
      </c>
      <c r="J192" s="3246"/>
      <c r="K192" s="3246"/>
    </row>
    <row r="193" spans="2:11" ht="15.6" customHeight="1" x14ac:dyDescent="0.4">
      <c r="B193" s="1895">
        <v>1307006001</v>
      </c>
      <c r="C193" s="3247" t="s">
        <v>87</v>
      </c>
      <c r="D193" s="3248"/>
      <c r="E193" s="3248"/>
      <c r="F193" s="3248"/>
      <c r="G193" s="3248"/>
      <c r="H193" s="3249"/>
      <c r="I193" s="1896">
        <v>16813467655</v>
      </c>
      <c r="J193" s="3245">
        <v>101472000000</v>
      </c>
      <c r="K193" s="3245"/>
    </row>
    <row r="194" spans="2:11" ht="15.6" customHeight="1" x14ac:dyDescent="0.4">
      <c r="B194" s="1806" t="s">
        <v>366</v>
      </c>
      <c r="C194" s="3240" t="s">
        <v>619</v>
      </c>
      <c r="D194" s="3241"/>
      <c r="E194" s="3241"/>
      <c r="F194" s="3241"/>
      <c r="G194" s="3241"/>
      <c r="H194" s="3242"/>
      <c r="I194" s="1896">
        <v>5000000000</v>
      </c>
      <c r="J194" s="3243"/>
      <c r="K194" s="3244"/>
    </row>
    <row r="195" spans="2:11" ht="15.6" customHeight="1" x14ac:dyDescent="0.4">
      <c r="B195" s="1806" t="s">
        <v>1159</v>
      </c>
      <c r="C195" s="3240" t="s">
        <v>318</v>
      </c>
      <c r="D195" s="3241"/>
      <c r="E195" s="3241"/>
      <c r="F195" s="3241"/>
      <c r="G195" s="3241"/>
      <c r="H195" s="3242"/>
      <c r="I195" s="1896">
        <v>4783000000</v>
      </c>
      <c r="J195" s="3245">
        <v>2685000000</v>
      </c>
      <c r="K195" s="3245"/>
    </row>
    <row r="196" spans="2:11" ht="15.6" customHeight="1" x14ac:dyDescent="0.4">
      <c r="B196" s="1806" t="s">
        <v>2071</v>
      </c>
      <c r="C196" s="3240" t="s">
        <v>2048</v>
      </c>
      <c r="D196" s="3241"/>
      <c r="E196" s="3241"/>
      <c r="F196" s="3241"/>
      <c r="G196" s="3241"/>
      <c r="H196" s="3242"/>
      <c r="I196" s="1896">
        <v>4000000000</v>
      </c>
      <c r="J196" s="3246"/>
      <c r="K196" s="3246"/>
    </row>
    <row r="197" spans="2:11" ht="15.6" customHeight="1" x14ac:dyDescent="0.4">
      <c r="B197" s="3252" t="s">
        <v>2227</v>
      </c>
      <c r="C197" s="3252"/>
      <c r="D197" s="3252"/>
      <c r="E197" s="3252"/>
      <c r="F197" s="3252"/>
      <c r="G197" s="3252"/>
      <c r="H197" s="3252"/>
      <c r="I197" s="1896"/>
      <c r="J197" s="3243">
        <v>2166452467778</v>
      </c>
      <c r="K197" s="3244"/>
    </row>
    <row r="198" spans="2:11" ht="15.6" customHeight="1" x14ac:dyDescent="0.2">
      <c r="B198" s="3271" t="s">
        <v>195</v>
      </c>
      <c r="C198" s="3344"/>
      <c r="D198" s="3344"/>
      <c r="E198" s="3344"/>
      <c r="F198" s="3344"/>
      <c r="G198" s="3344"/>
      <c r="H198" s="3272"/>
      <c r="I198" s="1688">
        <f>SUM(I168:I197)</f>
        <v>5685785554628</v>
      </c>
      <c r="J198" s="3243">
        <f>SUM(J168:K197)+2000000</f>
        <v>3969269612140</v>
      </c>
      <c r="K198" s="3244"/>
    </row>
    <row r="199" spans="2:11" ht="12" customHeight="1" x14ac:dyDescent="0.2">
      <c r="B199" s="1898"/>
      <c r="C199" s="1898"/>
      <c r="D199" s="1898"/>
      <c r="E199" s="1898"/>
      <c r="F199" s="1898"/>
      <c r="G199" s="1898"/>
      <c r="H199" s="1898"/>
      <c r="I199" s="479"/>
      <c r="J199" s="479"/>
      <c r="K199" s="479"/>
    </row>
    <row r="200" spans="2:11" ht="41.25" customHeight="1" x14ac:dyDescent="0.2">
      <c r="B200" s="3315" t="s">
        <v>2073</v>
      </c>
      <c r="C200" s="3315"/>
      <c r="D200" s="3315"/>
      <c r="E200" s="3315"/>
      <c r="F200" s="3315"/>
      <c r="G200" s="3315"/>
      <c r="H200" s="3315"/>
      <c r="I200" s="3315"/>
      <c r="J200" s="3315"/>
      <c r="K200" s="3315"/>
    </row>
    <row r="201" spans="2:11" ht="14.25" customHeight="1" x14ac:dyDescent="0.2">
      <c r="B201" s="3355">
        <v>22</v>
      </c>
      <c r="C201" s="3355"/>
      <c r="D201" s="3355"/>
      <c r="E201" s="3355"/>
      <c r="F201" s="3355"/>
      <c r="G201" s="3355"/>
      <c r="H201" s="3355"/>
      <c r="I201" s="3355"/>
      <c r="J201" s="3355"/>
      <c r="K201" s="3355"/>
    </row>
    <row r="202" spans="2:11" ht="20.45" customHeight="1" x14ac:dyDescent="0.2">
      <c r="B202" s="3276" t="s">
        <v>32</v>
      </c>
      <c r="C202" s="3276"/>
      <c r="D202" s="3276"/>
      <c r="E202" s="3276"/>
      <c r="F202" s="3276"/>
      <c r="G202" s="3276"/>
      <c r="H202" s="3276"/>
      <c r="I202" s="3276"/>
      <c r="J202" s="3276"/>
      <c r="K202" s="3276"/>
    </row>
    <row r="203" spans="2:11" ht="20.45" customHeight="1" x14ac:dyDescent="0.2">
      <c r="B203" s="3276" t="s">
        <v>1036</v>
      </c>
      <c r="C203" s="3276"/>
      <c r="D203" s="3276"/>
      <c r="E203" s="3276"/>
      <c r="F203" s="3276"/>
      <c r="G203" s="3276"/>
      <c r="H203" s="3276"/>
      <c r="I203" s="3276"/>
      <c r="J203" s="3276"/>
      <c r="K203" s="3276"/>
    </row>
    <row r="204" spans="2:11" ht="20.45" customHeight="1" x14ac:dyDescent="0.2">
      <c r="B204" s="3276" t="s">
        <v>46</v>
      </c>
      <c r="C204" s="3276"/>
      <c r="D204" s="3276"/>
      <c r="E204" s="3276"/>
      <c r="F204" s="3276"/>
      <c r="G204" s="3276"/>
      <c r="H204" s="3276"/>
      <c r="I204" s="3276"/>
      <c r="J204" s="3276"/>
      <c r="K204" s="3276"/>
    </row>
    <row r="205" spans="2:11" ht="20.45" customHeight="1" x14ac:dyDescent="0.2">
      <c r="B205" s="3294" t="s">
        <v>1978</v>
      </c>
      <c r="C205" s="3294"/>
      <c r="D205" s="3294"/>
      <c r="E205" s="3294"/>
      <c r="F205" s="3294"/>
      <c r="G205" s="3294"/>
      <c r="H205" s="3294"/>
      <c r="I205" s="3294"/>
      <c r="J205" s="3294"/>
      <c r="K205" s="3294"/>
    </row>
    <row r="206" spans="2:11" ht="13.9" customHeight="1" x14ac:dyDescent="0.2">
      <c r="B206" s="1899"/>
      <c r="C206" s="1899"/>
      <c r="D206" s="1899"/>
      <c r="E206" s="1899"/>
      <c r="F206" s="1899"/>
      <c r="G206" s="1899"/>
      <c r="H206" s="1899"/>
      <c r="I206" s="1900"/>
      <c r="J206" s="480"/>
      <c r="K206" s="480"/>
    </row>
    <row r="207" spans="2:11" ht="13.9" customHeight="1" x14ac:dyDescent="0.2">
      <c r="B207" s="3315" t="s">
        <v>1929</v>
      </c>
      <c r="C207" s="3315"/>
      <c r="D207" s="3315"/>
      <c r="E207" s="3315"/>
      <c r="F207" s="3315"/>
      <c r="G207" s="3315"/>
      <c r="H207" s="3315"/>
      <c r="I207" s="3315"/>
      <c r="J207" s="3315"/>
      <c r="K207" s="3315"/>
    </row>
    <row r="208" spans="2:11" ht="13.9" customHeight="1" x14ac:dyDescent="0.2">
      <c r="B208" s="3315"/>
      <c r="C208" s="3315"/>
      <c r="D208" s="3315"/>
      <c r="E208" s="3315"/>
      <c r="F208" s="3315"/>
      <c r="G208" s="3315"/>
      <c r="H208" s="3315"/>
      <c r="I208" s="3315"/>
      <c r="J208" s="3315"/>
      <c r="K208" s="3315"/>
    </row>
    <row r="209" spans="2:11" ht="13.9" customHeight="1" x14ac:dyDescent="0.2">
      <c r="J209" s="3313" t="s">
        <v>194</v>
      </c>
      <c r="K209" s="3313"/>
    </row>
    <row r="210" spans="2:11" ht="21.75" customHeight="1" x14ac:dyDescent="0.2">
      <c r="B210" s="3332" t="s">
        <v>196</v>
      </c>
      <c r="C210" s="3334" t="s">
        <v>197</v>
      </c>
      <c r="D210" s="3335"/>
      <c r="E210" s="3335"/>
      <c r="F210" s="3335"/>
      <c r="G210" s="3335"/>
      <c r="H210" s="3336"/>
      <c r="I210" s="3348" t="s">
        <v>1976</v>
      </c>
      <c r="J210" s="3348" t="s">
        <v>1977</v>
      </c>
      <c r="K210" s="3348"/>
    </row>
    <row r="211" spans="2:11" ht="21.75" customHeight="1" x14ac:dyDescent="0.2">
      <c r="B211" s="3333"/>
      <c r="C211" s="3337"/>
      <c r="D211" s="3313"/>
      <c r="E211" s="3313"/>
      <c r="F211" s="3313"/>
      <c r="G211" s="3313"/>
      <c r="H211" s="3338"/>
      <c r="I211" s="3348"/>
      <c r="J211" s="3348"/>
      <c r="K211" s="3348"/>
    </row>
    <row r="212" spans="2:11" ht="21.75" customHeight="1" x14ac:dyDescent="0.4">
      <c r="B212" s="1593" t="s">
        <v>1157</v>
      </c>
      <c r="C212" s="3255" t="s">
        <v>230</v>
      </c>
      <c r="D212" s="3256"/>
      <c r="E212" s="3256"/>
      <c r="F212" s="3256"/>
      <c r="G212" s="3256"/>
      <c r="H212" s="3257"/>
      <c r="I212" s="1901">
        <v>1497504320</v>
      </c>
      <c r="J212" s="3253"/>
      <c r="K212" s="3254"/>
    </row>
    <row r="213" spans="2:11" ht="21.75" customHeight="1" x14ac:dyDescent="0.4">
      <c r="B213" s="1594" t="s">
        <v>2071</v>
      </c>
      <c r="C213" s="3255" t="s">
        <v>2048</v>
      </c>
      <c r="D213" s="3256"/>
      <c r="E213" s="3256"/>
      <c r="F213" s="3256"/>
      <c r="G213" s="3256"/>
      <c r="H213" s="3257"/>
      <c r="I213" s="1901">
        <v>1362666666</v>
      </c>
      <c r="J213" s="3253"/>
      <c r="K213" s="3254"/>
    </row>
    <row r="214" spans="2:11" ht="21.75" customHeight="1" x14ac:dyDescent="0.4">
      <c r="B214" s="1594" t="s">
        <v>2066</v>
      </c>
      <c r="C214" s="3255" t="s">
        <v>2044</v>
      </c>
      <c r="D214" s="3256"/>
      <c r="E214" s="3256"/>
      <c r="F214" s="3256"/>
      <c r="G214" s="3256"/>
      <c r="H214" s="3257"/>
      <c r="I214" s="1901">
        <v>1162320000</v>
      </c>
      <c r="J214" s="3250">
        <v>300000000</v>
      </c>
      <c r="K214" s="3251"/>
    </row>
    <row r="215" spans="2:11" ht="21.75" customHeight="1" x14ac:dyDescent="0.4">
      <c r="B215" s="1594" t="s">
        <v>2063</v>
      </c>
      <c r="C215" s="3255" t="s">
        <v>2039</v>
      </c>
      <c r="D215" s="3256"/>
      <c r="E215" s="3256"/>
      <c r="F215" s="3256"/>
      <c r="G215" s="3256"/>
      <c r="H215" s="3257"/>
      <c r="I215" s="1901">
        <v>940000000</v>
      </c>
      <c r="J215" s="3253"/>
      <c r="K215" s="3254"/>
    </row>
    <row r="216" spans="2:11" ht="21.75" customHeight="1" x14ac:dyDescent="0.4">
      <c r="B216" s="1594" t="s">
        <v>550</v>
      </c>
      <c r="C216" s="3255" t="s">
        <v>556</v>
      </c>
      <c r="D216" s="3256"/>
      <c r="E216" s="3256"/>
      <c r="F216" s="3256"/>
      <c r="G216" s="3256"/>
      <c r="H216" s="3257"/>
      <c r="I216" s="1901">
        <v>500360876</v>
      </c>
      <c r="J216" s="3253"/>
      <c r="K216" s="3254"/>
    </row>
    <row r="217" spans="2:11" ht="21.75" customHeight="1" x14ac:dyDescent="0.4">
      <c r="B217" s="1594" t="s">
        <v>1402</v>
      </c>
      <c r="C217" s="3255" t="s">
        <v>2076</v>
      </c>
      <c r="D217" s="3256"/>
      <c r="E217" s="3256"/>
      <c r="F217" s="3256"/>
      <c r="G217" s="3256"/>
      <c r="H217" s="3257"/>
      <c r="I217" s="1901">
        <v>223666667</v>
      </c>
      <c r="J217" s="3253"/>
      <c r="K217" s="3254"/>
    </row>
    <row r="218" spans="2:11" ht="21.75" customHeight="1" x14ac:dyDescent="0.4">
      <c r="B218" s="1595">
        <v>1503003007</v>
      </c>
      <c r="C218" s="3261" t="s">
        <v>910</v>
      </c>
      <c r="D218" s="3262"/>
      <c r="E218" s="3262"/>
      <c r="F218" s="3262"/>
      <c r="G218" s="3262"/>
      <c r="H218" s="3263"/>
      <c r="I218" s="1901">
        <v>180544105</v>
      </c>
      <c r="J218" s="3250">
        <v>180544105</v>
      </c>
      <c r="K218" s="3251"/>
    </row>
    <row r="219" spans="2:11" ht="21.75" customHeight="1" x14ac:dyDescent="0.4">
      <c r="B219" s="1594" t="s">
        <v>2053</v>
      </c>
      <c r="C219" s="3255" t="s">
        <v>2031</v>
      </c>
      <c r="D219" s="3256"/>
      <c r="E219" s="3256"/>
      <c r="F219" s="3256"/>
      <c r="G219" s="3256"/>
      <c r="H219" s="3257"/>
      <c r="I219" s="1901">
        <v>141949064</v>
      </c>
      <c r="J219" s="3253"/>
      <c r="K219" s="3254"/>
    </row>
    <row r="220" spans="2:11" ht="21.75" customHeight="1" x14ac:dyDescent="0.4">
      <c r="B220" s="1594" t="s">
        <v>1078</v>
      </c>
      <c r="C220" s="3255" t="s">
        <v>1077</v>
      </c>
      <c r="D220" s="3256"/>
      <c r="E220" s="3256"/>
      <c r="F220" s="3256"/>
      <c r="G220" s="3256"/>
      <c r="H220" s="3257"/>
      <c r="I220" s="1901">
        <v>108000000</v>
      </c>
      <c r="J220" s="3253"/>
      <c r="K220" s="3254"/>
    </row>
    <row r="221" spans="2:11" ht="21.75" customHeight="1" x14ac:dyDescent="0.4">
      <c r="B221" s="1902" t="s">
        <v>292</v>
      </c>
      <c r="C221" s="3261" t="s">
        <v>1152</v>
      </c>
      <c r="D221" s="3262"/>
      <c r="E221" s="3262"/>
      <c r="F221" s="3262"/>
      <c r="G221" s="3262"/>
      <c r="H221" s="3263"/>
      <c r="I221" s="1901">
        <v>90593605</v>
      </c>
      <c r="J221" s="3250">
        <v>90593605</v>
      </c>
      <c r="K221" s="3251"/>
    </row>
    <row r="222" spans="2:11" ht="21.75" customHeight="1" x14ac:dyDescent="0.4">
      <c r="B222" s="1594" t="s">
        <v>2054</v>
      </c>
      <c r="C222" s="3255" t="s">
        <v>2032</v>
      </c>
      <c r="D222" s="3256"/>
      <c r="E222" s="3256"/>
      <c r="F222" s="3256"/>
      <c r="G222" s="3256"/>
      <c r="H222" s="3257"/>
      <c r="I222" s="1901">
        <v>83753286</v>
      </c>
      <c r="J222" s="3250"/>
      <c r="K222" s="3251"/>
    </row>
    <row r="223" spans="2:11" ht="21.75" customHeight="1" x14ac:dyDescent="0.4">
      <c r="B223" s="1595" t="s">
        <v>251</v>
      </c>
      <c r="C223" s="3261" t="s">
        <v>220</v>
      </c>
      <c r="D223" s="3262"/>
      <c r="E223" s="3262"/>
      <c r="F223" s="3262"/>
      <c r="G223" s="3262"/>
      <c r="H223" s="3263"/>
      <c r="I223" s="1901">
        <v>78875373</v>
      </c>
      <c r="J223" s="3250">
        <v>78875373</v>
      </c>
      <c r="K223" s="3251"/>
    </row>
    <row r="224" spans="2:11" ht="21.75" customHeight="1" x14ac:dyDescent="0.4">
      <c r="B224" s="1903" t="s">
        <v>157</v>
      </c>
      <c r="C224" s="3261" t="s">
        <v>536</v>
      </c>
      <c r="D224" s="3262"/>
      <c r="E224" s="3262"/>
      <c r="F224" s="3262"/>
      <c r="G224" s="3262"/>
      <c r="H224" s="3263"/>
      <c r="I224" s="1901">
        <v>51914997</v>
      </c>
      <c r="J224" s="3250">
        <v>51914997</v>
      </c>
      <c r="K224" s="3251"/>
    </row>
    <row r="225" spans="2:11" ht="21.75" customHeight="1" x14ac:dyDescent="0.4">
      <c r="B225" s="1595" t="s">
        <v>611</v>
      </c>
      <c r="C225" s="3261" t="s">
        <v>597</v>
      </c>
      <c r="D225" s="3262"/>
      <c r="E225" s="3262"/>
      <c r="F225" s="3262"/>
      <c r="G225" s="3262"/>
      <c r="H225" s="3263"/>
      <c r="I225" s="1901">
        <v>45805923</v>
      </c>
      <c r="J225" s="3250">
        <v>45805923</v>
      </c>
      <c r="K225" s="3251"/>
    </row>
    <row r="226" spans="2:11" ht="21.75" customHeight="1" x14ac:dyDescent="0.4">
      <c r="B226" s="1595" t="s">
        <v>290</v>
      </c>
      <c r="C226" s="3261" t="s">
        <v>1057</v>
      </c>
      <c r="D226" s="3262"/>
      <c r="E226" s="3262"/>
      <c r="F226" s="3262"/>
      <c r="G226" s="3262"/>
      <c r="H226" s="3263"/>
      <c r="I226" s="1901">
        <v>42698379</v>
      </c>
      <c r="J226" s="3250">
        <v>42698379</v>
      </c>
      <c r="K226" s="3251"/>
    </row>
    <row r="227" spans="2:11" ht="21.75" customHeight="1" x14ac:dyDescent="0.4">
      <c r="B227" s="1902">
        <v>1503002067</v>
      </c>
      <c r="C227" s="3261" t="s">
        <v>318</v>
      </c>
      <c r="D227" s="3262"/>
      <c r="E227" s="3262"/>
      <c r="F227" s="3262"/>
      <c r="G227" s="3262"/>
      <c r="H227" s="3263"/>
      <c r="I227" s="1901">
        <v>37868941</v>
      </c>
      <c r="J227" s="3250">
        <v>37000000</v>
      </c>
      <c r="K227" s="3251"/>
    </row>
    <row r="228" spans="2:11" ht="21.75" customHeight="1" x14ac:dyDescent="0.4">
      <c r="B228" s="1904" t="s">
        <v>90</v>
      </c>
      <c r="C228" s="3261" t="s">
        <v>191</v>
      </c>
      <c r="D228" s="3262"/>
      <c r="E228" s="3262"/>
      <c r="F228" s="3262"/>
      <c r="G228" s="3262"/>
      <c r="H228" s="3263"/>
      <c r="I228" s="1901">
        <v>34559289</v>
      </c>
      <c r="J228" s="3250">
        <v>34559289</v>
      </c>
      <c r="K228" s="3251"/>
    </row>
    <row r="229" spans="2:11" ht="21.75" customHeight="1" x14ac:dyDescent="0.4">
      <c r="B229" s="1904" t="s">
        <v>63</v>
      </c>
      <c r="C229" s="3261" t="s">
        <v>320</v>
      </c>
      <c r="D229" s="3262"/>
      <c r="E229" s="3262"/>
      <c r="F229" s="3262"/>
      <c r="G229" s="3262"/>
      <c r="H229" s="3263"/>
      <c r="I229" s="1901">
        <v>33620580</v>
      </c>
      <c r="J229" s="3250">
        <v>33620580</v>
      </c>
      <c r="K229" s="3251"/>
    </row>
    <row r="230" spans="2:11" ht="21.75" customHeight="1" x14ac:dyDescent="0.4">
      <c r="B230" s="1595" t="s">
        <v>628</v>
      </c>
      <c r="C230" s="3261" t="s">
        <v>604</v>
      </c>
      <c r="D230" s="3262"/>
      <c r="E230" s="3262"/>
      <c r="F230" s="3262"/>
      <c r="G230" s="3262"/>
      <c r="H230" s="3263"/>
      <c r="I230" s="1901">
        <v>32784598</v>
      </c>
      <c r="J230" s="3250">
        <v>32784598</v>
      </c>
      <c r="K230" s="3251"/>
    </row>
    <row r="231" spans="2:11" ht="21.75" customHeight="1" x14ac:dyDescent="0.4">
      <c r="B231" s="1905" t="s">
        <v>92</v>
      </c>
      <c r="C231" s="3261" t="s">
        <v>321</v>
      </c>
      <c r="D231" s="3262"/>
      <c r="E231" s="3262"/>
      <c r="F231" s="3262"/>
      <c r="G231" s="3262"/>
      <c r="H231" s="3263"/>
      <c r="I231" s="1901">
        <v>32515691</v>
      </c>
      <c r="J231" s="3250">
        <v>32515691</v>
      </c>
      <c r="K231" s="3251"/>
    </row>
    <row r="232" spans="2:11" ht="21.75" customHeight="1" x14ac:dyDescent="0.4">
      <c r="B232" s="1904" t="s">
        <v>231</v>
      </c>
      <c r="C232" s="3261" t="s">
        <v>332</v>
      </c>
      <c r="D232" s="3262"/>
      <c r="E232" s="3262"/>
      <c r="F232" s="3262"/>
      <c r="G232" s="3262"/>
      <c r="H232" s="3263"/>
      <c r="I232" s="1901">
        <v>22022561</v>
      </c>
      <c r="J232" s="3250">
        <v>22022561</v>
      </c>
      <c r="K232" s="3251"/>
    </row>
    <row r="233" spans="2:11" ht="21.75" customHeight="1" x14ac:dyDescent="0.4">
      <c r="B233" s="1904" t="s">
        <v>104</v>
      </c>
      <c r="C233" s="3261" t="s">
        <v>331</v>
      </c>
      <c r="D233" s="3262"/>
      <c r="E233" s="3262"/>
      <c r="F233" s="3262"/>
      <c r="G233" s="3262"/>
      <c r="H233" s="3263"/>
      <c r="I233" s="1901">
        <v>10743930</v>
      </c>
      <c r="J233" s="3250">
        <v>10743930</v>
      </c>
      <c r="K233" s="3251"/>
    </row>
    <row r="234" spans="2:11" ht="21.75" customHeight="1" x14ac:dyDescent="0.4">
      <c r="B234" s="1906" t="s">
        <v>281</v>
      </c>
      <c r="C234" s="3261" t="s">
        <v>227</v>
      </c>
      <c r="D234" s="3262"/>
      <c r="E234" s="3262"/>
      <c r="F234" s="3262"/>
      <c r="G234" s="3262"/>
      <c r="H234" s="3263"/>
      <c r="I234" s="1901">
        <v>9523809</v>
      </c>
      <c r="J234" s="3250">
        <v>9523809</v>
      </c>
      <c r="K234" s="3251"/>
    </row>
    <row r="235" spans="2:11" ht="21.75" customHeight="1" x14ac:dyDescent="0.4">
      <c r="B235" s="1904" t="s">
        <v>98</v>
      </c>
      <c r="C235" s="3261" t="s">
        <v>326</v>
      </c>
      <c r="D235" s="3262"/>
      <c r="E235" s="3262"/>
      <c r="F235" s="3262"/>
      <c r="G235" s="3262"/>
      <c r="H235" s="3263"/>
      <c r="I235" s="1901">
        <v>8399791</v>
      </c>
      <c r="J235" s="3250">
        <v>8399791</v>
      </c>
      <c r="K235" s="3251"/>
    </row>
    <row r="236" spans="2:11" ht="21.75" customHeight="1" x14ac:dyDescent="0.4">
      <c r="B236" s="1902" t="s">
        <v>228</v>
      </c>
      <c r="C236" s="3261" t="s">
        <v>229</v>
      </c>
      <c r="D236" s="3262"/>
      <c r="E236" s="3262"/>
      <c r="F236" s="3262"/>
      <c r="G236" s="3262"/>
      <c r="H236" s="3263"/>
      <c r="I236" s="1901">
        <v>5972399</v>
      </c>
      <c r="J236" s="3250">
        <v>5972399</v>
      </c>
      <c r="K236" s="3251"/>
    </row>
    <row r="237" spans="2:11" ht="21.75" customHeight="1" x14ac:dyDescent="0.4">
      <c r="B237" s="1594" t="s">
        <v>2064</v>
      </c>
      <c r="C237" s="1907" t="s">
        <v>2042</v>
      </c>
      <c r="D237" s="1908"/>
      <c r="E237" s="1908"/>
      <c r="F237" s="1908"/>
      <c r="G237" s="1908"/>
      <c r="H237" s="1909"/>
      <c r="I237" s="1901">
        <v>4780528</v>
      </c>
      <c r="J237" s="3250"/>
      <c r="K237" s="3251"/>
    </row>
    <row r="238" spans="2:11" ht="21.75" customHeight="1" x14ac:dyDescent="0.4">
      <c r="B238" s="1906" t="s">
        <v>248</v>
      </c>
      <c r="C238" s="3261" t="s">
        <v>249</v>
      </c>
      <c r="D238" s="3262"/>
      <c r="E238" s="3262"/>
      <c r="F238" s="3262"/>
      <c r="G238" s="3262"/>
      <c r="H238" s="3263"/>
      <c r="I238" s="1901">
        <v>3906265</v>
      </c>
      <c r="J238" s="3250">
        <v>3906265</v>
      </c>
      <c r="K238" s="3251"/>
    </row>
    <row r="239" spans="2:11" ht="21.75" customHeight="1" x14ac:dyDescent="0.4">
      <c r="B239" s="1910" t="s">
        <v>215</v>
      </c>
      <c r="C239" s="3261" t="s">
        <v>216</v>
      </c>
      <c r="D239" s="3262"/>
      <c r="E239" s="3262"/>
      <c r="F239" s="3262"/>
      <c r="G239" s="3262"/>
      <c r="H239" s="3263"/>
      <c r="I239" s="1901">
        <v>789555</v>
      </c>
      <c r="J239" s="3250">
        <v>789555</v>
      </c>
      <c r="K239" s="3251"/>
    </row>
    <row r="240" spans="2:11" ht="21.75" customHeight="1" x14ac:dyDescent="0.4">
      <c r="B240" s="3252" t="s">
        <v>2077</v>
      </c>
      <c r="C240" s="3252"/>
      <c r="D240" s="3252"/>
      <c r="E240" s="3252"/>
      <c r="F240" s="3252"/>
      <c r="G240" s="3252"/>
      <c r="H240" s="3252"/>
      <c r="I240" s="1901"/>
      <c r="J240" s="3250">
        <v>1319256745</v>
      </c>
      <c r="K240" s="3251"/>
    </row>
    <row r="241" spans="2:11" ht="22.9" customHeight="1" x14ac:dyDescent="0.2">
      <c r="B241" s="3271" t="s">
        <v>195</v>
      </c>
      <c r="C241" s="3344"/>
      <c r="D241" s="3344"/>
      <c r="E241" s="3344"/>
      <c r="F241" s="3344"/>
      <c r="G241" s="3344"/>
      <c r="H241" s="3272"/>
      <c r="I241" s="1911">
        <f>SUM(I212:I240)</f>
        <v>6748141198</v>
      </c>
      <c r="J241" s="3271">
        <f>SUM(J212:K240)</f>
        <v>2341527595</v>
      </c>
      <c r="K241" s="3272"/>
    </row>
    <row r="242" spans="2:11" ht="13.9" customHeight="1" x14ac:dyDescent="0.2">
      <c r="B242" s="1912"/>
      <c r="C242" s="1912"/>
      <c r="D242" s="1912"/>
      <c r="E242" s="1912"/>
      <c r="F242" s="1912"/>
      <c r="G242" s="1912"/>
      <c r="H242" s="1912"/>
      <c r="I242" s="1912"/>
      <c r="J242" s="1912"/>
      <c r="K242" s="1912"/>
    </row>
    <row r="243" spans="2:11" ht="13.9" hidden="1" customHeight="1" x14ac:dyDescent="0.2">
      <c r="B243" s="1912"/>
      <c r="C243" s="1912"/>
      <c r="D243" s="1912"/>
      <c r="E243" s="1912"/>
      <c r="F243" s="1912"/>
      <c r="G243" s="1912"/>
      <c r="H243" s="1912"/>
      <c r="I243" s="1912"/>
      <c r="J243" s="1912"/>
      <c r="K243" s="1912"/>
    </row>
    <row r="244" spans="2:11" ht="13.9" hidden="1" customHeight="1" x14ac:dyDescent="0.2">
      <c r="B244" s="1912"/>
      <c r="C244" s="1912"/>
      <c r="D244" s="1912"/>
      <c r="E244" s="1912"/>
      <c r="F244" s="1912"/>
      <c r="G244" s="1912"/>
      <c r="H244" s="1912"/>
      <c r="I244" s="1912"/>
      <c r="J244" s="1912"/>
      <c r="K244" s="1912"/>
    </row>
    <row r="245" spans="2:11" ht="13.9" hidden="1" customHeight="1" x14ac:dyDescent="0.2">
      <c r="B245" s="1912"/>
      <c r="C245" s="1912"/>
      <c r="D245" s="1912"/>
      <c r="E245" s="1912"/>
      <c r="F245" s="1912"/>
      <c r="G245" s="1912"/>
      <c r="H245" s="1912"/>
      <c r="I245" s="1912"/>
      <c r="J245" s="1912"/>
      <c r="K245" s="1912"/>
    </row>
    <row r="246" spans="2:11" ht="13.9" hidden="1" customHeight="1" x14ac:dyDescent="0.2">
      <c r="B246" s="1912"/>
      <c r="C246" s="1912"/>
      <c r="D246" s="1912"/>
      <c r="E246" s="1912"/>
      <c r="F246" s="1912"/>
      <c r="G246" s="1912"/>
      <c r="H246" s="1912"/>
      <c r="I246" s="1912"/>
      <c r="J246" s="1912"/>
      <c r="K246" s="1912"/>
    </row>
    <row r="247" spans="2:11" ht="13.9" hidden="1" customHeight="1" x14ac:dyDescent="0.2">
      <c r="B247" s="1912"/>
      <c r="C247" s="1912"/>
      <c r="D247" s="1912"/>
      <c r="E247" s="1912"/>
      <c r="F247" s="1912"/>
      <c r="G247" s="1912"/>
      <c r="H247" s="1912"/>
      <c r="I247" s="1912"/>
      <c r="J247" s="1912"/>
      <c r="K247" s="1912"/>
    </row>
    <row r="248" spans="2:11" ht="13.9" hidden="1" customHeight="1" x14ac:dyDescent="0.2">
      <c r="B248" s="1912"/>
      <c r="C248" s="1912"/>
      <c r="D248" s="1912"/>
      <c r="E248" s="1912"/>
      <c r="F248" s="1912"/>
      <c r="G248" s="1912"/>
      <c r="H248" s="1912"/>
      <c r="I248" s="1912"/>
      <c r="J248" s="1912"/>
      <c r="K248" s="1912"/>
    </row>
    <row r="249" spans="2:11" ht="13.9" hidden="1" customHeight="1" x14ac:dyDescent="0.2">
      <c r="B249" s="1912"/>
      <c r="C249" s="1912"/>
      <c r="D249" s="1912"/>
      <c r="E249" s="1912"/>
      <c r="F249" s="1912"/>
      <c r="G249" s="1912"/>
      <c r="H249" s="1912"/>
      <c r="I249" s="1912"/>
      <c r="J249" s="1912"/>
      <c r="K249" s="1912"/>
    </row>
    <row r="250" spans="2:11" ht="13.9" hidden="1" customHeight="1" x14ac:dyDescent="0.2">
      <c r="B250" s="1912"/>
      <c r="C250" s="1912"/>
      <c r="D250" s="1912"/>
      <c r="E250" s="1912"/>
      <c r="F250" s="1912"/>
      <c r="G250" s="1912"/>
      <c r="H250" s="1912"/>
      <c r="I250" s="1912"/>
      <c r="J250" s="1912"/>
      <c r="K250" s="1912"/>
    </row>
    <row r="251" spans="2:11" ht="13.9" hidden="1" customHeight="1" x14ac:dyDescent="0.2">
      <c r="B251" s="1912"/>
      <c r="C251" s="1912"/>
      <c r="D251" s="1912"/>
      <c r="E251" s="1912"/>
      <c r="F251" s="1912"/>
      <c r="G251" s="1912"/>
      <c r="H251" s="1912"/>
      <c r="I251" s="1912"/>
      <c r="J251" s="1912"/>
      <c r="K251" s="1912"/>
    </row>
    <row r="252" spans="2:11" ht="13.9" hidden="1" customHeight="1" x14ac:dyDescent="0.2">
      <c r="B252" s="1912"/>
      <c r="C252" s="1912"/>
      <c r="D252" s="1912"/>
      <c r="E252" s="1912"/>
      <c r="F252" s="1912"/>
      <c r="G252" s="1912"/>
      <c r="H252" s="1912"/>
      <c r="I252" s="1912"/>
      <c r="J252" s="1912"/>
      <c r="K252" s="1912"/>
    </row>
    <row r="253" spans="2:11" ht="13.9" hidden="1" customHeight="1" x14ac:dyDescent="0.2">
      <c r="B253" s="1912"/>
      <c r="C253" s="1912"/>
      <c r="D253" s="1912"/>
      <c r="E253" s="1912"/>
      <c r="F253" s="1912"/>
      <c r="G253" s="1912"/>
      <c r="H253" s="1912"/>
      <c r="I253" s="1912"/>
      <c r="J253" s="1912"/>
      <c r="K253" s="1912"/>
    </row>
    <row r="254" spans="2:11" ht="13.9" hidden="1" customHeight="1" x14ac:dyDescent="0.2">
      <c r="B254" s="1912"/>
      <c r="C254" s="1912"/>
      <c r="D254" s="1912"/>
      <c r="E254" s="1912"/>
      <c r="F254" s="1912"/>
      <c r="G254" s="1912"/>
      <c r="H254" s="1912"/>
      <c r="I254" s="1912"/>
      <c r="J254" s="1912"/>
      <c r="K254" s="1912"/>
    </row>
    <row r="255" spans="2:11" ht="13.9" hidden="1" customHeight="1" x14ac:dyDescent="0.2">
      <c r="B255" s="1912"/>
      <c r="C255" s="1912"/>
      <c r="D255" s="1912"/>
      <c r="E255" s="1912"/>
      <c r="F255" s="1912"/>
      <c r="G255" s="1912"/>
      <c r="H255" s="1912"/>
      <c r="I255" s="1912"/>
      <c r="J255" s="1912"/>
      <c r="K255" s="1912"/>
    </row>
    <row r="256" spans="2:11" ht="13.9" hidden="1" customHeight="1" x14ac:dyDescent="0.2">
      <c r="B256" s="1912"/>
      <c r="C256" s="1912"/>
      <c r="D256" s="1912"/>
      <c r="E256" s="1912"/>
      <c r="F256" s="1912"/>
      <c r="G256" s="1912"/>
      <c r="H256" s="1912"/>
      <c r="I256" s="1912"/>
      <c r="J256" s="1912"/>
      <c r="K256" s="1912"/>
    </row>
    <row r="257" spans="2:11" ht="13.9" hidden="1" customHeight="1" x14ac:dyDescent="0.2">
      <c r="B257" s="1912"/>
      <c r="C257" s="1912"/>
      <c r="D257" s="1912"/>
      <c r="E257" s="1912"/>
      <c r="F257" s="1912"/>
      <c r="G257" s="1912"/>
      <c r="H257" s="1912"/>
      <c r="I257" s="1912"/>
      <c r="J257" s="1912"/>
      <c r="K257" s="1912"/>
    </row>
    <row r="258" spans="2:11" ht="13.9" hidden="1" customHeight="1" x14ac:dyDescent="0.2">
      <c r="B258" s="1912"/>
      <c r="C258" s="1912"/>
      <c r="D258" s="1912"/>
      <c r="E258" s="1912"/>
      <c r="F258" s="1912"/>
      <c r="G258" s="1912"/>
      <c r="H258" s="1912"/>
      <c r="I258" s="1912"/>
      <c r="J258" s="1912"/>
      <c r="K258" s="1912"/>
    </row>
    <row r="259" spans="2:11" ht="13.9" hidden="1" customHeight="1" x14ac:dyDescent="0.2">
      <c r="B259" s="1912"/>
      <c r="C259" s="1912"/>
      <c r="D259" s="1912"/>
      <c r="E259" s="1912"/>
      <c r="F259" s="1912"/>
      <c r="G259" s="1912"/>
      <c r="H259" s="1912"/>
      <c r="I259" s="1912"/>
      <c r="J259" s="1912"/>
      <c r="K259" s="1912"/>
    </row>
    <row r="260" spans="2:11" ht="12" hidden="1" customHeight="1" x14ac:dyDescent="0.2">
      <c r="J260" s="3313" t="s">
        <v>194</v>
      </c>
      <c r="K260" s="3313"/>
    </row>
    <row r="261" spans="2:11" ht="19.899999999999999" hidden="1" customHeight="1" x14ac:dyDescent="0.2">
      <c r="B261" s="3332" t="s">
        <v>196</v>
      </c>
      <c r="C261" s="3334" t="s">
        <v>197</v>
      </c>
      <c r="D261" s="3335"/>
      <c r="E261" s="3335"/>
      <c r="F261" s="3335"/>
      <c r="G261" s="3335"/>
      <c r="H261" s="3336"/>
      <c r="I261" s="3277" t="s">
        <v>1388</v>
      </c>
      <c r="J261" s="3277" t="s">
        <v>1389</v>
      </c>
      <c r="K261" s="3277"/>
    </row>
    <row r="262" spans="2:11" ht="19.899999999999999" hidden="1" customHeight="1" x14ac:dyDescent="0.2">
      <c r="B262" s="3333"/>
      <c r="C262" s="3337"/>
      <c r="D262" s="3313"/>
      <c r="E262" s="3313"/>
      <c r="F262" s="3313"/>
      <c r="G262" s="3313"/>
      <c r="H262" s="3338"/>
      <c r="I262" s="3277"/>
      <c r="J262" s="3277"/>
      <c r="K262" s="3277"/>
    </row>
    <row r="263" spans="2:11" ht="19.149999999999999" hidden="1" customHeight="1" x14ac:dyDescent="0.2">
      <c r="B263" s="1913" t="s">
        <v>542</v>
      </c>
      <c r="C263" s="3247" t="s">
        <v>335</v>
      </c>
      <c r="D263" s="3248"/>
      <c r="E263" s="3248"/>
      <c r="F263" s="3248"/>
      <c r="G263" s="3248"/>
      <c r="H263" s="3249"/>
      <c r="I263" s="1688">
        <v>1702245918</v>
      </c>
      <c r="J263" s="3246">
        <v>1702245918</v>
      </c>
      <c r="K263" s="3246"/>
    </row>
    <row r="264" spans="2:11" ht="19.149999999999999" hidden="1" customHeight="1" x14ac:dyDescent="0.2">
      <c r="B264" s="1762" t="s">
        <v>627</v>
      </c>
      <c r="C264" s="3258" t="s">
        <v>603</v>
      </c>
      <c r="D264" s="3259"/>
      <c r="E264" s="3259"/>
      <c r="F264" s="3259"/>
      <c r="G264" s="3259"/>
      <c r="H264" s="3260"/>
      <c r="I264" s="1688">
        <v>1479872686</v>
      </c>
      <c r="J264" s="3246">
        <v>1479872686</v>
      </c>
      <c r="K264" s="3246"/>
    </row>
    <row r="265" spans="2:11" ht="19.149999999999999" hidden="1" customHeight="1" x14ac:dyDescent="0.2">
      <c r="B265" s="1762" t="s">
        <v>623</v>
      </c>
      <c r="C265" s="3324" t="s">
        <v>599</v>
      </c>
      <c r="D265" s="3324"/>
      <c r="E265" s="3324"/>
      <c r="F265" s="3324"/>
      <c r="G265" s="3324"/>
      <c r="H265" s="3324"/>
      <c r="I265" s="1688">
        <v>1334884676</v>
      </c>
      <c r="J265" s="3246">
        <v>1334884676</v>
      </c>
      <c r="K265" s="3246"/>
    </row>
    <row r="266" spans="2:11" ht="19.149999999999999" hidden="1" customHeight="1" x14ac:dyDescent="0.2">
      <c r="B266" s="1762" t="s">
        <v>544</v>
      </c>
      <c r="C266" s="3247" t="s">
        <v>543</v>
      </c>
      <c r="D266" s="3248"/>
      <c r="E266" s="3248"/>
      <c r="F266" s="3248"/>
      <c r="G266" s="3248"/>
      <c r="H266" s="3249"/>
      <c r="I266" s="1688">
        <v>900000000</v>
      </c>
      <c r="J266" s="3246">
        <v>900000000</v>
      </c>
      <c r="K266" s="3246"/>
    </row>
    <row r="267" spans="2:11" ht="19.149999999999999" hidden="1" customHeight="1" x14ac:dyDescent="0.2">
      <c r="B267" s="1762" t="s">
        <v>608</v>
      </c>
      <c r="C267" s="3324" t="s">
        <v>595</v>
      </c>
      <c r="D267" s="3324"/>
      <c r="E267" s="3324"/>
      <c r="F267" s="3324"/>
      <c r="G267" s="3324"/>
      <c r="H267" s="3324"/>
      <c r="I267" s="1688">
        <v>184325709</v>
      </c>
      <c r="J267" s="3246">
        <v>184325709</v>
      </c>
      <c r="K267" s="3246"/>
    </row>
    <row r="268" spans="2:11" ht="19.149999999999999" hidden="1" customHeight="1" x14ac:dyDescent="0.2">
      <c r="B268" s="1914" t="s">
        <v>292</v>
      </c>
      <c r="C268" s="3345" t="s">
        <v>1079</v>
      </c>
      <c r="D268" s="3346"/>
      <c r="E268" s="3346"/>
      <c r="F268" s="3346"/>
      <c r="G268" s="3346"/>
      <c r="H268" s="3347"/>
      <c r="I268" s="1688">
        <v>70977105</v>
      </c>
      <c r="J268" s="3246">
        <v>70977105</v>
      </c>
      <c r="K268" s="3246"/>
    </row>
    <row r="269" spans="2:11" ht="19.149999999999999" hidden="1" customHeight="1" x14ac:dyDescent="0.2">
      <c r="B269" s="1762" t="s">
        <v>611</v>
      </c>
      <c r="C269" s="3258" t="s">
        <v>597</v>
      </c>
      <c r="D269" s="3259"/>
      <c r="E269" s="3259"/>
      <c r="F269" s="3259"/>
      <c r="G269" s="3259"/>
      <c r="H269" s="3260"/>
      <c r="I269" s="1688">
        <v>45805923</v>
      </c>
      <c r="J269" s="3246">
        <v>45805923</v>
      </c>
      <c r="K269" s="3246"/>
    </row>
    <row r="270" spans="2:11" ht="18.600000000000001" hidden="1" customHeight="1" x14ac:dyDescent="0.2">
      <c r="B270" s="1762" t="s">
        <v>628</v>
      </c>
      <c r="C270" s="3258" t="s">
        <v>604</v>
      </c>
      <c r="D270" s="3259"/>
      <c r="E270" s="3259"/>
      <c r="F270" s="3259"/>
      <c r="G270" s="3259"/>
      <c r="H270" s="3260"/>
      <c r="I270" s="1688">
        <v>32784598</v>
      </c>
      <c r="J270" s="3246">
        <v>32784598</v>
      </c>
      <c r="K270" s="3246"/>
    </row>
    <row r="271" spans="2:11" ht="21" hidden="1" customHeight="1" x14ac:dyDescent="0.2">
      <c r="B271" s="1914">
        <v>1503002067</v>
      </c>
      <c r="C271" s="3278" t="s">
        <v>86</v>
      </c>
      <c r="D271" s="3278"/>
      <c r="E271" s="3278"/>
      <c r="F271" s="3278"/>
      <c r="G271" s="3278"/>
      <c r="H271" s="3278"/>
      <c r="I271" s="417"/>
      <c r="J271" s="3279"/>
      <c r="K271" s="3279"/>
    </row>
    <row r="272" spans="2:11" ht="21" hidden="1" customHeight="1" x14ac:dyDescent="0.2">
      <c r="I272" s="417"/>
      <c r="J272" s="1579"/>
      <c r="K272" s="697"/>
    </row>
    <row r="273" spans="2:12" ht="21" hidden="1" customHeight="1" x14ac:dyDescent="0.2">
      <c r="B273" s="1914">
        <v>1503003007</v>
      </c>
      <c r="C273" s="3278" t="s">
        <v>538</v>
      </c>
      <c r="D273" s="3278"/>
      <c r="E273" s="3278"/>
      <c r="F273" s="3278"/>
      <c r="G273" s="3278"/>
      <c r="H273" s="3278"/>
      <c r="I273" s="417"/>
      <c r="J273" s="3279"/>
      <c r="K273" s="3279"/>
    </row>
    <row r="274" spans="2:12" ht="21" hidden="1" customHeight="1" x14ac:dyDescent="0.4">
      <c r="B274" s="1762" t="s">
        <v>624</v>
      </c>
      <c r="C274" s="3353" t="s">
        <v>600</v>
      </c>
      <c r="D274" s="3353"/>
      <c r="E274" s="3353"/>
      <c r="F274" s="3353"/>
      <c r="G274" s="3353"/>
      <c r="H274" s="3353"/>
      <c r="I274" s="417"/>
      <c r="J274" s="3279"/>
      <c r="K274" s="3279"/>
    </row>
    <row r="275" spans="2:12" ht="15" hidden="1" customHeight="1" x14ac:dyDescent="0.2">
      <c r="B275" s="3350" t="s">
        <v>1151</v>
      </c>
      <c r="C275" s="3350"/>
      <c r="D275" s="3350"/>
      <c r="E275" s="3350"/>
      <c r="F275" s="3350"/>
      <c r="G275" s="3350"/>
      <c r="H275" s="3350"/>
      <c r="J275" s="3279">
        <v>0</v>
      </c>
      <c r="K275" s="3279"/>
    </row>
    <row r="276" spans="2:12" ht="17.45" hidden="1" customHeight="1" x14ac:dyDescent="0.2">
      <c r="B276" s="3322" t="s">
        <v>195</v>
      </c>
      <c r="C276" s="3322"/>
      <c r="D276" s="3322"/>
      <c r="E276" s="3322"/>
      <c r="F276" s="3322"/>
      <c r="G276" s="3322"/>
      <c r="H276" s="3322"/>
      <c r="I276" s="1915">
        <f>SUM(I263:I275)</f>
        <v>5750896615</v>
      </c>
      <c r="J276" s="3351">
        <f>SUM(J263:K275)</f>
        <v>5750896615</v>
      </c>
      <c r="K276" s="3352"/>
    </row>
    <row r="277" spans="2:12" ht="5.45" hidden="1" customHeight="1" x14ac:dyDescent="0.2">
      <c r="B277" s="1899"/>
      <c r="C277" s="1899"/>
      <c r="D277" s="1899"/>
      <c r="E277" s="1899"/>
      <c r="F277" s="1899"/>
      <c r="G277" s="1899"/>
      <c r="H277" s="1899"/>
      <c r="I277" s="1900"/>
      <c r="J277" s="480"/>
      <c r="K277" s="480"/>
    </row>
    <row r="278" spans="2:12" ht="12.6" hidden="1" customHeight="1" x14ac:dyDescent="0.2">
      <c r="B278" s="1899"/>
      <c r="C278" s="1899"/>
      <c r="D278" s="1899"/>
      <c r="E278" s="1899"/>
      <c r="F278" s="1899"/>
      <c r="G278" s="1899"/>
      <c r="H278" s="1899"/>
      <c r="I278" s="1900"/>
      <c r="J278" s="480"/>
      <c r="K278" s="480"/>
    </row>
    <row r="279" spans="2:12" ht="12.6" hidden="1" customHeight="1" x14ac:dyDescent="0.2">
      <c r="B279" s="1899"/>
      <c r="C279" s="1899"/>
      <c r="D279" s="1899"/>
      <c r="E279" s="1899"/>
      <c r="F279" s="1899"/>
      <c r="G279" s="1899"/>
      <c r="H279" s="1899"/>
      <c r="I279" s="1900"/>
      <c r="J279" s="480"/>
      <c r="K279" s="480"/>
    </row>
    <row r="280" spans="2:12" ht="12.6" hidden="1" customHeight="1" x14ac:dyDescent="0.2">
      <c r="B280" s="1899"/>
      <c r="C280" s="1899"/>
      <c r="D280" s="1899"/>
      <c r="E280" s="1899"/>
      <c r="F280" s="1899"/>
      <c r="G280" s="1899"/>
      <c r="H280" s="1899"/>
      <c r="I280" s="1900"/>
      <c r="J280" s="480"/>
      <c r="K280" s="480"/>
    </row>
    <row r="281" spans="2:12" ht="12.6" hidden="1" customHeight="1" x14ac:dyDescent="0.2">
      <c r="B281" s="1899"/>
      <c r="C281" s="1899"/>
      <c r="D281" s="1899"/>
      <c r="E281" s="1899"/>
      <c r="F281" s="1899"/>
      <c r="G281" s="1899"/>
      <c r="H281" s="1899"/>
      <c r="I281" s="1900"/>
      <c r="J281" s="480"/>
      <c r="K281" s="480"/>
    </row>
    <row r="282" spans="2:12" ht="12.6" hidden="1" customHeight="1" x14ac:dyDescent="0.2">
      <c r="B282" s="1899"/>
      <c r="C282" s="1899"/>
      <c r="D282" s="1899"/>
      <c r="E282" s="1899"/>
      <c r="F282" s="1899"/>
      <c r="G282" s="1899"/>
      <c r="H282" s="1899"/>
      <c r="I282" s="1900"/>
      <c r="J282" s="480"/>
      <c r="K282" s="480"/>
    </row>
    <row r="283" spans="2:12" ht="5.25" customHeight="1" x14ac:dyDescent="0.2">
      <c r="B283" s="1899"/>
      <c r="C283" s="1899"/>
      <c r="D283" s="1899"/>
      <c r="E283" s="1899"/>
      <c r="F283" s="1899"/>
      <c r="G283" s="1899"/>
      <c r="H283" s="1899"/>
      <c r="I283" s="1900"/>
      <c r="J283" s="480"/>
      <c r="K283" s="480"/>
    </row>
    <row r="284" spans="2:12" ht="5.25" customHeight="1" x14ac:dyDescent="0.2">
      <c r="B284" s="1899"/>
      <c r="C284" s="1899"/>
      <c r="D284" s="1899"/>
      <c r="E284" s="1899"/>
      <c r="F284" s="1899"/>
      <c r="G284" s="1899"/>
      <c r="H284" s="1899"/>
      <c r="I284" s="1900"/>
      <c r="J284" s="480"/>
      <c r="K284" s="480"/>
    </row>
    <row r="285" spans="2:12" ht="5.25" customHeight="1" x14ac:dyDescent="0.2">
      <c r="B285" s="1899"/>
      <c r="C285" s="1899"/>
      <c r="D285" s="1899"/>
      <c r="E285" s="1899"/>
      <c r="F285" s="1899"/>
      <c r="G285" s="1899"/>
      <c r="H285" s="1899"/>
      <c r="I285" s="1900"/>
      <c r="J285" s="480"/>
      <c r="K285" s="480"/>
    </row>
    <row r="286" spans="2:12" ht="54.6" customHeight="1" x14ac:dyDescent="0.2">
      <c r="B286" s="3354">
        <v>23</v>
      </c>
      <c r="C286" s="3354"/>
      <c r="D286" s="3354"/>
      <c r="E286" s="3354"/>
      <c r="F286" s="3354"/>
      <c r="G286" s="3354"/>
      <c r="H286" s="3354"/>
      <c r="I286" s="3354"/>
      <c r="J286" s="3354"/>
      <c r="K286" s="3354"/>
      <c r="L286" s="3354"/>
    </row>
    <row r="287" spans="2:12" ht="6" customHeight="1" x14ac:dyDescent="0.2">
      <c r="B287" s="3354"/>
      <c r="C287" s="3354"/>
      <c r="D287" s="3354"/>
      <c r="E287" s="3354"/>
      <c r="F287" s="3354"/>
      <c r="G287" s="3354"/>
      <c r="H287" s="3354"/>
      <c r="I287" s="3354"/>
      <c r="J287" s="3354"/>
      <c r="K287" s="3354"/>
      <c r="L287" s="3354"/>
    </row>
    <row r="288" spans="2:12" ht="6" customHeight="1" x14ac:dyDescent="0.2">
      <c r="B288" s="1916"/>
      <c r="C288" s="1916"/>
      <c r="D288" s="1916"/>
      <c r="E288" s="1916"/>
      <c r="F288" s="1916"/>
      <c r="G288" s="1916"/>
      <c r="H288" s="1916"/>
      <c r="I288" s="1916"/>
      <c r="J288" s="1916"/>
      <c r="K288" s="1916"/>
      <c r="L288" s="1916"/>
    </row>
    <row r="289" spans="2:12" ht="13.15" customHeight="1" x14ac:dyDescent="0.2">
      <c r="B289" s="3276" t="s">
        <v>32</v>
      </c>
      <c r="C289" s="3276"/>
      <c r="D289" s="3276"/>
      <c r="E289" s="3276"/>
      <c r="F289" s="3276"/>
      <c r="G289" s="3276"/>
      <c r="H289" s="3276"/>
      <c r="I289" s="3276"/>
      <c r="J289" s="3276"/>
      <c r="K289" s="3276"/>
      <c r="L289" s="1917"/>
    </row>
    <row r="290" spans="2:12" ht="13.15" customHeight="1" x14ac:dyDescent="0.2">
      <c r="B290" s="3276" t="s">
        <v>1036</v>
      </c>
      <c r="C290" s="3276"/>
      <c r="D290" s="3276"/>
      <c r="E290" s="3276"/>
      <c r="F290" s="3276"/>
      <c r="G290" s="3276"/>
      <c r="H290" s="3276"/>
      <c r="I290" s="3276"/>
      <c r="J290" s="3276"/>
      <c r="K290" s="3276"/>
      <c r="L290" s="1851"/>
    </row>
    <row r="291" spans="2:12" ht="13.15" customHeight="1" x14ac:dyDescent="0.2">
      <c r="B291" s="3276" t="s">
        <v>46</v>
      </c>
      <c r="C291" s="3276"/>
      <c r="D291" s="3276"/>
      <c r="E291" s="3276"/>
      <c r="F291" s="3276"/>
      <c r="G291" s="3276"/>
      <c r="H291" s="3276"/>
      <c r="I291" s="3276"/>
      <c r="J291" s="3276"/>
      <c r="K291" s="3276"/>
      <c r="L291" s="1851"/>
    </row>
    <row r="292" spans="2:12" ht="13.15" customHeight="1" x14ac:dyDescent="0.2">
      <c r="B292" s="3294" t="s">
        <v>1978</v>
      </c>
      <c r="C292" s="3294"/>
      <c r="D292" s="3294"/>
      <c r="E292" s="3294"/>
      <c r="F292" s="3294"/>
      <c r="G292" s="3294"/>
      <c r="H292" s="3294"/>
      <c r="I292" s="3294"/>
      <c r="J292" s="3294"/>
      <c r="K292" s="3294"/>
      <c r="L292" s="1853"/>
    </row>
    <row r="293" spans="2:12" ht="13.15" customHeight="1" x14ac:dyDescent="0.2">
      <c r="B293" s="3315" t="s">
        <v>1930</v>
      </c>
      <c r="C293" s="3315"/>
      <c r="D293" s="3315"/>
      <c r="E293" s="3315"/>
      <c r="F293" s="3315"/>
      <c r="G293" s="3315"/>
      <c r="H293" s="3315"/>
      <c r="I293" s="3315"/>
      <c r="J293" s="3315"/>
      <c r="K293" s="3315"/>
    </row>
    <row r="294" spans="2:12" ht="13.15" customHeight="1" x14ac:dyDescent="0.2">
      <c r="B294" s="3315"/>
      <c r="C294" s="3315"/>
      <c r="D294" s="3315"/>
      <c r="E294" s="3315"/>
      <c r="F294" s="3315"/>
      <c r="G294" s="3315"/>
      <c r="H294" s="3315"/>
      <c r="I294" s="3315"/>
      <c r="J294" s="3315"/>
      <c r="K294" s="3315"/>
      <c r="L294" s="1893"/>
    </row>
    <row r="295" spans="2:12" ht="12.75" customHeight="1" x14ac:dyDescent="0.2">
      <c r="B295" s="1918"/>
      <c r="C295" s="1918"/>
      <c r="D295" s="1918"/>
      <c r="E295" s="1918"/>
      <c r="F295" s="1918"/>
      <c r="G295" s="1918"/>
      <c r="H295" s="1919"/>
      <c r="I295" s="481"/>
      <c r="J295" s="3313" t="s">
        <v>194</v>
      </c>
      <c r="K295" s="3313"/>
    </row>
    <row r="296" spans="2:12" ht="11.45" customHeight="1" x14ac:dyDescent="0.2">
      <c r="B296" s="3332" t="s">
        <v>196</v>
      </c>
      <c r="C296" s="3334" t="s">
        <v>197</v>
      </c>
      <c r="D296" s="3335"/>
      <c r="E296" s="3335"/>
      <c r="F296" s="3335"/>
      <c r="G296" s="3335"/>
      <c r="H296" s="3336"/>
      <c r="I296" s="3349" t="s">
        <v>1976</v>
      </c>
      <c r="J296" s="3348" t="s">
        <v>1977</v>
      </c>
      <c r="K296" s="3348"/>
    </row>
    <row r="297" spans="2:12" ht="11.45" customHeight="1" x14ac:dyDescent="0.2">
      <c r="B297" s="3333"/>
      <c r="C297" s="3337"/>
      <c r="D297" s="3313"/>
      <c r="E297" s="3313"/>
      <c r="F297" s="3313"/>
      <c r="G297" s="3313"/>
      <c r="H297" s="3338"/>
      <c r="I297" s="3349"/>
      <c r="J297" s="3348"/>
      <c r="K297" s="3348"/>
    </row>
    <row r="298" spans="2:12" ht="24" customHeight="1" x14ac:dyDescent="0.2">
      <c r="B298" s="1595" t="s">
        <v>2059</v>
      </c>
      <c r="C298" s="3316" t="s">
        <v>2036</v>
      </c>
      <c r="D298" s="3317"/>
      <c r="E298" s="3317"/>
      <c r="F298" s="3317"/>
      <c r="G298" s="3317"/>
      <c r="H298" s="3318"/>
      <c r="I298" s="1463">
        <v>12000000000</v>
      </c>
      <c r="J298" s="3253"/>
      <c r="K298" s="3254"/>
    </row>
    <row r="299" spans="2:12" ht="24" customHeight="1" x14ac:dyDescent="0.2">
      <c r="B299" s="1920" t="s">
        <v>608</v>
      </c>
      <c r="C299" s="3273" t="s">
        <v>595</v>
      </c>
      <c r="D299" s="3274"/>
      <c r="E299" s="3274"/>
      <c r="F299" s="3274"/>
      <c r="G299" s="3274"/>
      <c r="H299" s="3275"/>
      <c r="I299" s="1460">
        <v>2420980480</v>
      </c>
      <c r="J299" s="3243">
        <v>148221264229</v>
      </c>
      <c r="K299" s="3244"/>
    </row>
    <row r="300" spans="2:12" ht="24" customHeight="1" x14ac:dyDescent="0.2">
      <c r="B300" s="1461">
        <v>1503002046</v>
      </c>
      <c r="C300" s="3319" t="s">
        <v>83</v>
      </c>
      <c r="D300" s="3320"/>
      <c r="E300" s="3320"/>
      <c r="F300" s="3320"/>
      <c r="G300" s="3320"/>
      <c r="H300" s="3321"/>
      <c r="I300" s="1462">
        <v>2206090619</v>
      </c>
      <c r="J300" s="3243">
        <v>4208394650</v>
      </c>
      <c r="K300" s="3244"/>
    </row>
    <row r="301" spans="2:12" ht="24" customHeight="1" x14ac:dyDescent="0.2">
      <c r="B301" s="1920" t="s">
        <v>542</v>
      </c>
      <c r="C301" s="3319" t="s">
        <v>335</v>
      </c>
      <c r="D301" s="3320"/>
      <c r="E301" s="3320"/>
      <c r="F301" s="3320"/>
      <c r="G301" s="3320"/>
      <c r="H301" s="3321"/>
      <c r="I301" s="1462">
        <v>204038937</v>
      </c>
      <c r="J301" s="3243">
        <v>204038937</v>
      </c>
      <c r="K301" s="3244"/>
    </row>
    <row r="302" spans="2:12" ht="24" customHeight="1" x14ac:dyDescent="0.2">
      <c r="B302" s="1921" t="s">
        <v>68</v>
      </c>
      <c r="C302" s="3273" t="s">
        <v>1058</v>
      </c>
      <c r="D302" s="3274"/>
      <c r="E302" s="3274"/>
      <c r="F302" s="3274"/>
      <c r="G302" s="3274"/>
      <c r="H302" s="3275"/>
      <c r="I302" s="1462">
        <v>169492047</v>
      </c>
      <c r="J302" s="3243">
        <v>169492047</v>
      </c>
      <c r="K302" s="3244"/>
    </row>
    <row r="303" spans="2:12" ht="24" customHeight="1" x14ac:dyDescent="0.2">
      <c r="B303" s="1595" t="s">
        <v>622</v>
      </c>
      <c r="C303" s="3316" t="s">
        <v>2028</v>
      </c>
      <c r="D303" s="3317"/>
      <c r="E303" s="3317"/>
      <c r="F303" s="3317"/>
      <c r="G303" s="3317"/>
      <c r="H303" s="3318"/>
      <c r="I303" s="1922">
        <v>88926747</v>
      </c>
      <c r="J303" s="3243">
        <v>26547292714</v>
      </c>
      <c r="K303" s="3244"/>
    </row>
    <row r="304" spans="2:12" ht="24" customHeight="1" x14ac:dyDescent="0.2">
      <c r="B304" s="3343" t="s">
        <v>2075</v>
      </c>
      <c r="C304" s="3343"/>
      <c r="D304" s="3343"/>
      <c r="E304" s="3343"/>
      <c r="F304" s="3343"/>
      <c r="G304" s="3343"/>
      <c r="H304" s="3343"/>
      <c r="I304" s="698"/>
      <c r="J304" s="3243">
        <v>106488444926</v>
      </c>
      <c r="K304" s="3244"/>
    </row>
    <row r="305" spans="2:11" ht="24" customHeight="1" thickBot="1" x14ac:dyDescent="0.25">
      <c r="B305" s="3322" t="s">
        <v>195</v>
      </c>
      <c r="C305" s="3322"/>
      <c r="D305" s="3322"/>
      <c r="E305" s="3322"/>
      <c r="F305" s="3322"/>
      <c r="G305" s="3322"/>
      <c r="H305" s="3322"/>
      <c r="I305" s="1689">
        <f>SUM(I298:I304)</f>
        <v>17089528830</v>
      </c>
      <c r="J305" s="3323">
        <f>SUM(J298:K304)-1000000</f>
        <v>285837927503</v>
      </c>
      <c r="K305" s="3323"/>
    </row>
    <row r="306" spans="2:11" ht="21.6" customHeight="1" thickTop="1" x14ac:dyDescent="0.2">
      <c r="B306" s="1923"/>
      <c r="C306" s="1923"/>
      <c r="D306" s="1923"/>
      <c r="E306" s="1923"/>
      <c r="F306" s="1923"/>
      <c r="G306" s="1923"/>
      <c r="H306" s="1923"/>
      <c r="I306" s="482"/>
      <c r="J306" s="482"/>
      <c r="K306" s="482"/>
    </row>
    <row r="307" spans="2:11" ht="12.6" hidden="1" customHeight="1" x14ac:dyDescent="0.2">
      <c r="B307" s="3315" t="s">
        <v>1931</v>
      </c>
      <c r="C307" s="3315"/>
      <c r="D307" s="3315"/>
      <c r="E307" s="3315"/>
      <c r="F307" s="3315"/>
      <c r="G307" s="3315"/>
      <c r="H307" s="3315"/>
      <c r="I307" s="3315"/>
      <c r="J307" s="3315"/>
      <c r="K307" s="3315"/>
    </row>
    <row r="308" spans="2:11" ht="12.6" hidden="1" customHeight="1" x14ac:dyDescent="0.2">
      <c r="B308" s="3315"/>
      <c r="C308" s="3315"/>
      <c r="D308" s="3315"/>
      <c r="E308" s="3315"/>
      <c r="F308" s="3315"/>
      <c r="G308" s="3315"/>
      <c r="H308" s="3315"/>
      <c r="I308" s="3315"/>
      <c r="J308" s="3315"/>
      <c r="K308" s="3315"/>
    </row>
    <row r="309" spans="2:11" ht="10.15" hidden="1" customHeight="1" x14ac:dyDescent="0.2">
      <c r="B309" s="3332" t="s">
        <v>196</v>
      </c>
      <c r="C309" s="3334" t="s">
        <v>197</v>
      </c>
      <c r="D309" s="3335"/>
      <c r="E309" s="3335"/>
      <c r="F309" s="3335"/>
      <c r="G309" s="3335"/>
      <c r="H309" s="3336"/>
      <c r="I309" s="3266" t="s">
        <v>1976</v>
      </c>
      <c r="J309" s="3267" t="s">
        <v>1388</v>
      </c>
      <c r="K309" s="3268"/>
    </row>
    <row r="310" spans="2:11" ht="10.15" hidden="1" customHeight="1" x14ac:dyDescent="0.2">
      <c r="B310" s="3333"/>
      <c r="C310" s="3337"/>
      <c r="D310" s="3313"/>
      <c r="E310" s="3313"/>
      <c r="F310" s="3313"/>
      <c r="G310" s="3313"/>
      <c r="H310" s="3338"/>
      <c r="I310" s="3266"/>
      <c r="J310" s="3269"/>
      <c r="K310" s="3270"/>
    </row>
    <row r="311" spans="2:11" ht="19.899999999999999" hidden="1" customHeight="1" x14ac:dyDescent="0.2">
      <c r="B311" s="1762" t="s">
        <v>548</v>
      </c>
      <c r="C311" s="3324" t="s">
        <v>547</v>
      </c>
      <c r="D311" s="3324"/>
      <c r="E311" s="3324"/>
      <c r="F311" s="3324"/>
      <c r="G311" s="3324"/>
      <c r="H311" s="3324"/>
      <c r="I311" s="1579"/>
      <c r="J311" s="3264">
        <v>1570000000</v>
      </c>
      <c r="K311" s="3265"/>
    </row>
    <row r="312" spans="2:11" ht="19.899999999999999" hidden="1" customHeight="1" x14ac:dyDescent="0.2">
      <c r="B312" s="477" t="s">
        <v>540</v>
      </c>
      <c r="C312" s="3325" t="s">
        <v>541</v>
      </c>
      <c r="D312" s="3325"/>
      <c r="E312" s="3325"/>
      <c r="F312" s="3325"/>
      <c r="G312" s="3325"/>
      <c r="H312" s="3325"/>
      <c r="I312" s="1579"/>
      <c r="J312" s="3264">
        <v>28250000000</v>
      </c>
      <c r="K312" s="3265"/>
    </row>
    <row r="313" spans="2:11" ht="19.899999999999999" hidden="1" customHeight="1" x14ac:dyDescent="0.2">
      <c r="B313" s="1913" t="s">
        <v>542</v>
      </c>
      <c r="C313" s="3247" t="s">
        <v>335</v>
      </c>
      <c r="D313" s="3248"/>
      <c r="E313" s="3248"/>
      <c r="F313" s="3248"/>
      <c r="G313" s="3248"/>
      <c r="H313" s="3249"/>
      <c r="I313" s="1579"/>
      <c r="J313" s="3264">
        <v>10000000000</v>
      </c>
      <c r="K313" s="3265"/>
    </row>
    <row r="314" spans="2:11" ht="19.899999999999999" hidden="1" customHeight="1" x14ac:dyDescent="0.2">
      <c r="B314" s="1762" t="s">
        <v>546</v>
      </c>
      <c r="C314" s="3247" t="s">
        <v>545</v>
      </c>
      <c r="D314" s="3248"/>
      <c r="E314" s="3248"/>
      <c r="F314" s="3248"/>
      <c r="G314" s="3248"/>
      <c r="H314" s="3249"/>
      <c r="I314" s="1579"/>
      <c r="J314" s="3264">
        <v>41210000000</v>
      </c>
      <c r="K314" s="3265"/>
    </row>
    <row r="315" spans="2:11" ht="19.899999999999999" hidden="1" customHeight="1" x14ac:dyDescent="0.2">
      <c r="B315" s="1762" t="s">
        <v>609</v>
      </c>
      <c r="C315" s="3258" t="s">
        <v>607</v>
      </c>
      <c r="D315" s="3259"/>
      <c r="E315" s="3259"/>
      <c r="F315" s="3259"/>
      <c r="G315" s="3259"/>
      <c r="H315" s="3260"/>
      <c r="I315" s="1579"/>
      <c r="J315" s="3264">
        <v>10000000000</v>
      </c>
      <c r="K315" s="3265"/>
    </row>
    <row r="316" spans="2:11" ht="19.899999999999999" hidden="1" customHeight="1" x14ac:dyDescent="0.2">
      <c r="B316" s="1762" t="s">
        <v>634</v>
      </c>
      <c r="C316" s="3258" t="s">
        <v>598</v>
      </c>
      <c r="D316" s="3259"/>
      <c r="E316" s="3259"/>
      <c r="F316" s="3259"/>
      <c r="G316" s="3259"/>
      <c r="H316" s="3260"/>
      <c r="I316" s="1579"/>
      <c r="J316" s="3264">
        <v>446000000</v>
      </c>
      <c r="K316" s="3265"/>
    </row>
    <row r="317" spans="2:11" ht="19.899999999999999" hidden="1" customHeight="1" x14ac:dyDescent="0.2">
      <c r="B317" s="1762" t="s">
        <v>641</v>
      </c>
      <c r="C317" s="3329" t="s">
        <v>640</v>
      </c>
      <c r="D317" s="3330"/>
      <c r="E317" s="3330"/>
      <c r="F317" s="3330"/>
      <c r="G317" s="3330"/>
      <c r="H317" s="3331"/>
      <c r="I317" s="1579"/>
      <c r="J317" s="3264">
        <v>8500000000</v>
      </c>
      <c r="K317" s="3265"/>
    </row>
    <row r="318" spans="2:11" ht="19.899999999999999" hidden="1" customHeight="1" x14ac:dyDescent="0.2">
      <c r="B318" s="1762" t="s">
        <v>622</v>
      </c>
      <c r="C318" s="3326" t="s">
        <v>620</v>
      </c>
      <c r="D318" s="3327"/>
      <c r="E318" s="3327"/>
      <c r="F318" s="3327"/>
      <c r="G318" s="3327"/>
      <c r="H318" s="3328"/>
      <c r="I318" s="1579"/>
      <c r="J318" s="3264">
        <v>133484000000</v>
      </c>
      <c r="K318" s="3265"/>
    </row>
    <row r="319" spans="2:11" ht="19.899999999999999" hidden="1" customHeight="1" x14ac:dyDescent="0.2">
      <c r="B319" s="1762" t="s">
        <v>642</v>
      </c>
      <c r="C319" s="3326" t="s">
        <v>631</v>
      </c>
      <c r="D319" s="3327"/>
      <c r="E319" s="3327"/>
      <c r="F319" s="3327"/>
      <c r="G319" s="3327"/>
      <c r="H319" s="3328"/>
      <c r="I319" s="1579"/>
      <c r="J319" s="3264">
        <v>62065000000</v>
      </c>
      <c r="K319" s="3265"/>
    </row>
    <row r="320" spans="2:11" ht="19.899999999999999" hidden="1" customHeight="1" x14ac:dyDescent="0.2">
      <c r="B320" s="1762" t="s">
        <v>623</v>
      </c>
      <c r="C320" s="3324" t="s">
        <v>599</v>
      </c>
      <c r="D320" s="3324"/>
      <c r="E320" s="3324"/>
      <c r="F320" s="3324"/>
      <c r="G320" s="3324"/>
      <c r="H320" s="3324"/>
      <c r="I320" s="1579"/>
      <c r="J320" s="3264">
        <v>5552000000</v>
      </c>
      <c r="K320" s="3265"/>
    </row>
    <row r="321" spans="2:11" ht="19.899999999999999" hidden="1" customHeight="1" x14ac:dyDescent="0.2">
      <c r="B321" s="1762" t="s">
        <v>633</v>
      </c>
      <c r="C321" s="3258" t="s">
        <v>632</v>
      </c>
      <c r="D321" s="3259"/>
      <c r="E321" s="3259"/>
      <c r="F321" s="3259"/>
      <c r="G321" s="3259"/>
      <c r="H321" s="3260"/>
      <c r="I321" s="1579"/>
      <c r="J321" s="3264">
        <v>1297000000</v>
      </c>
      <c r="K321" s="3265"/>
    </row>
    <row r="322" spans="2:11" ht="19.899999999999999" hidden="1" customHeight="1" x14ac:dyDescent="0.2">
      <c r="B322" s="1762" t="s">
        <v>624</v>
      </c>
      <c r="C322" s="3324" t="s">
        <v>600</v>
      </c>
      <c r="D322" s="3324"/>
      <c r="E322" s="3324"/>
      <c r="F322" s="3324"/>
      <c r="G322" s="3324"/>
      <c r="H322" s="3324"/>
      <c r="I322" s="1579"/>
      <c r="J322" s="3264">
        <v>72215000000</v>
      </c>
      <c r="K322" s="3265"/>
    </row>
    <row r="323" spans="2:11" ht="19.899999999999999" hidden="1" customHeight="1" x14ac:dyDescent="0.2">
      <c r="B323" s="1762" t="s">
        <v>625</v>
      </c>
      <c r="C323" s="3326" t="s">
        <v>601</v>
      </c>
      <c r="D323" s="3327"/>
      <c r="E323" s="3327"/>
      <c r="F323" s="3327"/>
      <c r="G323" s="3327"/>
      <c r="H323" s="3328"/>
      <c r="I323" s="1579"/>
      <c r="J323" s="3264">
        <v>20510000000</v>
      </c>
      <c r="K323" s="3265"/>
    </row>
    <row r="324" spans="2:11" ht="19.899999999999999" hidden="1" customHeight="1" x14ac:dyDescent="0.2">
      <c r="B324" s="1762" t="s">
        <v>626</v>
      </c>
      <c r="C324" s="3324" t="s">
        <v>602</v>
      </c>
      <c r="D324" s="3324"/>
      <c r="E324" s="3324"/>
      <c r="F324" s="3324"/>
      <c r="G324" s="3324"/>
      <c r="H324" s="3324"/>
      <c r="I324" s="1579"/>
      <c r="J324" s="3264">
        <v>18000000000</v>
      </c>
      <c r="K324" s="3265"/>
    </row>
    <row r="325" spans="2:11" ht="19.899999999999999" hidden="1" customHeight="1" x14ac:dyDescent="0.2">
      <c r="B325" s="1762" t="s">
        <v>627</v>
      </c>
      <c r="C325" s="3258" t="s">
        <v>603</v>
      </c>
      <c r="D325" s="3259"/>
      <c r="E325" s="3259"/>
      <c r="F325" s="3259"/>
      <c r="G325" s="3259"/>
      <c r="H325" s="3260"/>
      <c r="I325" s="1579"/>
      <c r="J325" s="3264">
        <v>6000000000</v>
      </c>
      <c r="K325" s="3265"/>
    </row>
    <row r="326" spans="2:11" ht="19.899999999999999" hidden="1" customHeight="1" x14ac:dyDescent="0.2">
      <c r="B326" s="1762" t="s">
        <v>677</v>
      </c>
      <c r="C326" s="3324" t="s">
        <v>1084</v>
      </c>
      <c r="D326" s="3324"/>
      <c r="E326" s="3324"/>
      <c r="F326" s="3324"/>
      <c r="G326" s="3324"/>
      <c r="H326" s="3324"/>
      <c r="I326" s="1579"/>
      <c r="J326" s="3264">
        <v>20000000000</v>
      </c>
      <c r="K326" s="3265"/>
    </row>
    <row r="327" spans="2:11" ht="19.899999999999999" hidden="1" customHeight="1" x14ac:dyDescent="0.2">
      <c r="B327" s="1914" t="s">
        <v>292</v>
      </c>
      <c r="C327" s="3361" t="s">
        <v>1079</v>
      </c>
      <c r="D327" s="3361"/>
      <c r="E327" s="3361"/>
      <c r="F327" s="3361"/>
      <c r="G327" s="3361"/>
      <c r="H327" s="3361"/>
      <c r="I327" s="1579"/>
      <c r="J327" s="3264">
        <v>10000000000</v>
      </c>
      <c r="K327" s="3265"/>
    </row>
    <row r="328" spans="2:11" ht="19.899999999999999" hidden="1" customHeight="1" x14ac:dyDescent="0.2">
      <c r="B328" s="1762" t="s">
        <v>1089</v>
      </c>
      <c r="C328" s="3356" t="s">
        <v>1401</v>
      </c>
      <c r="D328" s="3357"/>
      <c r="E328" s="3357"/>
      <c r="F328" s="3357"/>
      <c r="G328" s="3357"/>
      <c r="H328" s="3358"/>
      <c r="I328" s="1579"/>
      <c r="J328" s="3264">
        <v>15000000000</v>
      </c>
      <c r="K328" s="3265"/>
    </row>
    <row r="329" spans="2:11" ht="19.899999999999999" hidden="1" customHeight="1" x14ac:dyDescent="0.2">
      <c r="B329" s="1914" t="s">
        <v>1080</v>
      </c>
      <c r="C329" s="3326" t="s">
        <v>1081</v>
      </c>
      <c r="D329" s="3327"/>
      <c r="E329" s="3327"/>
      <c r="F329" s="3327"/>
      <c r="G329" s="3327"/>
      <c r="H329" s="3328"/>
      <c r="I329" s="1579"/>
      <c r="J329" s="3264">
        <v>29500000000</v>
      </c>
      <c r="K329" s="3265"/>
    </row>
    <row r="330" spans="2:11" ht="19.899999999999999" hidden="1" customHeight="1" x14ac:dyDescent="0.2">
      <c r="B330" s="1762" t="s">
        <v>1083</v>
      </c>
      <c r="C330" s="3345" t="s">
        <v>1082</v>
      </c>
      <c r="D330" s="3346"/>
      <c r="E330" s="3346"/>
      <c r="F330" s="3346"/>
      <c r="G330" s="3346"/>
      <c r="H330" s="3347"/>
      <c r="I330" s="1579"/>
      <c r="J330" s="3264">
        <v>70500000000</v>
      </c>
      <c r="K330" s="3265"/>
    </row>
    <row r="331" spans="2:11" ht="19.899999999999999" hidden="1" customHeight="1" thickBot="1" x14ac:dyDescent="0.25">
      <c r="B331" s="3339" t="s">
        <v>195</v>
      </c>
      <c r="C331" s="3340"/>
      <c r="D331" s="3340"/>
      <c r="E331" s="3340"/>
      <c r="F331" s="3340"/>
      <c r="G331" s="3340"/>
      <c r="H331" s="3341"/>
      <c r="I331" s="1924"/>
      <c r="J331" s="3359">
        <f>SUM(J311:K330)</f>
        <v>564099000000</v>
      </c>
      <c r="K331" s="3360"/>
    </row>
    <row r="332" spans="2:11" ht="19.899999999999999" hidden="1" customHeight="1" thickTop="1" x14ac:dyDescent="0.2">
      <c r="B332" s="3342" t="s">
        <v>1979</v>
      </c>
      <c r="C332" s="3342"/>
      <c r="D332" s="3342"/>
      <c r="E332" s="3342"/>
      <c r="F332" s="3342"/>
      <c r="G332" s="3342"/>
      <c r="H332" s="3342"/>
      <c r="I332" s="3342"/>
      <c r="J332" s="3342"/>
      <c r="K332" s="3342"/>
    </row>
    <row r="333" spans="2:11" ht="19.899999999999999" hidden="1" customHeight="1" x14ac:dyDescent="0.2">
      <c r="B333" s="3342"/>
      <c r="C333" s="3342"/>
      <c r="D333" s="3342"/>
      <c r="E333" s="3342"/>
      <c r="F333" s="3342"/>
      <c r="G333" s="3342"/>
      <c r="H333" s="3342"/>
      <c r="I333" s="3342"/>
      <c r="J333" s="3342"/>
      <c r="K333" s="3342"/>
    </row>
    <row r="334" spans="2:11" ht="12.6" customHeight="1" x14ac:dyDescent="0.2">
      <c r="B334" s="3315" t="s">
        <v>2078</v>
      </c>
      <c r="C334" s="3315"/>
      <c r="D334" s="3315"/>
      <c r="E334" s="3315"/>
      <c r="F334" s="3315"/>
      <c r="G334" s="3315"/>
      <c r="H334" s="3315"/>
      <c r="I334" s="3315"/>
      <c r="J334" s="3315"/>
      <c r="K334" s="3315"/>
    </row>
    <row r="335" spans="2:11" ht="12.6" customHeight="1" x14ac:dyDescent="0.2">
      <c r="B335" s="3315"/>
      <c r="C335" s="3315"/>
      <c r="D335" s="3315"/>
      <c r="E335" s="3315"/>
      <c r="F335" s="3315"/>
      <c r="G335" s="3315"/>
      <c r="H335" s="3315"/>
      <c r="I335" s="3315"/>
      <c r="J335" s="3315"/>
      <c r="K335" s="3315"/>
    </row>
    <row r="336" spans="2:11" ht="12.6" customHeight="1" x14ac:dyDescent="0.2">
      <c r="B336" s="1912"/>
      <c r="C336" s="1912"/>
      <c r="D336" s="1912"/>
      <c r="E336" s="1912"/>
      <c r="F336" s="1912"/>
      <c r="G336" s="1912"/>
      <c r="H336" s="1912"/>
      <c r="I336" s="1912"/>
      <c r="J336" s="1912"/>
      <c r="K336" s="1912"/>
    </row>
    <row r="337" spans="2:11" ht="12.6" customHeight="1" x14ac:dyDescent="0.2">
      <c r="B337" s="1912"/>
      <c r="C337" s="1912"/>
      <c r="D337" s="1912"/>
      <c r="E337" s="1912"/>
      <c r="F337" s="1912"/>
      <c r="G337" s="1912"/>
      <c r="H337" s="1912"/>
      <c r="I337" s="1912"/>
      <c r="J337" s="1912"/>
      <c r="K337" s="1912"/>
    </row>
    <row r="338" spans="2:11" ht="12.6" customHeight="1" x14ac:dyDescent="0.2">
      <c r="B338" s="1912"/>
      <c r="C338" s="1912"/>
      <c r="D338" s="1912"/>
      <c r="E338" s="1912"/>
      <c r="F338" s="1912"/>
      <c r="G338" s="1912"/>
      <c r="H338" s="1912"/>
      <c r="I338" s="1912"/>
      <c r="J338" s="1912"/>
      <c r="K338" s="1912"/>
    </row>
    <row r="339" spans="2:11" ht="12.6" customHeight="1" x14ac:dyDescent="0.2">
      <c r="B339" s="1912"/>
      <c r="C339" s="1912"/>
      <c r="D339" s="1912"/>
      <c r="E339" s="1912"/>
      <c r="F339" s="1912"/>
      <c r="G339" s="1912"/>
      <c r="H339" s="1912"/>
      <c r="I339" s="1912"/>
      <c r="J339" s="1912"/>
      <c r="K339" s="1912"/>
    </row>
    <row r="340" spans="2:11" ht="12.6" customHeight="1" x14ac:dyDescent="0.2">
      <c r="B340" s="1912"/>
      <c r="C340" s="1912"/>
      <c r="D340" s="1912"/>
      <c r="E340" s="1912"/>
      <c r="F340" s="1912"/>
      <c r="G340" s="1912"/>
      <c r="H340" s="1912"/>
      <c r="I340" s="1912"/>
      <c r="J340" s="1912"/>
      <c r="K340" s="1912"/>
    </row>
    <row r="341" spans="2:11" ht="12.6" customHeight="1" x14ac:dyDescent="0.2">
      <c r="B341" s="1912"/>
      <c r="C341" s="1912"/>
      <c r="D341" s="1912"/>
      <c r="E341" s="1912"/>
      <c r="F341" s="1912"/>
      <c r="G341" s="1912"/>
      <c r="H341" s="1912"/>
      <c r="I341" s="1912"/>
      <c r="J341" s="1912"/>
      <c r="K341" s="1912"/>
    </row>
    <row r="342" spans="2:11" ht="12.6" customHeight="1" x14ac:dyDescent="0.2">
      <c r="B342" s="1912"/>
      <c r="C342" s="1912"/>
      <c r="D342" s="1912"/>
      <c r="E342" s="1912"/>
      <c r="F342" s="1912"/>
      <c r="G342" s="1912"/>
      <c r="H342" s="1912"/>
      <c r="I342" s="1912"/>
      <c r="J342" s="1912"/>
      <c r="K342" s="1912"/>
    </row>
    <row r="343" spans="2:11" ht="12.6" customHeight="1" x14ac:dyDescent="0.2">
      <c r="B343" s="1912"/>
      <c r="C343" s="1912"/>
      <c r="D343" s="1912"/>
      <c r="E343" s="1912"/>
      <c r="F343" s="1912"/>
      <c r="G343" s="1912"/>
      <c r="H343" s="1912"/>
      <c r="I343" s="1912"/>
      <c r="J343" s="1912"/>
      <c r="K343" s="1912"/>
    </row>
    <row r="344" spans="2:11" ht="12.6" customHeight="1" x14ac:dyDescent="0.2">
      <c r="B344" s="1912"/>
      <c r="C344" s="1912"/>
      <c r="D344" s="1912"/>
      <c r="E344" s="1912"/>
      <c r="F344" s="1912"/>
      <c r="G344" s="1912"/>
      <c r="H344" s="1912"/>
      <c r="I344" s="1912"/>
      <c r="J344" s="1912"/>
      <c r="K344" s="1912"/>
    </row>
    <row r="345" spans="2:11" ht="12.6" customHeight="1" x14ac:dyDescent="0.2">
      <c r="B345" s="1912"/>
      <c r="C345" s="1912"/>
      <c r="D345" s="1912"/>
      <c r="E345" s="1912"/>
      <c r="F345" s="1912"/>
      <c r="G345" s="1912"/>
      <c r="H345" s="1912"/>
      <c r="I345" s="1912"/>
      <c r="J345" s="1912"/>
      <c r="K345" s="1912"/>
    </row>
    <row r="346" spans="2:11" ht="12.6" customHeight="1" x14ac:dyDescent="0.2">
      <c r="B346" s="1912"/>
      <c r="C346" s="1912"/>
      <c r="D346" s="1912"/>
      <c r="E346" s="1912"/>
      <c r="F346" s="1912"/>
      <c r="G346" s="1912"/>
      <c r="H346" s="1912"/>
      <c r="I346" s="1912"/>
      <c r="J346" s="1912"/>
      <c r="K346" s="1912"/>
    </row>
    <row r="347" spans="2:11" ht="12.6" customHeight="1" x14ac:dyDescent="0.2">
      <c r="B347" s="1912"/>
      <c r="C347" s="1912"/>
      <c r="D347" s="1912"/>
      <c r="E347" s="1912"/>
      <c r="F347" s="1912"/>
      <c r="G347" s="1912"/>
      <c r="H347" s="1912"/>
      <c r="I347" s="1912"/>
      <c r="J347" s="1912"/>
      <c r="K347" s="1912"/>
    </row>
    <row r="348" spans="2:11" ht="12.6" customHeight="1" x14ac:dyDescent="0.2">
      <c r="B348" s="1912"/>
      <c r="C348" s="1912"/>
      <c r="D348" s="1912"/>
      <c r="E348" s="1912"/>
      <c r="F348" s="1912"/>
      <c r="G348" s="1912"/>
      <c r="H348" s="1912"/>
      <c r="I348" s="1912"/>
      <c r="J348" s="1912"/>
      <c r="K348" s="1912"/>
    </row>
    <row r="349" spans="2:11" ht="12.6" customHeight="1" x14ac:dyDescent="0.2">
      <c r="B349" s="1912"/>
      <c r="C349" s="1912"/>
      <c r="D349" s="1912"/>
      <c r="E349" s="1912"/>
      <c r="F349" s="1912"/>
      <c r="G349" s="1912"/>
      <c r="H349" s="1912"/>
      <c r="I349" s="1912"/>
      <c r="J349" s="1912"/>
      <c r="K349" s="1912"/>
    </row>
    <row r="350" spans="2:11" ht="12.6" customHeight="1" x14ac:dyDescent="0.2">
      <c r="B350" s="1912"/>
      <c r="C350" s="1912"/>
      <c r="D350" s="1912"/>
      <c r="E350" s="1912"/>
      <c r="F350" s="1912"/>
      <c r="G350" s="1912"/>
      <c r="H350" s="1912"/>
      <c r="I350" s="1912"/>
      <c r="J350" s="1912"/>
      <c r="K350" s="1912"/>
    </row>
    <row r="351" spans="2:11" ht="12.6" customHeight="1" x14ac:dyDescent="0.2">
      <c r="B351" s="1912"/>
      <c r="C351" s="1912"/>
      <c r="D351" s="1912"/>
      <c r="E351" s="1912"/>
      <c r="F351" s="1912"/>
      <c r="G351" s="1912"/>
      <c r="H351" s="1912"/>
      <c r="I351" s="1912"/>
      <c r="J351" s="1912"/>
      <c r="K351" s="1912"/>
    </row>
    <row r="352" spans="2:11" ht="12.6" customHeight="1" x14ac:dyDescent="0.2">
      <c r="B352" s="1912"/>
      <c r="C352" s="1912"/>
      <c r="D352" s="1912"/>
      <c r="E352" s="1912"/>
      <c r="F352" s="1912"/>
      <c r="G352" s="1912"/>
      <c r="H352" s="1912"/>
      <c r="I352" s="1912"/>
      <c r="J352" s="1912"/>
      <c r="K352" s="1912"/>
    </row>
    <row r="353" spans="2:11" ht="12.6" customHeight="1" x14ac:dyDescent="0.2">
      <c r="B353" s="1912"/>
      <c r="C353" s="1912"/>
      <c r="D353" s="1912"/>
      <c r="E353" s="1912"/>
      <c r="F353" s="1912"/>
      <c r="G353" s="1912"/>
      <c r="H353" s="1912"/>
      <c r="I353" s="1912"/>
      <c r="J353" s="1912"/>
      <c r="K353" s="1912"/>
    </row>
    <row r="354" spans="2:11" ht="12.6" customHeight="1" x14ac:dyDescent="0.2">
      <c r="B354" s="1912"/>
      <c r="C354" s="1912"/>
      <c r="D354" s="1912"/>
      <c r="E354" s="1912"/>
      <c r="F354" s="1912"/>
      <c r="G354" s="1912"/>
      <c r="H354" s="1912"/>
      <c r="I354" s="1912"/>
      <c r="J354" s="1912"/>
      <c r="K354" s="1912"/>
    </row>
    <row r="355" spans="2:11" ht="12.6" customHeight="1" x14ac:dyDescent="0.2">
      <c r="B355" s="1912"/>
      <c r="C355" s="1912"/>
      <c r="D355" s="1912"/>
      <c r="E355" s="1912"/>
      <c r="F355" s="1912"/>
      <c r="G355" s="1912"/>
      <c r="H355" s="1912"/>
      <c r="I355" s="1912"/>
      <c r="J355" s="1912"/>
      <c r="K355" s="1912"/>
    </row>
    <row r="356" spans="2:11" ht="12.6" customHeight="1" x14ac:dyDescent="0.2">
      <c r="B356" s="1912"/>
      <c r="C356" s="1912"/>
      <c r="D356" s="1912"/>
      <c r="E356" s="1912"/>
      <c r="F356" s="1912"/>
      <c r="G356" s="1912"/>
      <c r="H356" s="1912"/>
      <c r="I356" s="1912"/>
      <c r="J356" s="1912"/>
      <c r="K356" s="1912"/>
    </row>
    <row r="357" spans="2:11" ht="12.6" customHeight="1" x14ac:dyDescent="0.2">
      <c r="B357" s="1912"/>
      <c r="C357" s="1912"/>
      <c r="D357" s="1912"/>
      <c r="E357" s="1912"/>
      <c r="F357" s="1912"/>
      <c r="G357" s="1912"/>
      <c r="H357" s="1912"/>
      <c r="I357" s="1912"/>
      <c r="J357" s="1912"/>
      <c r="K357" s="1912"/>
    </row>
    <row r="358" spans="2:11" ht="12.6" customHeight="1" x14ac:dyDescent="0.2">
      <c r="B358" s="1912"/>
      <c r="C358" s="1912"/>
      <c r="D358" s="1912"/>
      <c r="E358" s="1912"/>
      <c r="F358" s="1912"/>
      <c r="G358" s="1912"/>
      <c r="H358" s="1912"/>
      <c r="I358" s="1912"/>
      <c r="J358" s="1912"/>
      <c r="K358" s="1912"/>
    </row>
    <row r="359" spans="2:11" ht="12.6" customHeight="1" x14ac:dyDescent="0.2">
      <c r="B359" s="1912"/>
      <c r="C359" s="1912"/>
      <c r="D359" s="1912"/>
      <c r="E359" s="1912"/>
      <c r="F359" s="1912"/>
      <c r="G359" s="1912"/>
      <c r="H359" s="1912"/>
      <c r="I359" s="1912"/>
      <c r="J359" s="1912"/>
      <c r="K359" s="1912"/>
    </row>
    <row r="360" spans="2:11" ht="12.6" customHeight="1" x14ac:dyDescent="0.2">
      <c r="B360" s="1912"/>
      <c r="C360" s="1912"/>
      <c r="D360" s="1912"/>
      <c r="E360" s="1912"/>
      <c r="F360" s="1912"/>
      <c r="G360" s="1912"/>
      <c r="H360" s="1912"/>
      <c r="I360" s="1912"/>
      <c r="J360" s="1912"/>
      <c r="K360" s="1912"/>
    </row>
    <row r="361" spans="2:11" ht="12.6" customHeight="1" x14ac:dyDescent="0.2">
      <c r="B361" s="1912"/>
      <c r="C361" s="1912"/>
      <c r="D361" s="1912"/>
      <c r="E361" s="1912"/>
      <c r="F361" s="1912"/>
      <c r="G361" s="1912"/>
      <c r="H361" s="1912"/>
      <c r="I361" s="1912"/>
      <c r="J361" s="1912"/>
      <c r="K361" s="1912"/>
    </row>
    <row r="362" spans="2:11" ht="12.6" customHeight="1" x14ac:dyDescent="0.2">
      <c r="B362" s="1912"/>
      <c r="C362" s="1912"/>
      <c r="D362" s="1912"/>
      <c r="E362" s="1912"/>
      <c r="F362" s="1912"/>
      <c r="G362" s="1912"/>
      <c r="H362" s="1912"/>
      <c r="I362" s="1912"/>
      <c r="J362" s="1912"/>
      <c r="K362" s="1912"/>
    </row>
    <row r="363" spans="2:11" ht="12.6" customHeight="1" x14ac:dyDescent="0.2">
      <c r="B363" s="1912"/>
      <c r="C363" s="1912"/>
      <c r="D363" s="1912"/>
      <c r="E363" s="1912"/>
      <c r="F363" s="1912"/>
      <c r="G363" s="1912"/>
      <c r="H363" s="1912"/>
      <c r="I363" s="1912"/>
      <c r="J363" s="1912"/>
      <c r="K363" s="1912"/>
    </row>
    <row r="364" spans="2:11" ht="12.6" customHeight="1" x14ac:dyDescent="0.2">
      <c r="B364" s="1912"/>
      <c r="C364" s="1912"/>
      <c r="D364" s="1912"/>
      <c r="E364" s="1912"/>
      <c r="F364" s="1912"/>
      <c r="G364" s="1912"/>
      <c r="H364" s="1912"/>
      <c r="I364" s="1912"/>
      <c r="J364" s="1912"/>
      <c r="K364" s="1912"/>
    </row>
    <row r="365" spans="2:11" ht="12.6" customHeight="1" x14ac:dyDescent="0.2">
      <c r="B365" s="1912"/>
      <c r="C365" s="1912"/>
      <c r="D365" s="1912"/>
      <c r="E365" s="1912"/>
      <c r="F365" s="1912"/>
      <c r="G365" s="1912"/>
      <c r="H365" s="1912"/>
      <c r="I365" s="1912"/>
      <c r="J365" s="1912"/>
      <c r="K365" s="1912"/>
    </row>
    <row r="366" spans="2:11" ht="12.6" customHeight="1" x14ac:dyDescent="0.2">
      <c r="B366" s="1912"/>
      <c r="C366" s="1912"/>
      <c r="D366" s="1912"/>
      <c r="E366" s="1912"/>
      <c r="F366" s="1912"/>
      <c r="G366" s="1912"/>
      <c r="H366" s="1912"/>
      <c r="I366" s="1912"/>
      <c r="J366" s="1912"/>
      <c r="K366" s="1912"/>
    </row>
    <row r="367" spans="2:11" ht="12.6" customHeight="1" x14ac:dyDescent="0.2">
      <c r="B367" s="1912"/>
      <c r="C367" s="1912"/>
      <c r="D367" s="1912"/>
      <c r="E367" s="1912"/>
      <c r="F367" s="1912"/>
      <c r="G367" s="1912"/>
      <c r="H367" s="1912"/>
      <c r="I367" s="1912"/>
      <c r="J367" s="1912"/>
      <c r="K367" s="1912"/>
    </row>
    <row r="368" spans="2:11" ht="12.6" customHeight="1" x14ac:dyDescent="0.2">
      <c r="B368" s="1912"/>
      <c r="C368" s="1912"/>
      <c r="D368" s="1912"/>
      <c r="E368" s="1912"/>
      <c r="F368" s="1912"/>
      <c r="G368" s="1912"/>
      <c r="H368" s="1912"/>
      <c r="I368" s="1912"/>
      <c r="J368" s="1912"/>
      <c r="K368" s="1912"/>
    </row>
    <row r="369" spans="1:12" ht="18.600000000000001" customHeight="1" x14ac:dyDescent="0.2">
      <c r="A369" s="3295">
        <v>24000000</v>
      </c>
      <c r="B369" s="3295"/>
      <c r="C369" s="3295"/>
      <c r="D369" s="3295"/>
      <c r="E369" s="3295"/>
      <c r="F369" s="3295"/>
      <c r="G369" s="3295"/>
      <c r="H369" s="3295"/>
      <c r="I369" s="3295"/>
      <c r="J369" s="3295"/>
      <c r="K369" s="3295"/>
      <c r="L369" s="3295"/>
    </row>
    <row r="370" spans="1:12" ht="21.75" customHeight="1" x14ac:dyDescent="0.2">
      <c r="K370" s="1852"/>
    </row>
    <row r="371" spans="1:12" ht="15.75" customHeight="1" x14ac:dyDescent="0.2">
      <c r="B371" s="1918"/>
      <c r="C371" s="1918"/>
      <c r="D371" s="1918"/>
      <c r="E371" s="1918"/>
      <c r="F371" s="1918"/>
      <c r="G371" s="1918"/>
      <c r="H371" s="1919"/>
      <c r="I371" s="481"/>
      <c r="J371" s="481"/>
      <c r="K371" s="481"/>
    </row>
    <row r="372" spans="1:12" ht="15.75" customHeight="1" x14ac:dyDescent="0.2">
      <c r="B372" s="1918"/>
      <c r="C372" s="1918"/>
      <c r="D372" s="1918"/>
      <c r="E372" s="1918"/>
      <c r="F372" s="1918"/>
      <c r="G372" s="1918"/>
      <c r="H372" s="1919"/>
      <c r="I372" s="481"/>
      <c r="J372" s="481"/>
      <c r="K372" s="481"/>
    </row>
    <row r="373" spans="1:12" ht="15.75" customHeight="1" x14ac:dyDescent="0.2">
      <c r="B373" s="1918"/>
      <c r="C373" s="1918"/>
      <c r="D373" s="1918"/>
      <c r="E373" s="1918"/>
      <c r="F373" s="1918"/>
      <c r="G373" s="1918"/>
      <c r="H373" s="1919"/>
      <c r="I373" s="481"/>
      <c r="J373" s="481"/>
      <c r="K373" s="481"/>
    </row>
    <row r="374" spans="1:12" ht="15.75" customHeight="1" x14ac:dyDescent="0.2">
      <c r="B374" s="1918"/>
      <c r="C374" s="1918"/>
      <c r="D374" s="1918"/>
      <c r="E374" s="1918"/>
      <c r="F374" s="1918"/>
      <c r="G374" s="1918"/>
      <c r="H374" s="1919"/>
      <c r="I374" s="481"/>
      <c r="J374" s="481"/>
      <c r="K374" s="481"/>
    </row>
    <row r="375" spans="1:12" ht="15.75" customHeight="1" x14ac:dyDescent="0.2">
      <c r="B375" s="1918"/>
      <c r="C375" s="1918"/>
      <c r="D375" s="1918"/>
      <c r="E375" s="1918"/>
      <c r="F375" s="1918"/>
      <c r="G375" s="1918"/>
      <c r="H375" s="1919"/>
      <c r="I375" s="481"/>
      <c r="J375" s="481"/>
      <c r="K375" s="481"/>
    </row>
    <row r="376" spans="1:12" ht="15.75" customHeight="1" x14ac:dyDescent="0.2">
      <c r="B376" s="1918"/>
      <c r="C376" s="1918"/>
      <c r="D376" s="1918"/>
      <c r="E376" s="1918"/>
      <c r="F376" s="1918"/>
      <c r="G376" s="1918"/>
      <c r="H376" s="1919"/>
      <c r="I376" s="481"/>
      <c r="J376" s="481"/>
      <c r="K376" s="481"/>
    </row>
    <row r="377" spans="1:12" ht="15.75" customHeight="1" x14ac:dyDescent="0.2">
      <c r="B377" s="1918"/>
      <c r="C377" s="1918"/>
      <c r="D377" s="1918"/>
      <c r="E377" s="1918"/>
      <c r="F377" s="1918"/>
      <c r="G377" s="1918"/>
      <c r="H377" s="1919"/>
      <c r="I377" s="481"/>
      <c r="J377" s="481"/>
      <c r="K377" s="481"/>
    </row>
    <row r="378" spans="1:12" ht="15.75" customHeight="1" x14ac:dyDescent="0.2">
      <c r="B378" s="1918"/>
      <c r="C378" s="1918"/>
      <c r="D378" s="1918"/>
      <c r="E378" s="1918"/>
      <c r="F378" s="1918"/>
      <c r="G378" s="1918"/>
      <c r="H378" s="1919"/>
      <c r="I378" s="481"/>
      <c r="J378" s="481"/>
      <c r="K378" s="481"/>
    </row>
    <row r="379" spans="1:12" ht="15.75" customHeight="1" x14ac:dyDescent="0.2">
      <c r="B379" s="1918"/>
      <c r="C379" s="1918"/>
      <c r="D379" s="1918"/>
      <c r="E379" s="1918"/>
      <c r="F379" s="1918"/>
      <c r="G379" s="1918"/>
      <c r="H379" s="1919"/>
      <c r="I379" s="481"/>
      <c r="J379" s="481"/>
      <c r="K379" s="481"/>
    </row>
    <row r="380" spans="1:12" ht="15.75" customHeight="1" x14ac:dyDescent="0.2">
      <c r="B380" s="1918"/>
      <c r="C380" s="1918"/>
      <c r="D380" s="1918"/>
      <c r="E380" s="1918"/>
      <c r="F380" s="1918"/>
      <c r="G380" s="1918"/>
      <c r="H380" s="1919"/>
      <c r="I380" s="481"/>
      <c r="J380" s="481"/>
      <c r="K380" s="481"/>
    </row>
    <row r="381" spans="1:12" ht="15.75" customHeight="1" x14ac:dyDescent="0.2">
      <c r="B381" s="1918"/>
      <c r="C381" s="1918"/>
      <c r="D381" s="1918"/>
      <c r="E381" s="1918"/>
      <c r="F381" s="1918"/>
      <c r="G381" s="1918"/>
      <c r="H381" s="1919"/>
      <c r="I381" s="481"/>
      <c r="J381" s="481"/>
      <c r="K381" s="481"/>
    </row>
    <row r="382" spans="1:12" ht="15.75" customHeight="1" x14ac:dyDescent="0.2">
      <c r="B382" s="1918"/>
      <c r="C382" s="1918"/>
      <c r="D382" s="1918"/>
      <c r="E382" s="1918"/>
      <c r="F382" s="1918"/>
      <c r="G382" s="1918"/>
      <c r="H382" s="1919"/>
      <c r="I382" s="481"/>
      <c r="J382" s="481"/>
      <c r="K382" s="481"/>
    </row>
    <row r="383" spans="1:12" ht="15.75" customHeight="1" x14ac:dyDescent="0.2">
      <c r="B383" s="1918"/>
      <c r="C383" s="1918"/>
      <c r="D383" s="1918"/>
      <c r="E383" s="1918"/>
      <c r="F383" s="1918"/>
      <c r="G383" s="1918"/>
      <c r="H383" s="1919"/>
      <c r="I383" s="481"/>
      <c r="J383" s="481"/>
      <c r="K383" s="481"/>
    </row>
    <row r="384" spans="1:12" ht="15.75" customHeight="1" x14ac:dyDescent="0.2">
      <c r="B384" s="1918"/>
      <c r="C384" s="1918"/>
      <c r="D384" s="1918"/>
      <c r="E384" s="1918"/>
      <c r="F384" s="1918"/>
      <c r="G384" s="1918"/>
      <c r="H384" s="1919"/>
      <c r="I384" s="481"/>
      <c r="J384" s="481"/>
      <c r="K384" s="481"/>
    </row>
    <row r="385" spans="2:11" ht="15.75" customHeight="1" x14ac:dyDescent="0.2">
      <c r="B385" s="1918"/>
      <c r="C385" s="1918"/>
      <c r="D385" s="1918"/>
      <c r="E385" s="1918"/>
      <c r="F385" s="1918"/>
      <c r="G385" s="1918"/>
      <c r="H385" s="1919"/>
      <c r="I385" s="481"/>
      <c r="J385" s="481"/>
      <c r="K385" s="481"/>
    </row>
    <row r="386" spans="2:11" ht="15.75" customHeight="1" x14ac:dyDescent="0.2">
      <c r="B386" s="1918"/>
      <c r="C386" s="1918"/>
      <c r="D386" s="1918"/>
      <c r="E386" s="1918"/>
      <c r="F386" s="1918"/>
      <c r="G386" s="1918"/>
      <c r="H386" s="1919"/>
      <c r="I386" s="481"/>
      <c r="J386" s="481"/>
      <c r="K386" s="481"/>
    </row>
    <row r="387" spans="2:11" ht="15.75" customHeight="1" x14ac:dyDescent="0.2">
      <c r="B387" s="1918"/>
      <c r="C387" s="1918"/>
      <c r="D387" s="1918"/>
      <c r="E387" s="1918"/>
      <c r="F387" s="1918"/>
      <c r="G387" s="1918"/>
      <c r="H387" s="1919"/>
      <c r="I387" s="481"/>
      <c r="J387" s="481"/>
      <c r="K387" s="481"/>
    </row>
    <row r="388" spans="2:11" ht="15.75" customHeight="1" x14ac:dyDescent="0.2">
      <c r="B388" s="1918"/>
      <c r="C388" s="1918"/>
      <c r="D388" s="1918"/>
      <c r="E388" s="1918"/>
      <c r="F388" s="1918"/>
      <c r="G388" s="1918"/>
      <c r="H388" s="1919"/>
      <c r="I388" s="481"/>
      <c r="J388" s="481"/>
      <c r="K388" s="481"/>
    </row>
    <row r="389" spans="2:11" ht="15.75" customHeight="1" x14ac:dyDescent="0.2">
      <c r="B389" s="1918"/>
      <c r="C389" s="1918"/>
      <c r="D389" s="1918"/>
      <c r="E389" s="1918"/>
      <c r="F389" s="1918"/>
      <c r="G389" s="1918"/>
      <c r="H389" s="1919"/>
      <c r="I389" s="481"/>
      <c r="J389" s="481"/>
      <c r="K389" s="481"/>
    </row>
  </sheetData>
  <mergeCells count="287">
    <mergeCell ref="J331:K331"/>
    <mergeCell ref="J330:K330"/>
    <mergeCell ref="C322:H322"/>
    <mergeCell ref="C325:H325"/>
    <mergeCell ref="C323:H323"/>
    <mergeCell ref="C316:H316"/>
    <mergeCell ref="C326:H326"/>
    <mergeCell ref="C327:H327"/>
    <mergeCell ref="J329:K329"/>
    <mergeCell ref="J328:K328"/>
    <mergeCell ref="J327:K327"/>
    <mergeCell ref="J326:K326"/>
    <mergeCell ref="C330:H330"/>
    <mergeCell ref="C315:H315"/>
    <mergeCell ref="C320:H320"/>
    <mergeCell ref="C328:H328"/>
    <mergeCell ref="C324:H324"/>
    <mergeCell ref="C329:H329"/>
    <mergeCell ref="J323:K323"/>
    <mergeCell ref="J322:K322"/>
    <mergeCell ref="J321:K321"/>
    <mergeCell ref="J320:K320"/>
    <mergeCell ref="J325:K325"/>
    <mergeCell ref="J324:K324"/>
    <mergeCell ref="J319:K319"/>
    <mergeCell ref="J318:K318"/>
    <mergeCell ref="J317:K317"/>
    <mergeCell ref="J316:K316"/>
    <mergeCell ref="J315:K315"/>
    <mergeCell ref="C195:H195"/>
    <mergeCell ref="B261:B262"/>
    <mergeCell ref="J209:K209"/>
    <mergeCell ref="B210:B211"/>
    <mergeCell ref="C210:H211"/>
    <mergeCell ref="I210:I211"/>
    <mergeCell ref="J210:K211"/>
    <mergeCell ref="C217:H217"/>
    <mergeCell ref="J221:K221"/>
    <mergeCell ref="J229:K229"/>
    <mergeCell ref="J230:K230"/>
    <mergeCell ref="J231:K231"/>
    <mergeCell ref="J232:K232"/>
    <mergeCell ref="J233:K233"/>
    <mergeCell ref="J261:K262"/>
    <mergeCell ref="C216:H216"/>
    <mergeCell ref="J217:K217"/>
    <mergeCell ref="J228:K228"/>
    <mergeCell ref="B200:K200"/>
    <mergeCell ref="C219:H219"/>
    <mergeCell ref="C213:H213"/>
    <mergeCell ref="J196:K196"/>
    <mergeCell ref="C214:H214"/>
    <mergeCell ref="B202:K202"/>
    <mergeCell ref="B198:H198"/>
    <mergeCell ref="B201:K201"/>
    <mergeCell ref="C196:H196"/>
    <mergeCell ref="C270:H270"/>
    <mergeCell ref="C265:H265"/>
    <mergeCell ref="C226:H226"/>
    <mergeCell ref="J226:K226"/>
    <mergeCell ref="C227:H227"/>
    <mergeCell ref="J227:K227"/>
    <mergeCell ref="C218:H218"/>
    <mergeCell ref="C221:H221"/>
    <mergeCell ref="C223:H223"/>
    <mergeCell ref="C228:H228"/>
    <mergeCell ref="C229:H229"/>
    <mergeCell ref="C230:H230"/>
    <mergeCell ref="C231:H231"/>
    <mergeCell ref="C232:H232"/>
    <mergeCell ref="C233:H233"/>
    <mergeCell ref="C234:H234"/>
    <mergeCell ref="C235:H235"/>
    <mergeCell ref="J236:K236"/>
    <mergeCell ref="B203:K203"/>
    <mergeCell ref="B204:K204"/>
    <mergeCell ref="B205:K205"/>
    <mergeCell ref="B291:K291"/>
    <mergeCell ref="J296:K297"/>
    <mergeCell ref="J275:K275"/>
    <mergeCell ref="C296:H297"/>
    <mergeCell ref="I296:I297"/>
    <mergeCell ref="B275:H275"/>
    <mergeCell ref="C220:H220"/>
    <mergeCell ref="C224:H224"/>
    <mergeCell ref="C299:H299"/>
    <mergeCell ref="C298:H298"/>
    <mergeCell ref="J298:K298"/>
    <mergeCell ref="B276:H276"/>
    <mergeCell ref="B290:K290"/>
    <mergeCell ref="B296:B297"/>
    <mergeCell ref="B292:K292"/>
    <mergeCell ref="J276:K276"/>
    <mergeCell ref="C274:H274"/>
    <mergeCell ref="B286:L287"/>
    <mergeCell ref="J295:K295"/>
    <mergeCell ref="B293:K294"/>
    <mergeCell ref="J271:K271"/>
    <mergeCell ref="J273:K273"/>
    <mergeCell ref="C267:H267"/>
    <mergeCell ref="J267:K267"/>
    <mergeCell ref="B207:K208"/>
    <mergeCell ref="J260:K260"/>
    <mergeCell ref="B241:H241"/>
    <mergeCell ref="C236:H236"/>
    <mergeCell ref="C269:H269"/>
    <mergeCell ref="C266:H266"/>
    <mergeCell ref="C273:H273"/>
    <mergeCell ref="J213:K213"/>
    <mergeCell ref="J212:K212"/>
    <mergeCell ref="J268:K268"/>
    <mergeCell ref="J270:K270"/>
    <mergeCell ref="J269:K269"/>
    <mergeCell ref="C261:H262"/>
    <mergeCell ref="C268:H268"/>
    <mergeCell ref="J263:K263"/>
    <mergeCell ref="J264:K264"/>
    <mergeCell ref="J265:K265"/>
    <mergeCell ref="J266:K266"/>
    <mergeCell ref="A369:L369"/>
    <mergeCell ref="B334:K335"/>
    <mergeCell ref="C303:H303"/>
    <mergeCell ref="C300:H300"/>
    <mergeCell ref="J304:K304"/>
    <mergeCell ref="B305:H305"/>
    <mergeCell ref="J305:K305"/>
    <mergeCell ref="C301:H301"/>
    <mergeCell ref="J301:K301"/>
    <mergeCell ref="J303:K303"/>
    <mergeCell ref="C311:H311"/>
    <mergeCell ref="C313:H313"/>
    <mergeCell ref="C314:H314"/>
    <mergeCell ref="C312:H312"/>
    <mergeCell ref="C319:H319"/>
    <mergeCell ref="C317:H317"/>
    <mergeCell ref="C321:H321"/>
    <mergeCell ref="B307:K308"/>
    <mergeCell ref="B309:B310"/>
    <mergeCell ref="C309:H310"/>
    <mergeCell ref="C318:H318"/>
    <mergeCell ref="B331:H331"/>
    <mergeCell ref="B332:K333"/>
    <mergeCell ref="B304:H304"/>
    <mergeCell ref="B96:B97"/>
    <mergeCell ref="H96:H97"/>
    <mergeCell ref="J181:K181"/>
    <mergeCell ref="J188:K188"/>
    <mergeCell ref="B166:B167"/>
    <mergeCell ref="B164:I164"/>
    <mergeCell ref="C166:H167"/>
    <mergeCell ref="J180:K180"/>
    <mergeCell ref="B145:H145"/>
    <mergeCell ref="J171:K171"/>
    <mergeCell ref="C173:H173"/>
    <mergeCell ref="C169:H169"/>
    <mergeCell ref="J174:K174"/>
    <mergeCell ref="J175:K175"/>
    <mergeCell ref="C180:H180"/>
    <mergeCell ref="C179:H179"/>
    <mergeCell ref="J165:K165"/>
    <mergeCell ref="J172:K172"/>
    <mergeCell ref="J178:K178"/>
    <mergeCell ref="B156:L156"/>
    <mergeCell ref="C178:H178"/>
    <mergeCell ref="C177:H177"/>
    <mergeCell ref="C176:H176"/>
    <mergeCell ref="C175:H175"/>
    <mergeCell ref="B1:K1"/>
    <mergeCell ref="B2:K2"/>
    <mergeCell ref="B3:K3"/>
    <mergeCell ref="B4:K4"/>
    <mergeCell ref="B17:H17"/>
    <mergeCell ref="B18:K19"/>
    <mergeCell ref="B88:H88"/>
    <mergeCell ref="B60:B61"/>
    <mergeCell ref="H60:H61"/>
    <mergeCell ref="B64:H64"/>
    <mergeCell ref="B21:B22"/>
    <mergeCell ref="H21:H22"/>
    <mergeCell ref="B6:K6"/>
    <mergeCell ref="B66:K67"/>
    <mergeCell ref="B15:C15"/>
    <mergeCell ref="B16:C16"/>
    <mergeCell ref="B55:H55"/>
    <mergeCell ref="B74:H74"/>
    <mergeCell ref="B8:H8"/>
    <mergeCell ref="I8:K8"/>
    <mergeCell ref="B79:B80"/>
    <mergeCell ref="H79:H80"/>
    <mergeCell ref="B69:B70"/>
    <mergeCell ref="H69:H70"/>
    <mergeCell ref="B10:C10"/>
    <mergeCell ref="B12:C12"/>
    <mergeCell ref="B13:C13"/>
    <mergeCell ref="B14:C14"/>
    <mergeCell ref="B57:K58"/>
    <mergeCell ref="J183:K183"/>
    <mergeCell ref="J186:K186"/>
    <mergeCell ref="J187:K187"/>
    <mergeCell ref="J177:K177"/>
    <mergeCell ref="I166:I167"/>
    <mergeCell ref="J166:K167"/>
    <mergeCell ref="H150:H151"/>
    <mergeCell ref="B91:L91"/>
    <mergeCell ref="B93:K94"/>
    <mergeCell ref="B150:B151"/>
    <mergeCell ref="J173:K173"/>
    <mergeCell ref="J170:K170"/>
    <mergeCell ref="B76:K77"/>
    <mergeCell ref="J179:K179"/>
    <mergeCell ref="J169:K169"/>
    <mergeCell ref="J168:K168"/>
    <mergeCell ref="B147:K148"/>
    <mergeCell ref="B154:H154"/>
    <mergeCell ref="C168:H168"/>
    <mergeCell ref="J314:K314"/>
    <mergeCell ref="J313:K313"/>
    <mergeCell ref="J312:K312"/>
    <mergeCell ref="J311:K311"/>
    <mergeCell ref="I309:I310"/>
    <mergeCell ref="J224:K224"/>
    <mergeCell ref="J223:K223"/>
    <mergeCell ref="J218:K218"/>
    <mergeCell ref="B197:H197"/>
    <mergeCell ref="J197:K197"/>
    <mergeCell ref="J309:K310"/>
    <mergeCell ref="J225:K225"/>
    <mergeCell ref="C225:H225"/>
    <mergeCell ref="J241:K241"/>
    <mergeCell ref="J302:K302"/>
    <mergeCell ref="C302:H302"/>
    <mergeCell ref="J299:K299"/>
    <mergeCell ref="J300:K300"/>
    <mergeCell ref="B289:K289"/>
    <mergeCell ref="I261:I262"/>
    <mergeCell ref="C271:H271"/>
    <mergeCell ref="J274:K274"/>
    <mergeCell ref="C263:H263"/>
    <mergeCell ref="C264:H264"/>
    <mergeCell ref="C174:H174"/>
    <mergeCell ref="J239:K239"/>
    <mergeCell ref="B240:H240"/>
    <mergeCell ref="J222:K222"/>
    <mergeCell ref="J220:K220"/>
    <mergeCell ref="J216:K216"/>
    <mergeCell ref="J219:K219"/>
    <mergeCell ref="J215:K215"/>
    <mergeCell ref="J240:K240"/>
    <mergeCell ref="J237:K237"/>
    <mergeCell ref="C215:H215"/>
    <mergeCell ref="C222:H222"/>
    <mergeCell ref="J238:K238"/>
    <mergeCell ref="J190:K190"/>
    <mergeCell ref="J198:K198"/>
    <mergeCell ref="J176:K176"/>
    <mergeCell ref="C190:H190"/>
    <mergeCell ref="J195:K195"/>
    <mergeCell ref="C212:H212"/>
    <mergeCell ref="J214:K214"/>
    <mergeCell ref="C238:H238"/>
    <mergeCell ref="C239:H239"/>
    <mergeCell ref="J234:K234"/>
    <mergeCell ref="J235:K235"/>
    <mergeCell ref="C172:H172"/>
    <mergeCell ref="C171:H171"/>
    <mergeCell ref="C170:H170"/>
    <mergeCell ref="J194:K194"/>
    <mergeCell ref="J189:K189"/>
    <mergeCell ref="J185:K185"/>
    <mergeCell ref="C194:H194"/>
    <mergeCell ref="C192:H192"/>
    <mergeCell ref="C191:H191"/>
    <mergeCell ref="C189:H189"/>
    <mergeCell ref="C188:H188"/>
    <mergeCell ref="C187:H187"/>
    <mergeCell ref="C186:H186"/>
    <mergeCell ref="C185:H185"/>
    <mergeCell ref="C184:H184"/>
    <mergeCell ref="J193:K193"/>
    <mergeCell ref="C183:H183"/>
    <mergeCell ref="C182:H182"/>
    <mergeCell ref="C181:H181"/>
    <mergeCell ref="J191:K191"/>
    <mergeCell ref="J182:K182"/>
    <mergeCell ref="J192:K192"/>
    <mergeCell ref="J184:K184"/>
    <mergeCell ref="C193:H193"/>
  </mergeCells>
  <phoneticPr fontId="123" type="noConversion"/>
  <printOptions horizontalCentered="1"/>
  <pageMargins left="0.70866141732283505" right="0.70866141732283505" top="0.35433070866141703" bottom="0.35433070866141703" header="0.31496062992126" footer="0.31496062992126"/>
  <pageSetup scale="82" fitToWidth="0" fitToHeight="0" orientation="portrait" r:id="rId1"/>
  <rowBreaks count="1" manualBreakCount="1">
    <brk id="286" max="11"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T302"/>
  <sheetViews>
    <sheetView rightToLeft="1" view="pageBreakPreview" topLeftCell="A178" zoomScale="88" zoomScaleNormal="95" zoomScaleSheetLayoutView="88" workbookViewId="0">
      <selection activeCell="A192" sqref="A192"/>
    </sheetView>
  </sheetViews>
  <sheetFormatPr defaultColWidth="9.140625" defaultRowHeight="15.75" customHeight="1" x14ac:dyDescent="0.2"/>
  <cols>
    <col min="1" max="1" width="1.140625" style="1925" customWidth="1"/>
    <col min="2" max="2" width="2" style="1925" customWidth="1"/>
    <col min="3" max="3" width="14.5703125" style="1930" customWidth="1"/>
    <col min="4" max="4" width="41.85546875" style="1925" customWidth="1"/>
    <col min="5" max="5" width="16.85546875" style="2014" hidden="1" customWidth="1"/>
    <col min="6" max="6" width="13.42578125" style="458" customWidth="1"/>
    <col min="7" max="7" width="10" style="458" customWidth="1"/>
    <col min="8" max="8" width="9.7109375" style="458" customWidth="1"/>
    <col min="9" max="9" width="11.28515625" style="458" customWidth="1"/>
    <col min="10" max="10" width="15.42578125" style="1931" customWidth="1"/>
    <col min="11" max="11" width="1.7109375" style="1925" customWidth="1"/>
    <col min="12" max="12" width="10" style="1925" bestFit="1" customWidth="1"/>
    <col min="13" max="13" width="10.42578125" style="1925" customWidth="1"/>
    <col min="14" max="14" width="24.5703125" style="1925" customWidth="1"/>
    <col min="15" max="15" width="4.5703125" style="1925" customWidth="1"/>
    <col min="16" max="16" width="7.28515625" style="1925" customWidth="1"/>
    <col min="17" max="17" width="14.28515625" style="1925" customWidth="1"/>
    <col min="18" max="18" width="19.85546875" style="1926" bestFit="1" customWidth="1"/>
    <col min="19" max="19" width="18.7109375" style="1926" bestFit="1" customWidth="1"/>
    <col min="20" max="20" width="17.85546875" style="1926" bestFit="1" customWidth="1"/>
    <col min="21" max="16384" width="9.140625" style="1925"/>
  </cols>
  <sheetData>
    <row r="1" spans="2:14" ht="22.9" customHeight="1" x14ac:dyDescent="0.2">
      <c r="B1" s="3364" t="s">
        <v>24</v>
      </c>
      <c r="C1" s="3364"/>
      <c r="D1" s="3364"/>
      <c r="E1" s="3364"/>
      <c r="F1" s="3364"/>
      <c r="G1" s="3364"/>
      <c r="H1" s="3364"/>
      <c r="I1" s="3364"/>
      <c r="J1" s="3364"/>
    </row>
    <row r="2" spans="2:14" ht="22.9" customHeight="1" x14ac:dyDescent="0.2">
      <c r="B2" s="3364" t="s">
        <v>45</v>
      </c>
      <c r="C2" s="3364"/>
      <c r="D2" s="3364"/>
      <c r="E2" s="3364"/>
      <c r="F2" s="3364"/>
      <c r="G2" s="3364"/>
      <c r="H2" s="3364"/>
      <c r="I2" s="3364"/>
      <c r="J2" s="3364"/>
    </row>
    <row r="3" spans="2:14" ht="22.9" customHeight="1" x14ac:dyDescent="0.2">
      <c r="B3" s="3364" t="s">
        <v>46</v>
      </c>
      <c r="C3" s="3364"/>
      <c r="D3" s="3364"/>
      <c r="E3" s="3364"/>
      <c r="F3" s="3364"/>
      <c r="G3" s="3364"/>
      <c r="H3" s="3364"/>
      <c r="I3" s="3364"/>
      <c r="J3" s="3364"/>
    </row>
    <row r="4" spans="2:14" ht="22.9" customHeight="1" x14ac:dyDescent="0.2">
      <c r="B4" s="3294" t="s">
        <v>1982</v>
      </c>
      <c r="C4" s="3294"/>
      <c r="D4" s="3294"/>
      <c r="E4" s="3294"/>
      <c r="F4" s="3294"/>
      <c r="G4" s="3294"/>
      <c r="H4" s="3294"/>
      <c r="I4" s="3294"/>
      <c r="J4" s="3294"/>
      <c r="K4" s="1927"/>
    </row>
    <row r="5" spans="2:14" ht="9.6" customHeight="1" x14ac:dyDescent="0.2">
      <c r="C5" s="1722"/>
      <c r="D5" s="1722"/>
      <c r="E5" s="1722"/>
      <c r="F5" s="1722"/>
      <c r="G5" s="1722"/>
      <c r="H5" s="1722"/>
      <c r="I5" s="1722"/>
      <c r="J5" s="1722"/>
      <c r="K5" s="1927"/>
    </row>
    <row r="6" spans="2:14" ht="27.75" customHeight="1" x14ac:dyDescent="0.2">
      <c r="C6" s="3383" t="s">
        <v>1815</v>
      </c>
      <c r="D6" s="3383"/>
      <c r="E6" s="3383"/>
      <c r="F6" s="3383"/>
      <c r="G6" s="1928"/>
      <c r="H6" s="1928"/>
      <c r="I6" s="1928"/>
      <c r="J6" s="1929"/>
    </row>
    <row r="7" spans="2:14" ht="7.5" customHeight="1" x14ac:dyDescent="0.2">
      <c r="E7" s="1925"/>
      <c r="F7" s="1931"/>
      <c r="G7" s="1931"/>
      <c r="H7" s="1931"/>
      <c r="I7" s="1931"/>
      <c r="J7" s="1929"/>
    </row>
    <row r="8" spans="2:14" ht="32.450000000000003" customHeight="1" x14ac:dyDescent="0.2">
      <c r="C8" s="3384" t="s">
        <v>1932</v>
      </c>
      <c r="D8" s="3384"/>
      <c r="E8" s="3384"/>
      <c r="F8" s="3384"/>
      <c r="G8" s="3384"/>
      <c r="H8" s="3384"/>
      <c r="I8" s="3384"/>
      <c r="J8" s="3384"/>
    </row>
    <row r="9" spans="2:14" ht="14.45" customHeight="1" x14ac:dyDescent="0.2">
      <c r="C9" s="1932"/>
      <c r="D9" s="1933"/>
      <c r="E9" s="1933"/>
      <c r="F9" s="1925"/>
      <c r="G9" s="1925"/>
      <c r="H9" s="1925"/>
      <c r="I9" s="1925"/>
      <c r="J9" s="1894" t="s">
        <v>194</v>
      </c>
      <c r="K9" s="1894"/>
    </row>
    <row r="10" spans="2:14" ht="2.25" customHeight="1" x14ac:dyDescent="0.2">
      <c r="C10" s="1934"/>
      <c r="D10" s="1935"/>
      <c r="E10" s="1935"/>
      <c r="F10" s="1936"/>
      <c r="G10" s="1935"/>
      <c r="H10" s="1935"/>
      <c r="I10" s="1935"/>
      <c r="J10" s="1929"/>
    </row>
    <row r="11" spans="2:14" ht="11.25" customHeight="1" x14ac:dyDescent="0.2">
      <c r="C11" s="3365" t="s">
        <v>196</v>
      </c>
      <c r="D11" s="3375" t="s">
        <v>197</v>
      </c>
      <c r="E11" s="1937"/>
      <c r="F11" s="3386" t="s">
        <v>1387</v>
      </c>
      <c r="G11" s="3385" t="s">
        <v>905</v>
      </c>
      <c r="H11" s="3385" t="s">
        <v>904</v>
      </c>
      <c r="I11" s="3385" t="s">
        <v>898</v>
      </c>
      <c r="J11" s="3368" t="s">
        <v>1984</v>
      </c>
    </row>
    <row r="12" spans="2:14" ht="11.25" customHeight="1" x14ac:dyDescent="0.2">
      <c r="C12" s="3366"/>
      <c r="D12" s="3376"/>
      <c r="E12" s="1937"/>
      <c r="F12" s="3387"/>
      <c r="G12" s="3385"/>
      <c r="H12" s="3385"/>
      <c r="I12" s="3385"/>
      <c r="J12" s="3369"/>
    </row>
    <row r="13" spans="2:14" ht="19.899999999999999" customHeight="1" x14ac:dyDescent="0.2">
      <c r="C13" s="3367"/>
      <c r="D13" s="3377"/>
      <c r="E13" s="1938"/>
      <c r="F13" s="3388"/>
      <c r="G13" s="1690" t="s">
        <v>1208</v>
      </c>
      <c r="H13" s="1690" t="s">
        <v>1209</v>
      </c>
      <c r="I13" s="3385"/>
      <c r="J13" s="3370"/>
    </row>
    <row r="14" spans="2:14" ht="21.6" customHeight="1" x14ac:dyDescent="0.2">
      <c r="C14" s="1939" t="s">
        <v>63</v>
      </c>
      <c r="D14" s="1940" t="s">
        <v>64</v>
      </c>
      <c r="E14" s="1938"/>
      <c r="F14" s="418">
        <v>126631794</v>
      </c>
      <c r="G14" s="540"/>
      <c r="H14" s="540"/>
      <c r="I14" s="540"/>
      <c r="J14" s="418">
        <v>126631794</v>
      </c>
      <c r="M14" s="1925">
        <f>SUM(F14:I14)</f>
        <v>126631794</v>
      </c>
      <c r="N14" s="1925">
        <f>J14-M14</f>
        <v>0</v>
      </c>
    </row>
    <row r="15" spans="2:14" ht="21.6" customHeight="1" x14ac:dyDescent="0.2">
      <c r="C15" s="1941" t="s">
        <v>66</v>
      </c>
      <c r="D15" s="1940" t="s">
        <v>1143</v>
      </c>
      <c r="E15" s="1942"/>
      <c r="F15" s="449">
        <v>444020423</v>
      </c>
      <c r="G15" s="449"/>
      <c r="H15" s="449"/>
      <c r="I15" s="449"/>
      <c r="J15" s="449">
        <v>444020423</v>
      </c>
      <c r="M15" s="1925">
        <f t="shared" ref="M15:M78" si="0">SUM(F15:I15)</f>
        <v>444020423</v>
      </c>
      <c r="N15" s="1925">
        <f t="shared" ref="N15:N47" si="1">J15-M15</f>
        <v>0</v>
      </c>
    </row>
    <row r="16" spans="2:14" ht="21.6" customHeight="1" x14ac:dyDescent="0.2">
      <c r="C16" s="1939" t="s">
        <v>68</v>
      </c>
      <c r="D16" s="1940" t="s">
        <v>70</v>
      </c>
      <c r="E16" s="1938"/>
      <c r="F16" s="449">
        <v>2712517658</v>
      </c>
      <c r="G16" s="449"/>
      <c r="I16" s="449">
        <v>-230902405</v>
      </c>
      <c r="J16" s="449">
        <v>2481615253</v>
      </c>
      <c r="M16" s="1925">
        <f t="shared" si="0"/>
        <v>2481615253</v>
      </c>
      <c r="N16" s="1925">
        <f t="shared" si="1"/>
        <v>0</v>
      </c>
    </row>
    <row r="17" spans="1:14" ht="21.6" customHeight="1" x14ac:dyDescent="0.2">
      <c r="C17" s="1939" t="s">
        <v>161</v>
      </c>
      <c r="D17" s="1940" t="s">
        <v>202</v>
      </c>
      <c r="E17" s="1938"/>
      <c r="F17" s="418">
        <v>38697614</v>
      </c>
      <c r="G17" s="418"/>
      <c r="H17" s="418"/>
      <c r="I17" s="418"/>
      <c r="J17" s="418">
        <v>38697614</v>
      </c>
      <c r="M17" s="1925">
        <f t="shared" si="0"/>
        <v>38697614</v>
      </c>
      <c r="N17" s="1925">
        <f t="shared" si="1"/>
        <v>0</v>
      </c>
    </row>
    <row r="18" spans="1:14" ht="21.6" customHeight="1" x14ac:dyDescent="0.2">
      <c r="C18" s="1939" t="s">
        <v>254</v>
      </c>
      <c r="D18" s="1940" t="s">
        <v>70</v>
      </c>
      <c r="E18" s="1938"/>
      <c r="F18" s="418">
        <v>282355720</v>
      </c>
      <c r="G18" s="418"/>
      <c r="H18" s="418"/>
      <c r="I18" s="418"/>
      <c r="J18" s="418">
        <v>282355720</v>
      </c>
      <c r="M18" s="1925">
        <f t="shared" si="0"/>
        <v>282355720</v>
      </c>
      <c r="N18" s="1925">
        <f t="shared" si="1"/>
        <v>0</v>
      </c>
    </row>
    <row r="19" spans="1:14" ht="21.6" customHeight="1" x14ac:dyDescent="0.2">
      <c r="C19" s="1939">
        <v>1307002010</v>
      </c>
      <c r="D19" s="1940" t="s">
        <v>203</v>
      </c>
      <c r="E19" s="1938"/>
      <c r="F19" s="1943">
        <v>144227065525</v>
      </c>
      <c r="G19" s="1943"/>
      <c r="H19" s="1943">
        <v>-90221658794</v>
      </c>
      <c r="I19" s="1943">
        <v>33863910152</v>
      </c>
      <c r="J19" s="1943">
        <v>87869316883</v>
      </c>
      <c r="M19" s="1925">
        <f t="shared" si="0"/>
        <v>87869316883</v>
      </c>
      <c r="N19" s="1925">
        <f t="shared" si="1"/>
        <v>0</v>
      </c>
    </row>
    <row r="20" spans="1:14" ht="21.6" customHeight="1" x14ac:dyDescent="0.2">
      <c r="C20" s="1939" t="s">
        <v>204</v>
      </c>
      <c r="D20" s="1940" t="s">
        <v>205</v>
      </c>
      <c r="E20" s="1938"/>
      <c r="F20" s="1943">
        <v>168843573</v>
      </c>
      <c r="G20" s="1943"/>
      <c r="H20" s="1943"/>
      <c r="I20" s="1943"/>
      <c r="J20" s="1943">
        <v>168843573</v>
      </c>
      <c r="M20" s="1925">
        <f>SUM(F20:I20)</f>
        <v>168843573</v>
      </c>
      <c r="N20" s="1925">
        <f t="shared" si="1"/>
        <v>0</v>
      </c>
    </row>
    <row r="21" spans="1:14" ht="21.6" customHeight="1" x14ac:dyDescent="0.2">
      <c r="C21" s="1939">
        <v>1503002046</v>
      </c>
      <c r="D21" s="1940" t="s">
        <v>83</v>
      </c>
      <c r="E21" s="1938"/>
      <c r="F21" s="1943">
        <v>26307146650</v>
      </c>
      <c r="G21" s="1943"/>
      <c r="H21" s="1943">
        <v>-22763580659</v>
      </c>
      <c r="I21" s="1943">
        <v>32440327391</v>
      </c>
      <c r="J21" s="1943">
        <v>35983893382</v>
      </c>
      <c r="M21" s="1925">
        <f>SUM(F21:I21)</f>
        <v>35983893382</v>
      </c>
      <c r="N21" s="1925">
        <f t="shared" si="1"/>
        <v>0</v>
      </c>
    </row>
    <row r="22" spans="1:14" ht="21.6" customHeight="1" x14ac:dyDescent="0.2">
      <c r="C22" s="1939">
        <v>1503002096</v>
      </c>
      <c r="D22" s="1940" t="s">
        <v>84</v>
      </c>
      <c r="E22" s="1938"/>
      <c r="F22" s="1943">
        <v>8380955301</v>
      </c>
      <c r="H22" s="1943"/>
      <c r="I22" s="1943"/>
      <c r="J22" s="1943">
        <v>8380955301</v>
      </c>
      <c r="M22" s="1925">
        <f t="shared" ref="M22" si="2">SUM(F22:I22)</f>
        <v>8380955301</v>
      </c>
      <c r="N22" s="1925">
        <f t="shared" si="1"/>
        <v>0</v>
      </c>
    </row>
    <row r="23" spans="1:14" ht="21.6" customHeight="1" x14ac:dyDescent="0.2">
      <c r="C23" s="1939">
        <v>1503002173</v>
      </c>
      <c r="D23" s="1940" t="s">
        <v>85</v>
      </c>
      <c r="E23" s="1938"/>
      <c r="F23" s="1943">
        <v>60613356480</v>
      </c>
      <c r="G23" s="1943"/>
      <c r="H23" s="1943">
        <v>-59797516109</v>
      </c>
      <c r="I23" s="1943">
        <v>49521787574</v>
      </c>
      <c r="J23" s="1943">
        <v>50337627945</v>
      </c>
      <c r="M23" s="1925">
        <f t="shared" si="0"/>
        <v>50337627945</v>
      </c>
      <c r="N23" s="1925">
        <f t="shared" si="1"/>
        <v>0</v>
      </c>
    </row>
    <row r="24" spans="1:14" ht="20.45" customHeight="1" x14ac:dyDescent="0.2">
      <c r="C24" s="1944">
        <v>1503002067</v>
      </c>
      <c r="D24" s="1940" t="s">
        <v>86</v>
      </c>
      <c r="E24" s="1938"/>
      <c r="F24" s="1943">
        <v>5736321456</v>
      </c>
      <c r="H24" s="1943"/>
      <c r="I24" s="1943">
        <v>-84138485</v>
      </c>
      <c r="J24" s="1943">
        <v>5652182971</v>
      </c>
      <c r="M24" s="1925">
        <f t="shared" si="0"/>
        <v>5652182971</v>
      </c>
      <c r="N24" s="1925">
        <f t="shared" si="1"/>
        <v>0</v>
      </c>
    </row>
    <row r="25" spans="1:14" ht="20.45" customHeight="1" x14ac:dyDescent="0.2">
      <c r="C25" s="1939">
        <v>1307006001</v>
      </c>
      <c r="D25" s="1940" t="s">
        <v>87</v>
      </c>
      <c r="E25" s="1938"/>
      <c r="F25" s="1943">
        <v>6908330315</v>
      </c>
      <c r="G25" s="1943"/>
      <c r="H25" s="1943"/>
      <c r="I25" s="1943">
        <v>11780635396</v>
      </c>
      <c r="J25" s="1943">
        <v>18688965711</v>
      </c>
      <c r="M25" s="1925">
        <f t="shared" si="0"/>
        <v>18688965711</v>
      </c>
      <c r="N25" s="1925">
        <f t="shared" si="1"/>
        <v>0</v>
      </c>
    </row>
    <row r="26" spans="1:14" ht="20.45" customHeight="1" x14ac:dyDescent="0.2">
      <c r="C26" s="1939" t="s">
        <v>89</v>
      </c>
      <c r="D26" s="1940" t="s">
        <v>255</v>
      </c>
      <c r="E26" s="1938"/>
      <c r="F26" s="1943">
        <v>1229521330</v>
      </c>
      <c r="G26" s="1943"/>
      <c r="H26" s="1943"/>
      <c r="I26" s="1943">
        <v>-520934438</v>
      </c>
      <c r="J26" s="1943">
        <v>708586892</v>
      </c>
      <c r="M26" s="1925">
        <f t="shared" si="0"/>
        <v>708586892</v>
      </c>
      <c r="N26" s="1925">
        <f t="shared" si="1"/>
        <v>0</v>
      </c>
    </row>
    <row r="27" spans="1:14" ht="20.45" customHeight="1" x14ac:dyDescent="0.2">
      <c r="C27" s="1939" t="s">
        <v>90</v>
      </c>
      <c r="D27" s="1940" t="s">
        <v>91</v>
      </c>
      <c r="E27" s="1938"/>
      <c r="F27" s="1943">
        <v>278008945</v>
      </c>
      <c r="G27" s="1943"/>
      <c r="H27" s="1943"/>
      <c r="I27" s="1943"/>
      <c r="J27" s="1943">
        <v>278008945</v>
      </c>
      <c r="M27" s="1925">
        <f t="shared" si="0"/>
        <v>278008945</v>
      </c>
      <c r="N27" s="1925">
        <f t="shared" si="1"/>
        <v>0</v>
      </c>
    </row>
    <row r="28" spans="1:14" ht="20.45" customHeight="1" x14ac:dyDescent="0.2">
      <c r="C28" s="1939" t="s">
        <v>92</v>
      </c>
      <c r="D28" s="1940" t="s">
        <v>93</v>
      </c>
      <c r="E28" s="1938"/>
      <c r="F28" s="418">
        <v>19766843</v>
      </c>
      <c r="G28" s="418"/>
      <c r="H28" s="418"/>
      <c r="I28" s="418"/>
      <c r="J28" s="418">
        <v>19766843</v>
      </c>
      <c r="M28" s="1925">
        <f t="shared" si="0"/>
        <v>19766843</v>
      </c>
      <c r="N28" s="1925">
        <f t="shared" si="1"/>
        <v>0</v>
      </c>
    </row>
    <row r="29" spans="1:14" ht="20.45" customHeight="1" x14ac:dyDescent="0.2">
      <c r="C29" s="1939" t="s">
        <v>96</v>
      </c>
      <c r="D29" s="1940" t="s">
        <v>97</v>
      </c>
      <c r="E29" s="1938"/>
      <c r="F29" s="418">
        <v>166008831</v>
      </c>
      <c r="G29" s="451"/>
      <c r="H29" s="451"/>
      <c r="I29" s="418"/>
      <c r="J29" s="418">
        <v>166008831</v>
      </c>
      <c r="M29" s="1925">
        <f t="shared" si="0"/>
        <v>166008831</v>
      </c>
      <c r="N29" s="1925">
        <f t="shared" si="1"/>
        <v>0</v>
      </c>
    </row>
    <row r="30" spans="1:14" ht="20.45" customHeight="1" x14ac:dyDescent="0.2">
      <c r="A30" s="1925" t="s">
        <v>6</v>
      </c>
      <c r="C30" s="1939" t="s">
        <v>98</v>
      </c>
      <c r="D30" s="1940" t="s">
        <v>219</v>
      </c>
      <c r="E30" s="1938"/>
      <c r="F30" s="1945">
        <v>108845728</v>
      </c>
      <c r="G30" s="1943"/>
      <c r="H30" s="542"/>
      <c r="I30" s="1946"/>
      <c r="J30" s="1943">
        <v>108845728</v>
      </c>
      <c r="M30" s="1925">
        <f t="shared" si="0"/>
        <v>108845728</v>
      </c>
      <c r="N30" s="1925">
        <f t="shared" si="1"/>
        <v>0</v>
      </c>
    </row>
    <row r="31" spans="1:14" ht="20.45" customHeight="1" x14ac:dyDescent="0.2">
      <c r="C31" s="1939" t="s">
        <v>99</v>
      </c>
      <c r="D31" s="1940" t="s">
        <v>100</v>
      </c>
      <c r="E31" s="1938"/>
      <c r="F31" s="557">
        <v>60101663</v>
      </c>
      <c r="G31" s="455"/>
      <c r="H31" s="455"/>
      <c r="I31" s="558"/>
      <c r="J31" s="450">
        <v>60101663</v>
      </c>
      <c r="M31" s="1925">
        <f t="shared" si="0"/>
        <v>60101663</v>
      </c>
      <c r="N31" s="1925">
        <f t="shared" si="1"/>
        <v>0</v>
      </c>
    </row>
    <row r="32" spans="1:14" ht="20.45" customHeight="1" x14ac:dyDescent="0.2">
      <c r="C32" s="1939" t="s">
        <v>101</v>
      </c>
      <c r="D32" s="1940" t="s">
        <v>102</v>
      </c>
      <c r="E32" s="1938"/>
      <c r="F32" s="541">
        <v>47753390</v>
      </c>
      <c r="G32" s="452"/>
      <c r="H32" s="452"/>
      <c r="I32" s="556">
        <v>-22027666</v>
      </c>
      <c r="J32" s="418">
        <v>25725724</v>
      </c>
      <c r="M32" s="1925">
        <f t="shared" si="0"/>
        <v>25725724</v>
      </c>
      <c r="N32" s="1925">
        <f t="shared" si="1"/>
        <v>0</v>
      </c>
    </row>
    <row r="33" spans="2:14" ht="20.45" customHeight="1" x14ac:dyDescent="0.2">
      <c r="C33" s="1939" t="s">
        <v>206</v>
      </c>
      <c r="D33" s="1940" t="s">
        <v>207</v>
      </c>
      <c r="E33" s="1938"/>
      <c r="F33" s="1945">
        <v>2465322364</v>
      </c>
      <c r="G33" s="1943"/>
      <c r="H33" s="542"/>
      <c r="I33" s="1946">
        <v>-29504197</v>
      </c>
      <c r="J33" s="1943">
        <v>2435818167</v>
      </c>
      <c r="M33" s="1925">
        <f t="shared" si="0"/>
        <v>2435818167</v>
      </c>
      <c r="N33" s="1925">
        <f t="shared" si="1"/>
        <v>0</v>
      </c>
    </row>
    <row r="34" spans="2:14" ht="20.45" customHeight="1" x14ac:dyDescent="0.2">
      <c r="C34" s="1939" t="s">
        <v>162</v>
      </c>
      <c r="D34" s="1940" t="s">
        <v>256</v>
      </c>
      <c r="E34" s="1938"/>
      <c r="F34" s="1945">
        <v>163043196</v>
      </c>
      <c r="G34" s="1943"/>
      <c r="H34" s="542"/>
      <c r="I34" s="1946"/>
      <c r="J34" s="1943">
        <v>163043196</v>
      </c>
      <c r="M34" s="1925">
        <f t="shared" si="0"/>
        <v>163043196</v>
      </c>
      <c r="N34" s="1925">
        <f t="shared" si="1"/>
        <v>0</v>
      </c>
    </row>
    <row r="35" spans="2:14" ht="20.45" customHeight="1" x14ac:dyDescent="0.2">
      <c r="C35" s="1939" t="s">
        <v>104</v>
      </c>
      <c r="D35" s="1940" t="s">
        <v>198</v>
      </c>
      <c r="E35" s="1938"/>
      <c r="F35" s="1945">
        <v>1101712228</v>
      </c>
      <c r="G35" s="1943"/>
      <c r="H35" s="542"/>
      <c r="I35" s="1947"/>
      <c r="J35" s="1943">
        <v>1101712228</v>
      </c>
      <c r="M35" s="1925">
        <f t="shared" si="0"/>
        <v>1101712228</v>
      </c>
      <c r="N35" s="1925">
        <f t="shared" si="1"/>
        <v>0</v>
      </c>
    </row>
    <row r="36" spans="2:14" ht="20.45" customHeight="1" x14ac:dyDescent="0.2">
      <c r="C36" s="1939" t="s">
        <v>231</v>
      </c>
      <c r="D36" s="1940" t="s">
        <v>232</v>
      </c>
      <c r="E36" s="1938"/>
      <c r="F36" s="541">
        <v>74173677</v>
      </c>
      <c r="G36" s="452"/>
      <c r="H36" s="452"/>
      <c r="I36" s="699"/>
      <c r="J36" s="452">
        <v>74173677</v>
      </c>
      <c r="M36" s="1925">
        <f t="shared" si="0"/>
        <v>74173677</v>
      </c>
      <c r="N36" s="1925">
        <f t="shared" si="1"/>
        <v>0</v>
      </c>
    </row>
    <row r="37" spans="2:14" ht="20.45" customHeight="1" x14ac:dyDescent="0.2">
      <c r="C37" s="1948">
        <v>1503003007</v>
      </c>
      <c r="D37" s="1949" t="s">
        <v>155</v>
      </c>
      <c r="E37" s="1950"/>
      <c r="F37" s="543">
        <v>28571428</v>
      </c>
      <c r="G37" s="452"/>
      <c r="H37" s="452"/>
      <c r="I37" s="700"/>
      <c r="J37" s="452">
        <v>28571428</v>
      </c>
      <c r="M37" s="1925">
        <f t="shared" si="0"/>
        <v>28571428</v>
      </c>
      <c r="N37" s="1925">
        <f t="shared" si="1"/>
        <v>0</v>
      </c>
    </row>
    <row r="38" spans="2:14" ht="20.45" customHeight="1" x14ac:dyDescent="0.2">
      <c r="C38" s="1895">
        <v>1502001005</v>
      </c>
      <c r="D38" s="1951" t="s">
        <v>233</v>
      </c>
      <c r="E38" s="1952"/>
      <c r="F38" s="1945">
        <v>13791615042</v>
      </c>
      <c r="G38" s="542"/>
      <c r="H38" s="1943"/>
      <c r="I38" s="1947">
        <v>-1082847875</v>
      </c>
      <c r="J38" s="1943">
        <v>12708767167</v>
      </c>
      <c r="M38" s="1925">
        <f t="shared" si="0"/>
        <v>12708767167</v>
      </c>
      <c r="N38" s="1925">
        <f t="shared" si="1"/>
        <v>0</v>
      </c>
    </row>
    <row r="39" spans="2:14" ht="20.45" customHeight="1" x14ac:dyDescent="0.2">
      <c r="C39" s="1895" t="s">
        <v>234</v>
      </c>
      <c r="D39" s="1951" t="s">
        <v>235</v>
      </c>
      <c r="E39" s="1952"/>
      <c r="F39" s="452">
        <v>386330896</v>
      </c>
      <c r="G39" s="452"/>
      <c r="I39" s="452"/>
      <c r="J39" s="452">
        <v>386330896</v>
      </c>
      <c r="M39" s="1925">
        <f t="shared" si="0"/>
        <v>386330896</v>
      </c>
      <c r="N39" s="1925">
        <f t="shared" si="1"/>
        <v>0</v>
      </c>
    </row>
    <row r="40" spans="2:14" ht="31.15" customHeight="1" x14ac:dyDescent="0.2">
      <c r="C40" s="3389" t="s">
        <v>94</v>
      </c>
      <c r="D40" s="3390"/>
      <c r="E40" s="1952"/>
      <c r="F40" s="1943">
        <f>SUM(F14:F39)</f>
        <v>275867018070</v>
      </c>
      <c r="G40" s="1943">
        <f>SUM(G14:G39)</f>
        <v>0</v>
      </c>
      <c r="H40" s="1943">
        <f>SUM(H14:H39)</f>
        <v>-172782755562</v>
      </c>
      <c r="I40" s="1943">
        <f>SUM(I14:I39)</f>
        <v>125636305447</v>
      </c>
      <c r="J40" s="1943">
        <f>SUM(J14:J39)</f>
        <v>228720567955</v>
      </c>
      <c r="M40" s="1925">
        <f t="shared" si="0"/>
        <v>228720567955</v>
      </c>
      <c r="N40" s="1925">
        <f t="shared" si="1"/>
        <v>0</v>
      </c>
    </row>
    <row r="41" spans="2:14" ht="20.45" customHeight="1" x14ac:dyDescent="0.2">
      <c r="C41" s="1953"/>
      <c r="D41" s="1953"/>
      <c r="E41" s="1722"/>
      <c r="F41" s="1931"/>
      <c r="G41" s="1931"/>
      <c r="H41" s="1931"/>
      <c r="I41" s="1931"/>
      <c r="M41" s="1925">
        <f t="shared" si="0"/>
        <v>0</v>
      </c>
      <c r="N41" s="1925">
        <f t="shared" si="1"/>
        <v>0</v>
      </c>
    </row>
    <row r="42" spans="2:14" ht="21.6" customHeight="1" x14ac:dyDescent="0.2">
      <c r="B42" s="3363">
        <v>25000000</v>
      </c>
      <c r="C42" s="3363"/>
      <c r="D42" s="3363"/>
      <c r="E42" s="3363"/>
      <c r="F42" s="3363"/>
      <c r="G42" s="3363"/>
      <c r="H42" s="3363"/>
      <c r="I42" s="3363"/>
      <c r="J42" s="3363"/>
      <c r="M42" s="1925">
        <f t="shared" si="0"/>
        <v>0</v>
      </c>
      <c r="N42" s="1925">
        <f t="shared" si="1"/>
        <v>0</v>
      </c>
    </row>
    <row r="43" spans="2:14" ht="21.6" customHeight="1" x14ac:dyDescent="0.2">
      <c r="B43" s="3364" t="s">
        <v>24</v>
      </c>
      <c r="C43" s="3364"/>
      <c r="D43" s="3364"/>
      <c r="E43" s="3364"/>
      <c r="F43" s="3364"/>
      <c r="G43" s="3364"/>
      <c r="H43" s="3364"/>
      <c r="I43" s="3364"/>
      <c r="J43" s="3364"/>
      <c r="M43" s="1925">
        <f t="shared" si="0"/>
        <v>0</v>
      </c>
      <c r="N43" s="1925">
        <f t="shared" si="1"/>
        <v>0</v>
      </c>
    </row>
    <row r="44" spans="2:14" ht="21.6" customHeight="1" x14ac:dyDescent="0.2">
      <c r="B44" s="3364" t="s">
        <v>45</v>
      </c>
      <c r="C44" s="3364"/>
      <c r="D44" s="3364"/>
      <c r="E44" s="3364"/>
      <c r="F44" s="3364"/>
      <c r="G44" s="3364"/>
      <c r="H44" s="3364"/>
      <c r="I44" s="3364"/>
      <c r="J44" s="3364"/>
      <c r="M44" s="1925">
        <f t="shared" si="0"/>
        <v>0</v>
      </c>
      <c r="N44" s="1925">
        <f t="shared" si="1"/>
        <v>0</v>
      </c>
    </row>
    <row r="45" spans="2:14" ht="21.6" customHeight="1" x14ac:dyDescent="0.2">
      <c r="B45" s="3364" t="s">
        <v>46</v>
      </c>
      <c r="C45" s="3364"/>
      <c r="D45" s="3364"/>
      <c r="E45" s="3364"/>
      <c r="F45" s="3364"/>
      <c r="G45" s="3364"/>
      <c r="H45" s="3364"/>
      <c r="I45" s="3364"/>
      <c r="J45" s="3364"/>
      <c r="M45" s="1925">
        <f t="shared" si="0"/>
        <v>0</v>
      </c>
      <c r="N45" s="1925">
        <f t="shared" si="1"/>
        <v>0</v>
      </c>
    </row>
    <row r="46" spans="2:14" ht="21.6" customHeight="1" x14ac:dyDescent="0.2">
      <c r="B46" s="3294" t="s">
        <v>1983</v>
      </c>
      <c r="C46" s="3294"/>
      <c r="D46" s="3294"/>
      <c r="E46" s="3294"/>
      <c r="F46" s="3294"/>
      <c r="G46" s="3294"/>
      <c r="H46" s="3294"/>
      <c r="I46" s="3294"/>
      <c r="J46" s="3294"/>
      <c r="M46" s="1925">
        <f t="shared" si="0"/>
        <v>0</v>
      </c>
      <c r="N46" s="1925">
        <f t="shared" si="1"/>
        <v>0</v>
      </c>
    </row>
    <row r="47" spans="2:14" ht="21.6" customHeight="1" x14ac:dyDescent="0.2">
      <c r="B47" s="1722"/>
      <c r="C47" s="1722"/>
      <c r="D47" s="1722"/>
      <c r="E47" s="1722"/>
      <c r="F47" s="1722"/>
      <c r="G47" s="1722"/>
      <c r="H47" s="1722"/>
      <c r="I47" s="1722"/>
      <c r="J47" s="1722"/>
      <c r="M47" s="1925">
        <f t="shared" si="0"/>
        <v>0</v>
      </c>
      <c r="N47" s="1925">
        <f t="shared" si="1"/>
        <v>0</v>
      </c>
    </row>
    <row r="48" spans="2:14" ht="21.6" customHeight="1" x14ac:dyDescent="0.2">
      <c r="C48" s="3374" t="s">
        <v>1069</v>
      </c>
      <c r="D48" s="3374"/>
      <c r="E48" s="1935"/>
      <c r="F48" s="1936"/>
      <c r="G48" s="1935"/>
      <c r="H48" s="1935"/>
      <c r="I48" s="1935"/>
      <c r="J48" s="1894" t="s">
        <v>194</v>
      </c>
      <c r="M48" s="1925">
        <f t="shared" si="0"/>
        <v>0</v>
      </c>
    </row>
    <row r="49" spans="3:14" ht="21.6" customHeight="1" x14ac:dyDescent="0.2">
      <c r="C49" s="3365" t="s">
        <v>196</v>
      </c>
      <c r="D49" s="3375" t="s">
        <v>197</v>
      </c>
      <c r="E49" s="1937"/>
      <c r="F49" s="3378" t="s">
        <v>1387</v>
      </c>
      <c r="G49" s="3385" t="s">
        <v>905</v>
      </c>
      <c r="H49" s="3385" t="s">
        <v>904</v>
      </c>
      <c r="I49" s="3385" t="s">
        <v>898</v>
      </c>
      <c r="J49" s="3368" t="s">
        <v>1984</v>
      </c>
      <c r="M49" s="1925">
        <f t="shared" si="0"/>
        <v>0</v>
      </c>
    </row>
    <row r="50" spans="3:14" ht="21.6" customHeight="1" x14ac:dyDescent="0.2">
      <c r="C50" s="3366"/>
      <c r="D50" s="3376"/>
      <c r="E50" s="1937"/>
      <c r="F50" s="3379"/>
      <c r="G50" s="3385"/>
      <c r="H50" s="3385"/>
      <c r="I50" s="3385"/>
      <c r="J50" s="3369"/>
      <c r="M50" s="1925">
        <f t="shared" si="0"/>
        <v>0</v>
      </c>
      <c r="N50" s="1925">
        <f t="shared" ref="N50:N78" si="3">J50-M50</f>
        <v>0</v>
      </c>
    </row>
    <row r="51" spans="3:14" ht="21.6" customHeight="1" x14ac:dyDescent="0.2">
      <c r="C51" s="3367"/>
      <c r="D51" s="3377"/>
      <c r="E51" s="1938"/>
      <c r="F51" s="3380"/>
      <c r="G51" s="1690" t="s">
        <v>1208</v>
      </c>
      <c r="H51" s="1690" t="s">
        <v>1209</v>
      </c>
      <c r="I51" s="3385"/>
      <c r="J51" s="3370"/>
      <c r="M51" s="1925">
        <f t="shared" si="0"/>
        <v>0</v>
      </c>
      <c r="N51" s="1925">
        <f t="shared" si="3"/>
        <v>0</v>
      </c>
    </row>
    <row r="52" spans="3:14" ht="21.6" customHeight="1" x14ac:dyDescent="0.2">
      <c r="C52" s="3372" t="s">
        <v>181</v>
      </c>
      <c r="D52" s="3373"/>
      <c r="E52" s="1954"/>
      <c r="F52" s="1943">
        <f>F40</f>
        <v>275867018070</v>
      </c>
      <c r="G52" s="1943">
        <f>G40</f>
        <v>0</v>
      </c>
      <c r="H52" s="1943">
        <f>H40</f>
        <v>-172782755562</v>
      </c>
      <c r="I52" s="1943">
        <f>I40</f>
        <v>125636305447</v>
      </c>
      <c r="J52" s="1943">
        <f>J40</f>
        <v>228720567955</v>
      </c>
      <c r="M52" s="1925">
        <f t="shared" si="0"/>
        <v>228720567955</v>
      </c>
      <c r="N52" s="1925">
        <f t="shared" si="3"/>
        <v>0</v>
      </c>
    </row>
    <row r="53" spans="3:14" ht="21.6" customHeight="1" x14ac:dyDescent="0.2">
      <c r="C53" s="1939" t="s">
        <v>187</v>
      </c>
      <c r="D53" s="1940" t="s">
        <v>188</v>
      </c>
      <c r="E53" s="1954"/>
      <c r="F53" s="418">
        <v>207258855</v>
      </c>
      <c r="G53" s="418"/>
      <c r="H53" s="418"/>
      <c r="I53" s="418">
        <v>-146699995</v>
      </c>
      <c r="J53" s="418">
        <v>60558860</v>
      </c>
      <c r="M53" s="1925">
        <f t="shared" si="0"/>
        <v>60558860</v>
      </c>
      <c r="N53" s="1925">
        <f t="shared" si="3"/>
        <v>0</v>
      </c>
    </row>
    <row r="54" spans="3:14" ht="21.6" customHeight="1" x14ac:dyDescent="0.2">
      <c r="C54" s="1939" t="s">
        <v>213</v>
      </c>
      <c r="D54" s="1940" t="s">
        <v>214</v>
      </c>
      <c r="E54" s="1954"/>
      <c r="F54" s="418">
        <v>742128047</v>
      </c>
      <c r="G54" s="418"/>
      <c r="H54" s="418"/>
      <c r="I54" s="418"/>
      <c r="J54" s="418">
        <v>742128047</v>
      </c>
      <c r="M54" s="1925">
        <f t="shared" si="0"/>
        <v>742128047</v>
      </c>
      <c r="N54" s="1925">
        <f t="shared" si="3"/>
        <v>0</v>
      </c>
    </row>
    <row r="55" spans="3:14" ht="21.6" customHeight="1" x14ac:dyDescent="0.2">
      <c r="C55" s="1955" t="s">
        <v>240</v>
      </c>
      <c r="D55" s="1956" t="s">
        <v>241</v>
      </c>
      <c r="E55" s="1954"/>
      <c r="F55" s="418">
        <v>12048917</v>
      </c>
      <c r="G55" s="418"/>
      <c r="H55" s="418"/>
      <c r="I55" s="418"/>
      <c r="J55" s="418">
        <v>12048917</v>
      </c>
      <c r="M55" s="1925">
        <f t="shared" si="0"/>
        <v>12048917</v>
      </c>
      <c r="N55" s="1925">
        <f t="shared" si="3"/>
        <v>0</v>
      </c>
    </row>
    <row r="56" spans="3:14" ht="21.6" customHeight="1" x14ac:dyDescent="0.2">
      <c r="C56" s="1914" t="s">
        <v>200</v>
      </c>
      <c r="D56" s="1956" t="s">
        <v>201</v>
      </c>
      <c r="E56" s="1954"/>
      <c r="F56" s="418">
        <v>17960377</v>
      </c>
      <c r="G56" s="418"/>
      <c r="H56" s="418"/>
      <c r="I56" s="418"/>
      <c r="J56" s="418">
        <v>17960377</v>
      </c>
      <c r="M56" s="1925">
        <f t="shared" si="0"/>
        <v>17960377</v>
      </c>
      <c r="N56" s="1925">
        <f t="shared" si="3"/>
        <v>0</v>
      </c>
    </row>
    <row r="57" spans="3:14" ht="21.6" customHeight="1" x14ac:dyDescent="0.2">
      <c r="C57" s="1914" t="s">
        <v>228</v>
      </c>
      <c r="D57" s="1956" t="s">
        <v>229</v>
      </c>
      <c r="E57" s="1954"/>
      <c r="F57" s="418">
        <v>21026395</v>
      </c>
      <c r="G57" s="418"/>
      <c r="H57" s="418"/>
      <c r="I57" s="418"/>
      <c r="J57" s="418">
        <v>21026395</v>
      </c>
      <c r="M57" s="1925">
        <f t="shared" si="0"/>
        <v>21026395</v>
      </c>
      <c r="N57" s="1925">
        <f t="shared" si="3"/>
        <v>0</v>
      </c>
    </row>
    <row r="58" spans="3:14" ht="21.6" customHeight="1" x14ac:dyDescent="0.2">
      <c r="C58" s="1914" t="s">
        <v>209</v>
      </c>
      <c r="D58" s="1956" t="s">
        <v>537</v>
      </c>
      <c r="E58" s="1954"/>
      <c r="F58" s="418">
        <v>39000000</v>
      </c>
      <c r="G58" s="418"/>
      <c r="H58" s="418"/>
      <c r="I58" s="418"/>
      <c r="J58" s="418">
        <v>39000000</v>
      </c>
      <c r="M58" s="1925">
        <f t="shared" si="0"/>
        <v>39000000</v>
      </c>
      <c r="N58" s="1925">
        <f t="shared" si="3"/>
        <v>0</v>
      </c>
    </row>
    <row r="59" spans="3:14" ht="21.6" customHeight="1" x14ac:dyDescent="0.2">
      <c r="C59" s="1939" t="s">
        <v>189</v>
      </c>
      <c r="D59" s="1942" t="s">
        <v>132</v>
      </c>
      <c r="E59" s="1938"/>
      <c r="F59" s="418">
        <v>180690260</v>
      </c>
      <c r="G59" s="418"/>
      <c r="H59" s="418"/>
      <c r="I59" s="418">
        <v>99036466</v>
      </c>
      <c r="J59" s="418">
        <v>279726726</v>
      </c>
      <c r="M59" s="1925">
        <f t="shared" si="0"/>
        <v>279726726</v>
      </c>
      <c r="N59" s="1925">
        <f t="shared" si="3"/>
        <v>0</v>
      </c>
    </row>
    <row r="60" spans="3:14" ht="21.6" customHeight="1" x14ac:dyDescent="0.2">
      <c r="C60" s="1957" t="s">
        <v>157</v>
      </c>
      <c r="D60" s="1942" t="s">
        <v>133</v>
      </c>
      <c r="E60" s="1938"/>
      <c r="F60" s="418">
        <v>61005157</v>
      </c>
      <c r="G60" s="418"/>
      <c r="H60" s="418"/>
      <c r="I60" s="418"/>
      <c r="J60" s="418">
        <v>61005157</v>
      </c>
      <c r="M60" s="1925">
        <f t="shared" si="0"/>
        <v>61005157</v>
      </c>
      <c r="N60" s="1925">
        <f t="shared" si="3"/>
        <v>0</v>
      </c>
    </row>
    <row r="61" spans="3:14" ht="21.6" customHeight="1" x14ac:dyDescent="0.2">
      <c r="C61" s="1939" t="s">
        <v>1059</v>
      </c>
      <c r="D61" s="1942" t="s">
        <v>1060</v>
      </c>
      <c r="E61" s="1938"/>
      <c r="F61" s="418">
        <v>44206175</v>
      </c>
      <c r="G61" s="418"/>
      <c r="H61" s="418"/>
      <c r="I61" s="418"/>
      <c r="J61" s="418">
        <v>44206175</v>
      </c>
      <c r="M61" s="1925">
        <f t="shared" si="0"/>
        <v>44206175</v>
      </c>
      <c r="N61" s="1925">
        <f t="shared" si="3"/>
        <v>0</v>
      </c>
    </row>
    <row r="62" spans="3:14" ht="21.6" customHeight="1" x14ac:dyDescent="0.2">
      <c r="C62" s="1939" t="s">
        <v>257</v>
      </c>
      <c r="D62" s="1942" t="s">
        <v>1061</v>
      </c>
      <c r="E62" s="1938"/>
      <c r="F62" s="418">
        <v>10878687</v>
      </c>
      <c r="G62" s="418"/>
      <c r="H62" s="418"/>
      <c r="I62" s="418"/>
      <c r="J62" s="418">
        <v>10878687</v>
      </c>
      <c r="M62" s="1925">
        <f t="shared" si="0"/>
        <v>10878687</v>
      </c>
      <c r="N62" s="1925">
        <f t="shared" si="3"/>
        <v>0</v>
      </c>
    </row>
    <row r="63" spans="3:14" ht="21.6" customHeight="1" x14ac:dyDescent="0.2">
      <c r="C63" s="1958" t="s">
        <v>258</v>
      </c>
      <c r="D63" s="1959" t="s">
        <v>259</v>
      </c>
      <c r="E63" s="1938"/>
      <c r="F63" s="418">
        <v>76828647</v>
      </c>
      <c r="G63" s="418"/>
      <c r="H63" s="418"/>
      <c r="I63" s="418"/>
      <c r="J63" s="418">
        <v>76828647</v>
      </c>
      <c r="M63" s="1925">
        <f t="shared" si="0"/>
        <v>76828647</v>
      </c>
      <c r="N63" s="1925">
        <f t="shared" si="3"/>
        <v>0</v>
      </c>
    </row>
    <row r="64" spans="3:14" ht="21.6" customHeight="1" x14ac:dyDescent="0.2">
      <c r="C64" s="1958" t="s">
        <v>260</v>
      </c>
      <c r="D64" s="1959" t="s">
        <v>261</v>
      </c>
      <c r="E64" s="1938"/>
      <c r="F64" s="418">
        <v>156434330</v>
      </c>
      <c r="G64" s="418"/>
      <c r="H64" s="418"/>
      <c r="I64" s="418"/>
      <c r="J64" s="418">
        <v>156434330</v>
      </c>
      <c r="M64" s="1925">
        <f t="shared" si="0"/>
        <v>156434330</v>
      </c>
      <c r="N64" s="1925">
        <f t="shared" si="3"/>
        <v>0</v>
      </c>
    </row>
    <row r="65" spans="3:14" ht="21.6" customHeight="1" x14ac:dyDescent="0.2">
      <c r="C65" s="1958" t="s">
        <v>1049</v>
      </c>
      <c r="D65" s="1959" t="s">
        <v>1062</v>
      </c>
      <c r="E65" s="1938"/>
      <c r="F65" s="418">
        <v>13027683</v>
      </c>
      <c r="G65" s="418"/>
      <c r="H65" s="418"/>
      <c r="I65" s="418"/>
      <c r="J65" s="418">
        <v>13027683</v>
      </c>
      <c r="M65" s="1925">
        <f t="shared" si="0"/>
        <v>13027683</v>
      </c>
      <c r="N65" s="1925">
        <f t="shared" si="3"/>
        <v>0</v>
      </c>
    </row>
    <row r="66" spans="3:14" ht="21.6" customHeight="1" x14ac:dyDescent="0.2">
      <c r="C66" s="1958" t="s">
        <v>262</v>
      </c>
      <c r="D66" s="1959" t="s">
        <v>263</v>
      </c>
      <c r="E66" s="1938"/>
      <c r="F66" s="418">
        <v>37906656</v>
      </c>
      <c r="G66" s="418"/>
      <c r="H66" s="418"/>
      <c r="I66" s="418"/>
      <c r="J66" s="418">
        <v>37906656</v>
      </c>
      <c r="M66" s="1925">
        <f t="shared" si="0"/>
        <v>37906656</v>
      </c>
      <c r="N66" s="1925">
        <f t="shared" si="3"/>
        <v>0</v>
      </c>
    </row>
    <row r="67" spans="3:14" ht="21.6" customHeight="1" x14ac:dyDescent="0.2">
      <c r="C67" s="1958" t="s">
        <v>215</v>
      </c>
      <c r="D67" s="1959" t="s">
        <v>216</v>
      </c>
      <c r="E67" s="1938"/>
      <c r="F67" s="418">
        <v>87574332</v>
      </c>
      <c r="G67" s="418"/>
      <c r="H67" s="418"/>
      <c r="I67" s="418"/>
      <c r="J67" s="418">
        <v>87574332</v>
      </c>
      <c r="M67" s="1925">
        <f t="shared" si="0"/>
        <v>87574332</v>
      </c>
      <c r="N67" s="1925">
        <f t="shared" si="3"/>
        <v>0</v>
      </c>
    </row>
    <row r="68" spans="3:14" ht="21.6" customHeight="1" x14ac:dyDescent="0.2">
      <c r="C68" s="1958" t="s">
        <v>266</v>
      </c>
      <c r="D68" s="1959" t="s">
        <v>267</v>
      </c>
      <c r="E68" s="1938"/>
      <c r="F68" s="418">
        <v>19470698</v>
      </c>
      <c r="G68" s="418"/>
      <c r="H68" s="418"/>
      <c r="I68" s="418"/>
      <c r="J68" s="418">
        <v>19470698</v>
      </c>
      <c r="M68" s="1925">
        <f t="shared" si="0"/>
        <v>19470698</v>
      </c>
      <c r="N68" s="1925">
        <f t="shared" si="3"/>
        <v>0</v>
      </c>
    </row>
    <row r="69" spans="3:14" ht="21.6" customHeight="1" x14ac:dyDescent="0.2">
      <c r="C69" s="1958" t="s">
        <v>269</v>
      </c>
      <c r="D69" s="1959" t="s">
        <v>270</v>
      </c>
      <c r="E69" s="1938"/>
      <c r="F69" s="418">
        <v>9923357</v>
      </c>
      <c r="G69" s="418"/>
      <c r="H69" s="418"/>
      <c r="I69" s="418"/>
      <c r="J69" s="418">
        <v>9923357</v>
      </c>
      <c r="M69" s="1925">
        <f t="shared" si="0"/>
        <v>9923357</v>
      </c>
      <c r="N69" s="1925">
        <f t="shared" si="3"/>
        <v>0</v>
      </c>
    </row>
    <row r="70" spans="3:14" ht="21.6" customHeight="1" x14ac:dyDescent="0.2">
      <c r="C70" s="1958" t="s">
        <v>225</v>
      </c>
      <c r="D70" s="1959" t="s">
        <v>226</v>
      </c>
      <c r="E70" s="1938"/>
      <c r="F70" s="418">
        <v>5423387</v>
      </c>
      <c r="G70" s="418"/>
      <c r="H70" s="418"/>
      <c r="I70" s="418"/>
      <c r="J70" s="418">
        <v>5423387</v>
      </c>
      <c r="M70" s="1925">
        <f t="shared" si="0"/>
        <v>5423387</v>
      </c>
      <c r="N70" s="1925">
        <f t="shared" si="3"/>
        <v>0</v>
      </c>
    </row>
    <row r="71" spans="3:14" ht="21.6" customHeight="1" x14ac:dyDescent="0.2">
      <c r="C71" s="1958" t="s">
        <v>272</v>
      </c>
      <c r="D71" s="1959" t="s">
        <v>273</v>
      </c>
      <c r="E71" s="1938"/>
      <c r="F71" s="451">
        <v>33490287</v>
      </c>
      <c r="G71" s="451"/>
      <c r="H71" s="451"/>
      <c r="I71" s="451"/>
      <c r="J71" s="451">
        <v>33490287</v>
      </c>
      <c r="M71" s="1925">
        <f t="shared" si="0"/>
        <v>33490287</v>
      </c>
      <c r="N71" s="1925">
        <f t="shared" si="3"/>
        <v>0</v>
      </c>
    </row>
    <row r="72" spans="3:14" ht="21.6" customHeight="1" x14ac:dyDescent="0.2">
      <c r="C72" s="1958" t="s">
        <v>238</v>
      </c>
      <c r="D72" s="1959" t="s">
        <v>239</v>
      </c>
      <c r="E72" s="1960"/>
      <c r="F72" s="452">
        <v>18757950</v>
      </c>
      <c r="G72" s="452"/>
      <c r="H72" s="452"/>
      <c r="I72" s="452"/>
      <c r="J72" s="452">
        <v>18757950</v>
      </c>
      <c r="M72" s="1925">
        <f t="shared" si="0"/>
        <v>18757950</v>
      </c>
      <c r="N72" s="1925">
        <f t="shared" si="3"/>
        <v>0</v>
      </c>
    </row>
    <row r="73" spans="3:14" ht="21.6" customHeight="1" x14ac:dyDescent="0.2">
      <c r="C73" s="1958" t="s">
        <v>275</v>
      </c>
      <c r="D73" s="1959" t="s">
        <v>276</v>
      </c>
      <c r="E73" s="1960"/>
      <c r="F73" s="452">
        <v>22964104</v>
      </c>
      <c r="G73" s="452"/>
      <c r="H73" s="452"/>
      <c r="I73" s="452"/>
      <c r="J73" s="452">
        <v>22964104</v>
      </c>
      <c r="M73" s="1925">
        <f t="shared" si="0"/>
        <v>22964104</v>
      </c>
      <c r="N73" s="1925">
        <f t="shared" si="3"/>
        <v>0</v>
      </c>
    </row>
    <row r="74" spans="3:14" ht="21.6" customHeight="1" x14ac:dyDescent="0.2">
      <c r="C74" s="1958" t="s">
        <v>242</v>
      </c>
      <c r="D74" s="1959" t="s">
        <v>243</v>
      </c>
      <c r="E74" s="1960"/>
      <c r="F74" s="452">
        <v>29804320</v>
      </c>
      <c r="G74" s="452"/>
      <c r="H74" s="452"/>
      <c r="I74" s="452"/>
      <c r="J74" s="452">
        <v>29804320</v>
      </c>
      <c r="M74" s="1925">
        <f t="shared" si="0"/>
        <v>29804320</v>
      </c>
      <c r="N74" s="1925">
        <f t="shared" si="3"/>
        <v>0</v>
      </c>
    </row>
    <row r="75" spans="3:14" ht="21.6" customHeight="1" x14ac:dyDescent="0.2">
      <c r="C75" s="1941" t="s">
        <v>357</v>
      </c>
      <c r="D75" s="1942" t="s">
        <v>279</v>
      </c>
      <c r="E75" s="1960"/>
      <c r="F75" s="452">
        <v>67275770</v>
      </c>
      <c r="G75" s="452"/>
      <c r="H75" s="452"/>
      <c r="I75" s="452"/>
      <c r="J75" s="452">
        <v>67275770</v>
      </c>
      <c r="M75" s="1925">
        <f t="shared" si="0"/>
        <v>67275770</v>
      </c>
      <c r="N75" s="1925">
        <f t="shared" si="3"/>
        <v>0</v>
      </c>
    </row>
    <row r="76" spans="3:14" ht="21.6" customHeight="1" x14ac:dyDescent="0.2">
      <c r="C76" s="1961" t="s">
        <v>281</v>
      </c>
      <c r="D76" s="1962" t="s">
        <v>227</v>
      </c>
      <c r="E76" s="1960"/>
      <c r="F76" s="452">
        <v>346481525</v>
      </c>
      <c r="G76" s="452"/>
      <c r="H76" s="452"/>
      <c r="I76" s="452"/>
      <c r="J76" s="452">
        <v>346481525</v>
      </c>
      <c r="M76" s="1925">
        <f t="shared" si="0"/>
        <v>346481525</v>
      </c>
      <c r="N76" s="1925">
        <f t="shared" si="3"/>
        <v>0</v>
      </c>
    </row>
    <row r="77" spans="3:14" ht="21.6" customHeight="1" x14ac:dyDescent="0.2">
      <c r="C77" s="1961" t="s">
        <v>283</v>
      </c>
      <c r="D77" s="1962" t="s">
        <v>284</v>
      </c>
      <c r="E77" s="1960"/>
      <c r="F77" s="452">
        <v>4723811</v>
      </c>
      <c r="G77" s="452"/>
      <c r="H77" s="452"/>
      <c r="I77" s="452"/>
      <c r="J77" s="452">
        <v>4723811</v>
      </c>
      <c r="M77" s="1925">
        <f t="shared" si="0"/>
        <v>4723811</v>
      </c>
      <c r="N77" s="1925">
        <f t="shared" si="3"/>
        <v>0</v>
      </c>
    </row>
    <row r="78" spans="3:14" ht="21.6" customHeight="1" x14ac:dyDescent="0.2">
      <c r="C78" s="1961" t="s">
        <v>248</v>
      </c>
      <c r="D78" s="1962" t="s">
        <v>249</v>
      </c>
      <c r="E78" s="1960"/>
      <c r="F78" s="452">
        <v>13924404</v>
      </c>
      <c r="G78" s="452"/>
      <c r="H78" s="452"/>
      <c r="I78" s="452"/>
      <c r="J78" s="452">
        <v>13924404</v>
      </c>
      <c r="M78" s="1925">
        <f t="shared" si="0"/>
        <v>13924404</v>
      </c>
      <c r="N78" s="1925">
        <f t="shared" si="3"/>
        <v>0</v>
      </c>
    </row>
    <row r="79" spans="3:14" ht="21.6" customHeight="1" x14ac:dyDescent="0.2">
      <c r="C79" s="3382" t="s">
        <v>94</v>
      </c>
      <c r="D79" s="3382"/>
      <c r="E79" s="1963"/>
      <c r="F79" s="453">
        <f>SUM(F52:F78)</f>
        <v>278147232201</v>
      </c>
      <c r="G79" s="453">
        <f>SUM(G52:G78)</f>
        <v>0</v>
      </c>
      <c r="H79" s="453">
        <f>SUM(H52:H78)</f>
        <v>-172782755562</v>
      </c>
      <c r="I79" s="453">
        <f>SUM(I52:I78)</f>
        <v>125588641918</v>
      </c>
      <c r="J79" s="453">
        <f>SUM(J52:J78)</f>
        <v>230953118557</v>
      </c>
      <c r="M79" s="1925">
        <f t="shared" ref="M79:M148" si="4">SUM(F79:I79)</f>
        <v>230953118557</v>
      </c>
      <c r="N79" s="1925">
        <f t="shared" ref="N79:N149" si="5">J79-M79</f>
        <v>0</v>
      </c>
    </row>
    <row r="80" spans="3:14" ht="21.6" customHeight="1" x14ac:dyDescent="0.2">
      <c r="C80" s="1964"/>
      <c r="D80" s="1964"/>
      <c r="E80" s="1929"/>
      <c r="F80" s="454"/>
      <c r="G80" s="454"/>
      <c r="H80" s="454"/>
      <c r="I80" s="454"/>
      <c r="J80" s="454"/>
      <c r="M80" s="1925">
        <f t="shared" si="4"/>
        <v>0</v>
      </c>
      <c r="N80" s="1925">
        <f t="shared" si="5"/>
        <v>0</v>
      </c>
    </row>
    <row r="81" spans="3:20" ht="21.6" customHeight="1" x14ac:dyDescent="0.2">
      <c r="C81" s="3381" t="s">
        <v>1817</v>
      </c>
      <c r="D81" s="3381"/>
      <c r="E81" s="3381"/>
      <c r="F81" s="3381"/>
      <c r="G81" s="3381"/>
      <c r="H81" s="3381"/>
      <c r="I81" s="3381"/>
      <c r="J81" s="3381"/>
      <c r="M81" s="1925">
        <f t="shared" si="4"/>
        <v>0</v>
      </c>
      <c r="N81" s="1925">
        <f t="shared" si="5"/>
        <v>0</v>
      </c>
    </row>
    <row r="82" spans="3:20" ht="12.6" customHeight="1" x14ac:dyDescent="0.2">
      <c r="C82" s="3364" t="s">
        <v>24</v>
      </c>
      <c r="D82" s="3364"/>
      <c r="E82" s="3364"/>
      <c r="F82" s="3364"/>
      <c r="G82" s="3364"/>
      <c r="H82" s="3364"/>
      <c r="I82" s="3364"/>
      <c r="J82" s="3364"/>
      <c r="M82" s="1925">
        <f t="shared" si="4"/>
        <v>0</v>
      </c>
      <c r="N82" s="1925">
        <f t="shared" si="5"/>
        <v>0</v>
      </c>
    </row>
    <row r="83" spans="3:20" ht="12.6" customHeight="1" x14ac:dyDescent="0.2">
      <c r="C83" s="3364" t="s">
        <v>45</v>
      </c>
      <c r="D83" s="3364"/>
      <c r="E83" s="3364"/>
      <c r="F83" s="3364"/>
      <c r="G83" s="3364"/>
      <c r="H83" s="3364"/>
      <c r="I83" s="3364"/>
      <c r="J83" s="3364"/>
      <c r="M83" s="1925">
        <f t="shared" si="4"/>
        <v>0</v>
      </c>
      <c r="N83" s="1925">
        <f t="shared" si="5"/>
        <v>0</v>
      </c>
    </row>
    <row r="84" spans="3:20" ht="12.6" customHeight="1" x14ac:dyDescent="0.2">
      <c r="C84" s="3364" t="s">
        <v>46</v>
      </c>
      <c r="D84" s="3364"/>
      <c r="E84" s="3364"/>
      <c r="F84" s="3364"/>
      <c r="G84" s="3364"/>
      <c r="H84" s="3364"/>
      <c r="I84" s="3364"/>
      <c r="J84" s="3364"/>
      <c r="M84" s="1925">
        <f t="shared" si="4"/>
        <v>0</v>
      </c>
      <c r="N84" s="1925">
        <f t="shared" si="5"/>
        <v>0</v>
      </c>
      <c r="R84" s="1925"/>
      <c r="S84" s="1925"/>
      <c r="T84" s="1925"/>
    </row>
    <row r="85" spans="3:20" ht="12.6" customHeight="1" x14ac:dyDescent="0.2">
      <c r="C85" s="3294" t="s">
        <v>1983</v>
      </c>
      <c r="D85" s="3294"/>
      <c r="E85" s="3294"/>
      <c r="F85" s="3294"/>
      <c r="G85" s="3294"/>
      <c r="H85" s="3294"/>
      <c r="I85" s="3294"/>
      <c r="J85" s="3294"/>
      <c r="M85" s="1925">
        <f t="shared" si="4"/>
        <v>0</v>
      </c>
      <c r="N85" s="1925">
        <f t="shared" si="5"/>
        <v>0</v>
      </c>
      <c r="R85" s="1925"/>
      <c r="S85" s="1925"/>
      <c r="T85" s="1925"/>
    </row>
    <row r="86" spans="3:20" ht="12.6" customHeight="1" x14ac:dyDescent="0.2">
      <c r="C86" s="1965"/>
      <c r="D86" s="1722"/>
      <c r="E86" s="1722"/>
      <c r="F86" s="1722"/>
      <c r="G86" s="1722"/>
      <c r="H86" s="1722"/>
      <c r="I86" s="1722"/>
      <c r="J86" s="1722"/>
      <c r="M86" s="1925">
        <f t="shared" si="4"/>
        <v>0</v>
      </c>
      <c r="N86" s="1925">
        <f t="shared" si="5"/>
        <v>0</v>
      </c>
      <c r="R86" s="1925"/>
      <c r="S86" s="1925"/>
      <c r="T86" s="1925"/>
    </row>
    <row r="87" spans="3:20" ht="21.6" customHeight="1" x14ac:dyDescent="0.2">
      <c r="C87" s="3374" t="s">
        <v>1069</v>
      </c>
      <c r="D87" s="3374"/>
      <c r="E87" s="1935"/>
      <c r="F87" s="1936"/>
      <c r="G87" s="1935"/>
      <c r="H87" s="1935"/>
      <c r="I87" s="1935"/>
      <c r="J87" s="1894" t="s">
        <v>194</v>
      </c>
      <c r="M87" s="1925">
        <f t="shared" si="4"/>
        <v>0</v>
      </c>
      <c r="R87" s="1925"/>
      <c r="S87" s="1925"/>
      <c r="T87" s="1925"/>
    </row>
    <row r="88" spans="3:20" ht="5.45" customHeight="1" x14ac:dyDescent="0.2">
      <c r="C88" s="3365" t="s">
        <v>196</v>
      </c>
      <c r="D88" s="3375" t="s">
        <v>197</v>
      </c>
      <c r="E88" s="1937"/>
      <c r="F88" s="3378" t="s">
        <v>1387</v>
      </c>
      <c r="G88" s="3385" t="s">
        <v>905</v>
      </c>
      <c r="H88" s="3385" t="s">
        <v>904</v>
      </c>
      <c r="I88" s="3385" t="s">
        <v>898</v>
      </c>
      <c r="J88" s="3368" t="s">
        <v>1984</v>
      </c>
      <c r="M88" s="1925">
        <f t="shared" si="4"/>
        <v>0</v>
      </c>
      <c r="R88" s="1925"/>
      <c r="S88" s="1925"/>
      <c r="T88" s="1925"/>
    </row>
    <row r="89" spans="3:20" ht="14.45" customHeight="1" x14ac:dyDescent="0.2">
      <c r="C89" s="3366"/>
      <c r="D89" s="3376"/>
      <c r="E89" s="1937"/>
      <c r="F89" s="3379"/>
      <c r="G89" s="3385"/>
      <c r="H89" s="3385"/>
      <c r="I89" s="3385"/>
      <c r="J89" s="3369"/>
      <c r="M89" s="1925">
        <f t="shared" si="4"/>
        <v>0</v>
      </c>
      <c r="N89" s="1925">
        <f t="shared" si="5"/>
        <v>0</v>
      </c>
      <c r="R89" s="1925"/>
      <c r="S89" s="1925"/>
      <c r="T89" s="1925"/>
    </row>
    <row r="90" spans="3:20" ht="21" customHeight="1" x14ac:dyDescent="0.2">
      <c r="C90" s="3367"/>
      <c r="D90" s="3377"/>
      <c r="E90" s="1938"/>
      <c r="F90" s="3380"/>
      <c r="G90" s="1690" t="s">
        <v>1208</v>
      </c>
      <c r="H90" s="1690" t="s">
        <v>1209</v>
      </c>
      <c r="I90" s="3385"/>
      <c r="J90" s="3370"/>
      <c r="M90" s="1925">
        <f t="shared" si="4"/>
        <v>0</v>
      </c>
      <c r="N90" s="1925">
        <f t="shared" si="5"/>
        <v>0</v>
      </c>
      <c r="R90" s="1925"/>
      <c r="S90" s="1925"/>
      <c r="T90" s="1925"/>
    </row>
    <row r="91" spans="3:20" ht="21.6" customHeight="1" x14ac:dyDescent="0.2">
      <c r="C91" s="3392" t="s">
        <v>181</v>
      </c>
      <c r="D91" s="3393"/>
      <c r="E91" s="1954"/>
      <c r="F91" s="1943">
        <f>F79</f>
        <v>278147232201</v>
      </c>
      <c r="G91" s="1943">
        <f>G79</f>
        <v>0</v>
      </c>
      <c r="H91" s="1943">
        <f>H79</f>
        <v>-172782755562</v>
      </c>
      <c r="I91" s="1943">
        <f>I79</f>
        <v>125588641918</v>
      </c>
      <c r="J91" s="1943">
        <f>J79</f>
        <v>230953118557</v>
      </c>
      <c r="M91" s="1925">
        <f t="shared" si="4"/>
        <v>230953118557</v>
      </c>
      <c r="N91" s="1925">
        <f t="shared" si="5"/>
        <v>0</v>
      </c>
      <c r="R91" s="1925"/>
      <c r="S91" s="1925"/>
      <c r="T91" s="1925"/>
    </row>
    <row r="92" spans="3:20" ht="16.149999999999999" customHeight="1" x14ac:dyDescent="0.2">
      <c r="C92" s="1961" t="s">
        <v>244</v>
      </c>
      <c r="D92" s="1962" t="s">
        <v>245</v>
      </c>
      <c r="E92" s="1938"/>
      <c r="F92" s="418">
        <v>133573141</v>
      </c>
      <c r="G92" s="418"/>
      <c r="H92" s="418"/>
      <c r="I92" s="418"/>
      <c r="J92" s="418">
        <v>133573141</v>
      </c>
      <c r="M92" s="1925">
        <f t="shared" si="4"/>
        <v>133573141</v>
      </c>
      <c r="N92" s="1925">
        <f t="shared" si="5"/>
        <v>0</v>
      </c>
      <c r="R92" s="1925"/>
      <c r="S92" s="1925"/>
      <c r="T92" s="1925"/>
    </row>
    <row r="93" spans="3:20" ht="16.149999999999999" customHeight="1" x14ac:dyDescent="0.2">
      <c r="C93" s="1961" t="s">
        <v>217</v>
      </c>
      <c r="D93" s="1962" t="s">
        <v>218</v>
      </c>
      <c r="E93" s="1938"/>
      <c r="F93" s="450">
        <v>26212323</v>
      </c>
      <c r="G93" s="450"/>
      <c r="H93" s="450"/>
      <c r="I93" s="450"/>
      <c r="J93" s="450">
        <v>26212323</v>
      </c>
      <c r="M93" s="1925">
        <f t="shared" si="4"/>
        <v>26212323</v>
      </c>
      <c r="N93" s="1925">
        <f t="shared" si="5"/>
        <v>0</v>
      </c>
      <c r="R93" s="1925"/>
      <c r="S93" s="1925"/>
      <c r="T93" s="1925"/>
    </row>
    <row r="94" spans="3:20" ht="16.149999999999999" customHeight="1" x14ac:dyDescent="0.2">
      <c r="C94" s="1941">
        <v>40202125</v>
      </c>
      <c r="D94" s="1966" t="s">
        <v>252</v>
      </c>
      <c r="E94" s="1938"/>
      <c r="F94" s="418">
        <v>223532222</v>
      </c>
      <c r="G94" s="418"/>
      <c r="H94" s="418"/>
      <c r="I94" s="418"/>
      <c r="J94" s="418">
        <v>223532222</v>
      </c>
      <c r="M94" s="1925">
        <f t="shared" si="4"/>
        <v>223532222</v>
      </c>
      <c r="N94" s="1925">
        <f t="shared" si="5"/>
        <v>0</v>
      </c>
      <c r="R94" s="1925"/>
      <c r="S94" s="1925"/>
      <c r="T94" s="1925"/>
    </row>
    <row r="95" spans="3:20" ht="16.149999999999999" customHeight="1" x14ac:dyDescent="0.2">
      <c r="C95" s="1961" t="s">
        <v>285</v>
      </c>
      <c r="D95" s="1962" t="s">
        <v>286</v>
      </c>
      <c r="E95" s="1938"/>
      <c r="F95" s="451">
        <v>734079</v>
      </c>
      <c r="G95" s="451"/>
      <c r="H95" s="451"/>
      <c r="I95" s="418"/>
      <c r="J95" s="418">
        <v>734079</v>
      </c>
      <c r="M95" s="1925">
        <f t="shared" si="4"/>
        <v>734079</v>
      </c>
      <c r="N95" s="1925">
        <f t="shared" si="5"/>
        <v>0</v>
      </c>
      <c r="R95" s="1925"/>
      <c r="S95" s="1925"/>
      <c r="T95" s="1925"/>
    </row>
    <row r="96" spans="3:20" ht="16.149999999999999" customHeight="1" x14ac:dyDescent="0.2">
      <c r="C96" s="1961" t="s">
        <v>287</v>
      </c>
      <c r="D96" s="1962" t="s">
        <v>1065</v>
      </c>
      <c r="E96" s="1960"/>
      <c r="F96" s="452">
        <v>89431101</v>
      </c>
      <c r="G96" s="452"/>
      <c r="H96" s="452"/>
      <c r="I96" s="850"/>
      <c r="J96" s="418">
        <v>89431101</v>
      </c>
      <c r="M96" s="1925">
        <f t="shared" si="4"/>
        <v>89431101</v>
      </c>
      <c r="N96" s="1925">
        <f t="shared" si="5"/>
        <v>0</v>
      </c>
      <c r="R96" s="1925"/>
      <c r="S96" s="1925"/>
      <c r="T96" s="1925"/>
    </row>
    <row r="97" spans="3:20" ht="16.149999999999999" customHeight="1" x14ac:dyDescent="0.2">
      <c r="C97" s="1939" t="s">
        <v>346</v>
      </c>
      <c r="D97" s="1967" t="s">
        <v>289</v>
      </c>
      <c r="E97" s="1960"/>
      <c r="F97" s="452">
        <v>324408753164</v>
      </c>
      <c r="G97" s="452">
        <v>741495950883</v>
      </c>
      <c r="H97" s="701">
        <f>-581436918250+150000000000</f>
        <v>-431436918250</v>
      </c>
      <c r="I97" s="1464">
        <v>4419672439</v>
      </c>
      <c r="J97" s="1968">
        <v>638887458236</v>
      </c>
      <c r="M97" s="1925">
        <f t="shared" si="4"/>
        <v>638887458236</v>
      </c>
      <c r="N97" s="1925">
        <f t="shared" si="5"/>
        <v>0</v>
      </c>
      <c r="R97" s="1925"/>
      <c r="S97" s="1925"/>
      <c r="T97" s="1925"/>
    </row>
    <row r="98" spans="3:20" ht="16.149999999999999" customHeight="1" x14ac:dyDescent="0.2">
      <c r="C98" s="1941" t="s">
        <v>251</v>
      </c>
      <c r="D98" s="1966" t="s">
        <v>220</v>
      </c>
      <c r="E98" s="1960"/>
      <c r="F98" s="964">
        <v>101167990</v>
      </c>
      <c r="G98" s="452"/>
      <c r="H98" s="452"/>
      <c r="I98" s="452"/>
      <c r="J98" s="452">
        <v>101167990</v>
      </c>
      <c r="M98" s="1925">
        <f t="shared" si="4"/>
        <v>101167990</v>
      </c>
      <c r="N98" s="1925">
        <f t="shared" si="5"/>
        <v>0</v>
      </c>
      <c r="R98" s="1925"/>
      <c r="S98" s="1925"/>
      <c r="T98" s="1925"/>
    </row>
    <row r="99" spans="3:20" ht="15.6" customHeight="1" x14ac:dyDescent="0.2">
      <c r="C99" s="1941" t="s">
        <v>290</v>
      </c>
      <c r="D99" s="1966" t="s">
        <v>291</v>
      </c>
      <c r="E99" s="1960"/>
      <c r="F99" s="452">
        <v>36932839</v>
      </c>
      <c r="G99" s="452"/>
      <c r="H99" s="452"/>
      <c r="I99" s="452"/>
      <c r="J99" s="452">
        <v>36932839</v>
      </c>
      <c r="M99" s="1925">
        <f t="shared" si="4"/>
        <v>36932839</v>
      </c>
      <c r="N99" s="1925">
        <f t="shared" si="5"/>
        <v>0</v>
      </c>
      <c r="R99" s="1925"/>
      <c r="S99" s="1925"/>
      <c r="T99" s="1925"/>
    </row>
    <row r="100" spans="3:20" ht="15.6" customHeight="1" x14ac:dyDescent="0.2">
      <c r="C100" s="1969" t="s">
        <v>292</v>
      </c>
      <c r="D100" s="1970" t="s">
        <v>293</v>
      </c>
      <c r="E100" s="1722"/>
      <c r="F100" s="455">
        <v>74542464</v>
      </c>
      <c r="G100" s="455"/>
      <c r="H100" s="455"/>
      <c r="I100" s="455"/>
      <c r="J100" s="455">
        <v>74542464</v>
      </c>
      <c r="M100" s="1925">
        <f>SUM(F100:I100)</f>
        <v>74542464</v>
      </c>
      <c r="N100" s="1925">
        <f t="shared" si="5"/>
        <v>0</v>
      </c>
      <c r="R100" s="1925"/>
      <c r="S100" s="1925"/>
      <c r="T100" s="1925"/>
    </row>
    <row r="101" spans="3:20" ht="15.6" customHeight="1" x14ac:dyDescent="0.2">
      <c r="C101" s="1971" t="s">
        <v>113</v>
      </c>
      <c r="D101" s="1972" t="s">
        <v>114</v>
      </c>
      <c r="E101" s="1973"/>
      <c r="F101" s="452">
        <v>46792953</v>
      </c>
      <c r="G101" s="452"/>
      <c r="H101" s="452"/>
      <c r="I101" s="452">
        <v>-46792953</v>
      </c>
      <c r="J101" s="452">
        <v>0</v>
      </c>
      <c r="M101" s="1925">
        <f t="shared" si="4"/>
        <v>0</v>
      </c>
      <c r="N101" s="1925">
        <f t="shared" si="5"/>
        <v>0</v>
      </c>
      <c r="R101" s="1925"/>
      <c r="S101" s="1925"/>
      <c r="T101" s="1925"/>
    </row>
    <row r="102" spans="3:20" ht="15.6" customHeight="1" x14ac:dyDescent="0.2">
      <c r="C102" s="1971" t="s">
        <v>164</v>
      </c>
      <c r="D102" s="1972" t="s">
        <v>211</v>
      </c>
      <c r="E102" s="1973"/>
      <c r="F102" s="452">
        <v>29631541</v>
      </c>
      <c r="G102" s="452"/>
      <c r="H102" s="452"/>
      <c r="I102" s="452"/>
      <c r="J102" s="452">
        <v>29631541</v>
      </c>
      <c r="M102" s="1925">
        <f t="shared" si="4"/>
        <v>29631541</v>
      </c>
      <c r="N102" s="1925">
        <f t="shared" si="5"/>
        <v>0</v>
      </c>
      <c r="R102" s="1925"/>
      <c r="S102" s="1925"/>
      <c r="T102" s="1925"/>
    </row>
    <row r="103" spans="3:20" ht="15.6" customHeight="1" x14ac:dyDescent="0.2">
      <c r="C103" s="1737" t="s">
        <v>107</v>
      </c>
      <c r="D103" s="1974" t="s">
        <v>108</v>
      </c>
      <c r="E103" s="1925"/>
      <c r="F103" s="452">
        <v>468191346</v>
      </c>
      <c r="G103" s="452"/>
      <c r="I103" s="452"/>
      <c r="J103" s="1943">
        <v>468191346</v>
      </c>
      <c r="M103" s="1925">
        <f t="shared" si="4"/>
        <v>468191346</v>
      </c>
      <c r="N103" s="1925">
        <f t="shared" si="5"/>
        <v>0</v>
      </c>
      <c r="R103" s="1925"/>
      <c r="S103" s="1925"/>
      <c r="T103" s="1925"/>
    </row>
    <row r="104" spans="3:20" ht="15.6" customHeight="1" x14ac:dyDescent="0.2">
      <c r="C104" s="1971" t="s">
        <v>73</v>
      </c>
      <c r="D104" s="1972" t="s">
        <v>74</v>
      </c>
      <c r="E104" s="1973"/>
      <c r="F104" s="964">
        <v>20122970</v>
      </c>
      <c r="G104" s="452"/>
      <c r="H104" s="452"/>
      <c r="I104" s="452"/>
      <c r="J104" s="965">
        <v>20122970</v>
      </c>
      <c r="M104" s="1925">
        <f t="shared" si="4"/>
        <v>20122970</v>
      </c>
      <c r="N104" s="1925">
        <f t="shared" si="5"/>
        <v>0</v>
      </c>
      <c r="R104" s="1925"/>
      <c r="S104" s="1925"/>
      <c r="T104" s="1925"/>
    </row>
    <row r="105" spans="3:20" ht="15.6" customHeight="1" x14ac:dyDescent="0.2">
      <c r="C105" s="1971" t="s">
        <v>130</v>
      </c>
      <c r="D105" s="1972" t="s">
        <v>131</v>
      </c>
      <c r="E105" s="1954"/>
      <c r="F105" s="541">
        <v>179222394</v>
      </c>
      <c r="G105" s="452"/>
      <c r="H105" s="452"/>
      <c r="I105" s="452"/>
      <c r="J105" s="849">
        <v>179222394</v>
      </c>
      <c r="M105" s="1925">
        <f t="shared" si="4"/>
        <v>179222394</v>
      </c>
      <c r="N105" s="1925">
        <f t="shared" si="5"/>
        <v>0</v>
      </c>
      <c r="O105" s="1925">
        <f>I164+I163+I162+I160+I157+I156+I154+I153+I151+I138+I137+I136+I135+I134+I132+I130+I129+I128+I126+I124+I123+I121+I120+I119+I117+I149</f>
        <v>-17391468510</v>
      </c>
      <c r="R105" s="1925"/>
      <c r="S105" s="1925"/>
      <c r="T105" s="1925"/>
    </row>
    <row r="106" spans="3:20" ht="15.6" customHeight="1" x14ac:dyDescent="0.2">
      <c r="C106" s="1975" t="s">
        <v>105</v>
      </c>
      <c r="D106" s="1942" t="s">
        <v>106</v>
      </c>
      <c r="E106" s="1954"/>
      <c r="F106" s="541">
        <v>384815471</v>
      </c>
      <c r="G106" s="452"/>
      <c r="H106" s="542"/>
      <c r="I106" s="452"/>
      <c r="J106" s="556">
        <v>384815471</v>
      </c>
      <c r="M106" s="1925">
        <f t="shared" si="4"/>
        <v>384815471</v>
      </c>
      <c r="N106" s="1925">
        <f t="shared" si="5"/>
        <v>0</v>
      </c>
      <c r="R106" s="1925"/>
      <c r="S106" s="1925"/>
      <c r="T106" s="1925"/>
    </row>
    <row r="107" spans="3:20" ht="15.6" customHeight="1" x14ac:dyDescent="0.2">
      <c r="C107" s="1975" t="s">
        <v>111</v>
      </c>
      <c r="D107" s="1942" t="s">
        <v>112</v>
      </c>
      <c r="E107" s="1954"/>
      <c r="F107" s="541">
        <v>62268321</v>
      </c>
      <c r="G107" s="452"/>
      <c r="H107" s="452"/>
      <c r="I107" s="452"/>
      <c r="J107" s="556">
        <v>62268321</v>
      </c>
      <c r="M107" s="1925">
        <f t="shared" si="4"/>
        <v>62268321</v>
      </c>
      <c r="N107" s="1925">
        <f t="shared" si="5"/>
        <v>0</v>
      </c>
      <c r="R107" s="1925"/>
      <c r="S107" s="1925"/>
      <c r="T107" s="1925"/>
    </row>
    <row r="108" spans="3:20" ht="15.6" customHeight="1" x14ac:dyDescent="0.2">
      <c r="C108" s="1761" t="s">
        <v>182</v>
      </c>
      <c r="D108" s="1976" t="s">
        <v>1066</v>
      </c>
      <c r="E108" s="1950"/>
      <c r="F108" s="543">
        <v>3303112</v>
      </c>
      <c r="G108" s="452"/>
      <c r="H108" s="452"/>
      <c r="I108" s="452"/>
      <c r="J108" s="850">
        <v>3303112</v>
      </c>
      <c r="M108" s="1925">
        <f t="shared" si="4"/>
        <v>3303112</v>
      </c>
      <c r="N108" s="1925">
        <f t="shared" si="5"/>
        <v>0</v>
      </c>
      <c r="R108" s="1925"/>
      <c r="S108" s="1925"/>
      <c r="T108" s="1925"/>
    </row>
    <row r="109" spans="3:20" ht="16.149999999999999" customHeight="1" x14ac:dyDescent="0.2">
      <c r="C109" s="1977">
        <v>1503003007</v>
      </c>
      <c r="D109" s="1951" t="s">
        <v>128</v>
      </c>
      <c r="E109" s="1952"/>
      <c r="F109" s="964">
        <v>1997527122</v>
      </c>
      <c r="G109" s="542"/>
      <c r="H109" s="452"/>
      <c r="I109" s="452"/>
      <c r="J109" s="1978">
        <v>1997527122</v>
      </c>
      <c r="M109" s="1925">
        <f t="shared" si="4"/>
        <v>1997527122</v>
      </c>
      <c r="N109" s="1925">
        <f t="shared" si="5"/>
        <v>0</v>
      </c>
      <c r="R109" s="1925"/>
      <c r="S109" s="1925"/>
      <c r="T109" s="1925"/>
    </row>
    <row r="110" spans="3:20" ht="16.149999999999999" customHeight="1" x14ac:dyDescent="0.2">
      <c r="C110" s="1977" t="s">
        <v>125</v>
      </c>
      <c r="D110" s="1951" t="s">
        <v>335</v>
      </c>
      <c r="E110" s="1979"/>
      <c r="F110" s="1980">
        <v>77127620</v>
      </c>
      <c r="G110" s="1981"/>
      <c r="H110" s="1981"/>
      <c r="I110" s="1981"/>
      <c r="J110" s="1982">
        <v>77127620</v>
      </c>
      <c r="M110" s="1925">
        <f t="shared" si="4"/>
        <v>77127620</v>
      </c>
      <c r="N110" s="1925">
        <f t="shared" si="5"/>
        <v>0</v>
      </c>
      <c r="R110" s="1925"/>
      <c r="S110" s="1925"/>
      <c r="T110" s="1925"/>
    </row>
    <row r="111" spans="3:20" ht="16.149999999999999" customHeight="1" x14ac:dyDescent="0.4">
      <c r="C111" s="1944" t="s">
        <v>236</v>
      </c>
      <c r="D111" s="1940" t="s">
        <v>237</v>
      </c>
      <c r="E111" s="1983"/>
      <c r="F111" s="1980">
        <v>58856204</v>
      </c>
      <c r="G111" s="1981"/>
      <c r="H111" s="1981"/>
      <c r="I111" s="1981"/>
      <c r="J111" s="1982">
        <v>58856204</v>
      </c>
      <c r="M111" s="1925">
        <f t="shared" si="4"/>
        <v>58856204</v>
      </c>
      <c r="N111" s="1925">
        <f t="shared" si="5"/>
        <v>0</v>
      </c>
      <c r="O111" s="1984">
        <v>451558416026</v>
      </c>
      <c r="R111" s="1925"/>
      <c r="S111" s="1925"/>
      <c r="T111" s="1925"/>
    </row>
    <row r="112" spans="3:20" ht="16.149999999999999" customHeight="1" x14ac:dyDescent="0.2">
      <c r="C112" s="1761" t="s">
        <v>372</v>
      </c>
      <c r="D112" s="1949" t="s">
        <v>373</v>
      </c>
      <c r="E112" s="1983"/>
      <c r="F112" s="554">
        <v>414076045</v>
      </c>
      <c r="G112" s="417"/>
      <c r="H112" s="417"/>
      <c r="I112" s="417"/>
      <c r="J112" s="851">
        <v>414076045</v>
      </c>
      <c r="M112" s="1925">
        <f t="shared" si="4"/>
        <v>414076045</v>
      </c>
      <c r="N112" s="1925">
        <f t="shared" si="5"/>
        <v>0</v>
      </c>
      <c r="R112" s="1925"/>
      <c r="S112" s="1925"/>
      <c r="T112" s="1925"/>
    </row>
    <row r="113" spans="3:20" ht="16.149999999999999" customHeight="1" x14ac:dyDescent="0.2">
      <c r="C113" s="1985" t="s">
        <v>548</v>
      </c>
      <c r="D113" s="1986" t="s">
        <v>547</v>
      </c>
      <c r="E113" s="1987"/>
      <c r="F113" s="555">
        <v>6849255704</v>
      </c>
      <c r="G113" s="417"/>
      <c r="H113" s="542"/>
      <c r="I113" s="417">
        <f>-9059692543+2210436839</f>
        <v>-6849255704</v>
      </c>
      <c r="J113" s="1988">
        <v>0</v>
      </c>
      <c r="M113" s="1925">
        <f t="shared" si="4"/>
        <v>0</v>
      </c>
      <c r="N113" s="1925">
        <f t="shared" si="5"/>
        <v>0</v>
      </c>
      <c r="Q113" s="1925">
        <v>-2210436839</v>
      </c>
      <c r="R113" s="1925"/>
      <c r="S113" s="1925"/>
      <c r="T113" s="1925"/>
    </row>
    <row r="114" spans="3:20" ht="16.149999999999999" customHeight="1" x14ac:dyDescent="0.2">
      <c r="C114" s="477" t="s">
        <v>540</v>
      </c>
      <c r="D114" s="1951" t="s">
        <v>541</v>
      </c>
      <c r="E114" s="1979"/>
      <c r="F114" s="554">
        <v>17946280354</v>
      </c>
      <c r="G114" s="542"/>
      <c r="H114" s="554">
        <v>-16482663265</v>
      </c>
      <c r="I114" s="417">
        <v>19302306931</v>
      </c>
      <c r="J114" s="1978">
        <v>20765924020</v>
      </c>
      <c r="M114" s="1925">
        <f t="shared" si="4"/>
        <v>20765924020</v>
      </c>
      <c r="N114" s="1925">
        <f t="shared" si="5"/>
        <v>0</v>
      </c>
      <c r="R114" s="1925"/>
      <c r="S114" s="1925"/>
      <c r="T114" s="1925"/>
    </row>
    <row r="115" spans="3:20" ht="16.149999999999999" customHeight="1" x14ac:dyDescent="0.2">
      <c r="C115" s="1913" t="s">
        <v>542</v>
      </c>
      <c r="D115" s="1989" t="s">
        <v>335</v>
      </c>
      <c r="E115" s="1979"/>
      <c r="F115" s="554">
        <v>13259280364</v>
      </c>
      <c r="G115" s="417"/>
      <c r="H115" s="417"/>
      <c r="I115" s="417">
        <v>-293122398</v>
      </c>
      <c r="J115" s="851">
        <v>12966157966</v>
      </c>
      <c r="M115" s="1925">
        <f t="shared" si="4"/>
        <v>12966157966</v>
      </c>
      <c r="N115" s="1925">
        <f t="shared" si="5"/>
        <v>0</v>
      </c>
      <c r="R115" s="1925"/>
      <c r="S115" s="1925"/>
      <c r="T115" s="1925"/>
    </row>
    <row r="116" spans="3:20" ht="16.149999999999999" customHeight="1" x14ac:dyDescent="0.2">
      <c r="C116" s="1762" t="s">
        <v>544</v>
      </c>
      <c r="D116" s="1951" t="s">
        <v>543</v>
      </c>
      <c r="E116" s="1990"/>
      <c r="F116" s="417">
        <v>1255797118</v>
      </c>
      <c r="G116" s="417"/>
      <c r="H116" s="417"/>
      <c r="I116" s="554">
        <v>-400000000</v>
      </c>
      <c r="J116" s="417">
        <v>855797118</v>
      </c>
      <c r="M116" s="1925">
        <f t="shared" si="4"/>
        <v>855797118</v>
      </c>
      <c r="N116" s="1925">
        <f t="shared" si="5"/>
        <v>0</v>
      </c>
      <c r="R116" s="1925"/>
      <c r="S116" s="1925"/>
      <c r="T116" s="1925"/>
    </row>
    <row r="117" spans="3:20" ht="15.6" customHeight="1" x14ac:dyDescent="0.2">
      <c r="C117" s="1762" t="s">
        <v>546</v>
      </c>
      <c r="D117" s="1951" t="s">
        <v>545</v>
      </c>
      <c r="E117" s="1979"/>
      <c r="F117" s="1991">
        <v>13114294057</v>
      </c>
      <c r="G117" s="542"/>
      <c r="H117" s="1991"/>
      <c r="I117" s="1992">
        <v>1912341477</v>
      </c>
      <c r="J117" s="1991">
        <v>15026635534</v>
      </c>
      <c r="M117" s="1925">
        <f t="shared" si="4"/>
        <v>15026635534</v>
      </c>
      <c r="N117" s="1925">
        <f t="shared" si="5"/>
        <v>0</v>
      </c>
      <c r="R117" s="1925"/>
      <c r="S117" s="1925"/>
      <c r="T117" s="1925"/>
    </row>
    <row r="118" spans="3:20" ht="15.6" customHeight="1" x14ac:dyDescent="0.2">
      <c r="C118" s="1762" t="s">
        <v>2049</v>
      </c>
      <c r="D118" s="1993" t="s">
        <v>607</v>
      </c>
      <c r="E118" s="1979"/>
      <c r="F118" s="1991"/>
      <c r="G118" s="542"/>
      <c r="H118" s="1991"/>
      <c r="I118" s="1992">
        <f>7134154031</f>
        <v>7134154031</v>
      </c>
      <c r="J118" s="1991">
        <f>7134154031</f>
        <v>7134154031</v>
      </c>
      <c r="R118" s="1925"/>
      <c r="S118" s="1925"/>
      <c r="T118" s="1925"/>
    </row>
    <row r="119" spans="3:20" ht="15.6" customHeight="1" x14ac:dyDescent="0.2">
      <c r="C119" s="1762" t="s">
        <v>609</v>
      </c>
      <c r="D119" s="1993" t="s">
        <v>607</v>
      </c>
      <c r="E119" s="1979"/>
      <c r="F119" s="415">
        <v>73377038379</v>
      </c>
      <c r="G119" s="415"/>
      <c r="H119" s="415">
        <v>-41928889476</v>
      </c>
      <c r="I119" s="646">
        <v>40074245571</v>
      </c>
      <c r="J119" s="1943">
        <v>71522394474</v>
      </c>
      <c r="M119" s="1925">
        <f>SUM(F119:I119)</f>
        <v>71522394474</v>
      </c>
      <c r="N119" s="1925">
        <f>J119-M119</f>
        <v>0</v>
      </c>
      <c r="R119" s="1925"/>
      <c r="S119" s="1925"/>
      <c r="T119" s="1925"/>
    </row>
    <row r="120" spans="3:20" ht="15.6" customHeight="1" x14ac:dyDescent="0.2">
      <c r="C120" s="1762" t="s">
        <v>610</v>
      </c>
      <c r="D120" s="1993" t="s">
        <v>596</v>
      </c>
      <c r="E120" s="1979"/>
      <c r="F120" s="415">
        <v>14492395319</v>
      </c>
      <c r="G120" s="542"/>
      <c r="H120" s="415"/>
      <c r="I120" s="646">
        <v>-7422518343</v>
      </c>
      <c r="J120" s="415">
        <v>7069876976</v>
      </c>
      <c r="M120" s="1925">
        <f t="shared" si="4"/>
        <v>7069876976</v>
      </c>
      <c r="N120" s="1925">
        <f t="shared" si="5"/>
        <v>0</v>
      </c>
      <c r="R120" s="1925"/>
      <c r="S120" s="1925"/>
      <c r="T120" s="1925"/>
    </row>
    <row r="121" spans="3:20" ht="15.6" customHeight="1" x14ac:dyDescent="0.2">
      <c r="C121" s="1762" t="s">
        <v>611</v>
      </c>
      <c r="D121" s="1993" t="s">
        <v>597</v>
      </c>
      <c r="E121" s="1979"/>
      <c r="F121" s="415">
        <v>5135951040</v>
      </c>
      <c r="G121" s="415"/>
      <c r="H121" s="415"/>
      <c r="I121" s="646">
        <v>-122115150</v>
      </c>
      <c r="J121" s="415">
        <v>5013835890</v>
      </c>
      <c r="M121" s="1925">
        <f t="shared" si="4"/>
        <v>5013835890</v>
      </c>
      <c r="N121" s="1925">
        <f t="shared" si="5"/>
        <v>0</v>
      </c>
      <c r="R121" s="1925"/>
      <c r="S121" s="1925"/>
      <c r="T121" s="1925"/>
    </row>
    <row r="122" spans="3:20" ht="15.6" customHeight="1" x14ac:dyDescent="0.2">
      <c r="C122" s="1762" t="s">
        <v>2058</v>
      </c>
      <c r="D122" s="1993" t="s">
        <v>598</v>
      </c>
      <c r="E122" s="1979"/>
      <c r="F122" s="415"/>
      <c r="G122" s="415"/>
      <c r="H122" s="415"/>
      <c r="I122" s="646">
        <f>4185395650</f>
        <v>4185395650</v>
      </c>
      <c r="J122" s="415">
        <v>4185395650</v>
      </c>
      <c r="M122" s="1925">
        <f t="shared" si="4"/>
        <v>4185395650</v>
      </c>
      <c r="R122" s="1925"/>
      <c r="S122" s="1925"/>
      <c r="T122" s="1925"/>
    </row>
    <row r="123" spans="3:20" ht="15.6" customHeight="1" x14ac:dyDescent="0.2">
      <c r="C123" s="1762" t="s">
        <v>634</v>
      </c>
      <c r="D123" s="1993" t="s">
        <v>598</v>
      </c>
      <c r="E123" s="1979"/>
      <c r="F123" s="415">
        <v>18466702937</v>
      </c>
      <c r="G123" s="542"/>
      <c r="H123" s="415"/>
      <c r="I123" s="646">
        <v>-4269756425</v>
      </c>
      <c r="J123" s="415">
        <v>14196946512</v>
      </c>
      <c r="M123" s="1925">
        <f t="shared" si="4"/>
        <v>14196946512</v>
      </c>
      <c r="N123" s="1925">
        <f t="shared" si="5"/>
        <v>0</v>
      </c>
      <c r="R123" s="1925"/>
      <c r="S123" s="1925"/>
      <c r="T123" s="1925"/>
    </row>
    <row r="124" spans="3:20" ht="15.6" customHeight="1" x14ac:dyDescent="0.2">
      <c r="C124" s="1762" t="s">
        <v>641</v>
      </c>
      <c r="D124" s="1994" t="s">
        <v>640</v>
      </c>
      <c r="E124" s="1979"/>
      <c r="F124" s="415">
        <v>6853600550</v>
      </c>
      <c r="G124" s="542"/>
      <c r="H124" s="415"/>
      <c r="I124" s="646">
        <v>-681189450</v>
      </c>
      <c r="J124" s="415">
        <v>6172411100</v>
      </c>
      <c r="M124" s="1925">
        <f t="shared" si="4"/>
        <v>6172411100</v>
      </c>
      <c r="N124" s="1925">
        <f t="shared" si="5"/>
        <v>0</v>
      </c>
      <c r="R124" s="1925"/>
      <c r="S124" s="1925"/>
      <c r="T124" s="1925"/>
    </row>
    <row r="125" spans="3:20" ht="15.6" customHeight="1" x14ac:dyDescent="0.2">
      <c r="C125" s="1762" t="s">
        <v>2050</v>
      </c>
      <c r="D125" s="1993" t="s">
        <v>620</v>
      </c>
      <c r="E125" s="1979"/>
      <c r="F125" s="415"/>
      <c r="G125" s="542"/>
      <c r="H125" s="415"/>
      <c r="I125" s="646">
        <v>7924200661</v>
      </c>
      <c r="J125" s="415">
        <v>7924200661</v>
      </c>
      <c r="R125" s="1925"/>
      <c r="S125" s="1925"/>
      <c r="T125" s="1925"/>
    </row>
    <row r="126" spans="3:20" ht="15.6" customHeight="1" x14ac:dyDescent="0.2">
      <c r="C126" s="1762" t="s">
        <v>622</v>
      </c>
      <c r="D126" s="1993" t="s">
        <v>620</v>
      </c>
      <c r="E126" s="1979"/>
      <c r="F126" s="415">
        <v>32022338711</v>
      </c>
      <c r="G126" s="542"/>
      <c r="H126" s="415">
        <v>-16379179314</v>
      </c>
      <c r="I126" s="415">
        <f>51546834599</f>
        <v>51546834599</v>
      </c>
      <c r="J126" s="415">
        <v>67189993996</v>
      </c>
      <c r="M126" s="1925">
        <f t="shared" si="4"/>
        <v>67189993996</v>
      </c>
      <c r="N126" s="1925">
        <f t="shared" si="5"/>
        <v>0</v>
      </c>
      <c r="R126" s="1925"/>
      <c r="S126" s="1925"/>
      <c r="T126" s="1925"/>
    </row>
    <row r="127" spans="3:20" ht="15.6" customHeight="1" x14ac:dyDescent="0.2">
      <c r="C127" s="1762" t="s">
        <v>2055</v>
      </c>
      <c r="D127" s="1993" t="s">
        <v>631</v>
      </c>
      <c r="E127" s="1979"/>
      <c r="F127" s="415"/>
      <c r="G127" s="542"/>
      <c r="H127" s="415"/>
      <c r="I127" s="415">
        <v>4654944667</v>
      </c>
      <c r="J127" s="415">
        <v>4654944667</v>
      </c>
      <c r="R127" s="1925"/>
      <c r="S127" s="1925"/>
      <c r="T127" s="1925"/>
    </row>
    <row r="128" spans="3:20" ht="15.6" customHeight="1" x14ac:dyDescent="0.2">
      <c r="C128" s="1762" t="s">
        <v>642</v>
      </c>
      <c r="D128" s="1993" t="s">
        <v>631</v>
      </c>
      <c r="E128" s="1979"/>
      <c r="F128" s="415">
        <v>18950412425</v>
      </c>
      <c r="G128" s="542"/>
      <c r="H128" s="415">
        <v>-4452554334</v>
      </c>
      <c r="I128" s="415">
        <f>5255329771</f>
        <v>5255329771</v>
      </c>
      <c r="J128" s="415">
        <v>19753187862</v>
      </c>
      <c r="M128" s="1925">
        <f t="shared" si="4"/>
        <v>19753187862</v>
      </c>
      <c r="N128" s="1925">
        <f t="shared" si="5"/>
        <v>0</v>
      </c>
      <c r="R128" s="1925"/>
      <c r="S128" s="1925"/>
      <c r="T128" s="1925"/>
    </row>
    <row r="129" spans="3:20" ht="15.6" customHeight="1" x14ac:dyDescent="0.2">
      <c r="C129" s="1762" t="s">
        <v>623</v>
      </c>
      <c r="D129" s="1993" t="s">
        <v>599</v>
      </c>
      <c r="E129" s="1979"/>
      <c r="F129" s="415">
        <v>5949250005</v>
      </c>
      <c r="G129" s="415"/>
      <c r="H129" s="415"/>
      <c r="I129" s="415">
        <v>1519657677</v>
      </c>
      <c r="J129" s="415">
        <v>7468907682</v>
      </c>
      <c r="M129" s="1925">
        <f t="shared" si="4"/>
        <v>7468907682</v>
      </c>
      <c r="N129" s="1925">
        <f t="shared" si="5"/>
        <v>0</v>
      </c>
      <c r="R129" s="1925"/>
      <c r="S129" s="1925"/>
      <c r="T129" s="1925"/>
    </row>
    <row r="130" spans="3:20" ht="15.6" customHeight="1" x14ac:dyDescent="0.2">
      <c r="C130" s="1762" t="s">
        <v>633</v>
      </c>
      <c r="D130" s="1993" t="s">
        <v>632</v>
      </c>
      <c r="E130" s="1979"/>
      <c r="F130" s="415">
        <v>6368796143</v>
      </c>
      <c r="G130" s="542"/>
      <c r="H130" s="415"/>
      <c r="I130" s="415">
        <v>16275270114</v>
      </c>
      <c r="J130" s="415">
        <v>22644066257</v>
      </c>
      <c r="M130" s="1925">
        <f t="shared" si="4"/>
        <v>22644066257</v>
      </c>
      <c r="N130" s="1925">
        <f t="shared" si="5"/>
        <v>0</v>
      </c>
      <c r="R130" s="1925"/>
      <c r="S130" s="1925"/>
      <c r="T130" s="1925"/>
    </row>
    <row r="131" spans="3:20" ht="15.6" customHeight="1" x14ac:dyDescent="0.2">
      <c r="C131" s="1762" t="s">
        <v>2061</v>
      </c>
      <c r="D131" s="1993" t="s">
        <v>600</v>
      </c>
      <c r="E131" s="1979"/>
      <c r="F131" s="415"/>
      <c r="G131" s="542"/>
      <c r="H131" s="415"/>
      <c r="I131" s="415">
        <v>2376534003</v>
      </c>
      <c r="J131" s="415">
        <v>2376534003</v>
      </c>
      <c r="R131" s="1925"/>
      <c r="S131" s="1925"/>
      <c r="T131" s="1925"/>
    </row>
    <row r="132" spans="3:20" ht="15.6" customHeight="1" x14ac:dyDescent="0.2">
      <c r="C132" s="1762" t="s">
        <v>624</v>
      </c>
      <c r="D132" s="1993" t="s">
        <v>600</v>
      </c>
      <c r="E132" s="1979"/>
      <c r="F132" s="415">
        <v>15963969414</v>
      </c>
      <c r="G132" s="542"/>
      <c r="H132" s="415"/>
      <c r="I132" s="415">
        <f>-3058976053</f>
        <v>-3058976053</v>
      </c>
      <c r="J132" s="415">
        <v>12904993361</v>
      </c>
      <c r="M132" s="1925">
        <f t="shared" si="4"/>
        <v>12904993361</v>
      </c>
      <c r="N132" s="1925">
        <f t="shared" si="5"/>
        <v>0</v>
      </c>
      <c r="R132" s="1925"/>
      <c r="S132" s="1925"/>
      <c r="T132" s="1925"/>
    </row>
    <row r="133" spans="3:20" ht="15.6" customHeight="1" x14ac:dyDescent="0.2">
      <c r="C133" s="1762" t="s">
        <v>2052</v>
      </c>
      <c r="D133" s="1993" t="s">
        <v>601</v>
      </c>
      <c r="E133" s="1979"/>
      <c r="F133" s="415"/>
      <c r="G133" s="542"/>
      <c r="H133" s="415"/>
      <c r="I133" s="415">
        <f>2883119191</f>
        <v>2883119191</v>
      </c>
      <c r="J133" s="415">
        <f>2883119191</f>
        <v>2883119191</v>
      </c>
      <c r="R133" s="1925"/>
      <c r="S133" s="1925"/>
      <c r="T133" s="1925"/>
    </row>
    <row r="134" spans="3:20" ht="15.6" customHeight="1" x14ac:dyDescent="0.2">
      <c r="C134" s="1762" t="s">
        <v>625</v>
      </c>
      <c r="D134" s="1993" t="s">
        <v>601</v>
      </c>
      <c r="E134" s="1979"/>
      <c r="F134" s="415">
        <v>20391184490</v>
      </c>
      <c r="G134" s="542"/>
      <c r="H134" s="415"/>
      <c r="I134" s="415">
        <v>640559184</v>
      </c>
      <c r="J134" s="415">
        <v>21031743674</v>
      </c>
      <c r="M134" s="1925">
        <f t="shared" si="4"/>
        <v>21031743674</v>
      </c>
      <c r="N134" s="1925">
        <f t="shared" si="5"/>
        <v>0</v>
      </c>
      <c r="R134" s="1925"/>
      <c r="S134" s="1925"/>
      <c r="T134" s="1925"/>
    </row>
    <row r="135" spans="3:20" ht="15.6" customHeight="1" x14ac:dyDescent="0.2">
      <c r="C135" s="1762" t="s">
        <v>677</v>
      </c>
      <c r="D135" s="1995" t="s">
        <v>676</v>
      </c>
      <c r="E135" s="1996"/>
      <c r="F135" s="1991">
        <v>15812910734</v>
      </c>
      <c r="G135" s="542"/>
      <c r="H135" s="1991"/>
      <c r="I135" s="1978">
        <v>16256219706</v>
      </c>
      <c r="J135" s="1978">
        <v>32069130440</v>
      </c>
      <c r="M135" s="1925">
        <f t="shared" si="4"/>
        <v>32069130440</v>
      </c>
      <c r="N135" s="1925">
        <f t="shared" si="5"/>
        <v>0</v>
      </c>
      <c r="R135" s="1925"/>
      <c r="S135" s="1925"/>
      <c r="T135" s="1925"/>
    </row>
    <row r="136" spans="3:20" ht="15.6" customHeight="1" x14ac:dyDescent="0.2">
      <c r="C136" s="1762" t="s">
        <v>626</v>
      </c>
      <c r="D136" s="1993" t="s">
        <v>602</v>
      </c>
      <c r="E136" s="1979"/>
      <c r="F136" s="415">
        <v>1519861257</v>
      </c>
      <c r="G136" s="542"/>
      <c r="H136" s="415"/>
      <c r="I136" s="415">
        <v>3193773455</v>
      </c>
      <c r="J136" s="415">
        <v>4713634712</v>
      </c>
      <c r="M136" s="1925">
        <f t="shared" si="4"/>
        <v>4713634712</v>
      </c>
      <c r="N136" s="1925">
        <f t="shared" si="5"/>
        <v>0</v>
      </c>
      <c r="R136" s="1925"/>
      <c r="S136" s="1925"/>
      <c r="T136" s="1925"/>
    </row>
    <row r="137" spans="3:20" ht="15.6" customHeight="1" x14ac:dyDescent="0.2">
      <c r="C137" s="1762" t="s">
        <v>627</v>
      </c>
      <c r="D137" s="1993" t="s">
        <v>603</v>
      </c>
      <c r="E137" s="1979"/>
      <c r="F137" s="415">
        <v>5937686670</v>
      </c>
      <c r="G137" s="542"/>
      <c r="H137" s="415"/>
      <c r="I137" s="415">
        <v>-1087368780</v>
      </c>
      <c r="J137" s="415">
        <v>4850317890</v>
      </c>
      <c r="M137" s="1925">
        <f t="shared" si="4"/>
        <v>4850317890</v>
      </c>
      <c r="N137" s="1925">
        <f t="shared" si="5"/>
        <v>0</v>
      </c>
      <c r="R137" s="1925"/>
      <c r="S137" s="1925"/>
      <c r="T137" s="1925"/>
    </row>
    <row r="138" spans="3:20" ht="15.6" customHeight="1" x14ac:dyDescent="0.2">
      <c r="C138" s="1762" t="s">
        <v>1083</v>
      </c>
      <c r="D138" s="1997" t="s">
        <v>1082</v>
      </c>
      <c r="E138" s="1979"/>
      <c r="F138" s="415">
        <v>4885625872</v>
      </c>
      <c r="G138" s="542"/>
      <c r="H138" s="415"/>
      <c r="I138" s="415">
        <v>10885079737</v>
      </c>
      <c r="J138" s="415">
        <v>15770705609</v>
      </c>
      <c r="M138" s="1925">
        <f t="shared" si="4"/>
        <v>15770705609</v>
      </c>
      <c r="N138" s="1925">
        <f t="shared" si="5"/>
        <v>0</v>
      </c>
      <c r="R138" s="1925"/>
      <c r="S138" s="1925"/>
      <c r="T138" s="1925"/>
    </row>
    <row r="139" spans="3:20" ht="18" customHeight="1" x14ac:dyDescent="0.2">
      <c r="C139" s="3382" t="s">
        <v>94</v>
      </c>
      <c r="D139" s="3382"/>
      <c r="E139" s="1963"/>
      <c r="F139" s="453">
        <f>SUM(F91:F138)</f>
        <v>905536678166</v>
      </c>
      <c r="G139" s="453">
        <f t="shared" ref="G139:J139" si="6">SUM(G91:G138)</f>
        <v>741495950883</v>
      </c>
      <c r="H139" s="453">
        <f t="shared" si="6"/>
        <v>-683462960201</v>
      </c>
      <c r="I139" s="453">
        <f t="shared" si="6"/>
        <v>301797185526</v>
      </c>
      <c r="J139" s="453">
        <f t="shared" si="6"/>
        <v>1265366854374</v>
      </c>
      <c r="M139" s="1925">
        <f t="shared" si="4"/>
        <v>1265366854374</v>
      </c>
      <c r="N139" s="1925">
        <f t="shared" si="5"/>
        <v>0</v>
      </c>
      <c r="R139" s="1925"/>
      <c r="S139" s="1925"/>
      <c r="T139" s="1925"/>
    </row>
    <row r="140" spans="3:20" ht="12.6" customHeight="1" x14ac:dyDescent="0.2">
      <c r="C140" s="3381" t="s">
        <v>2266</v>
      </c>
      <c r="D140" s="3381"/>
      <c r="E140" s="3381"/>
      <c r="F140" s="3381"/>
      <c r="G140" s="3381"/>
      <c r="H140" s="3381"/>
      <c r="I140" s="3381"/>
      <c r="J140" s="3381"/>
      <c r="M140" s="1925">
        <f t="shared" si="4"/>
        <v>0</v>
      </c>
      <c r="N140" s="1925">
        <f t="shared" si="5"/>
        <v>0</v>
      </c>
      <c r="R140" s="1925"/>
      <c r="S140" s="1925"/>
      <c r="T140" s="1925"/>
    </row>
    <row r="141" spans="3:20" ht="14.25" customHeight="1" x14ac:dyDescent="0.2">
      <c r="C141" s="3364" t="s">
        <v>24</v>
      </c>
      <c r="D141" s="3364"/>
      <c r="E141" s="3364"/>
      <c r="F141" s="3364"/>
      <c r="G141" s="3364"/>
      <c r="H141" s="3364"/>
      <c r="I141" s="3364"/>
      <c r="J141" s="3364"/>
      <c r="M141" s="1925">
        <f t="shared" si="4"/>
        <v>0</v>
      </c>
      <c r="N141" s="1925">
        <f t="shared" si="5"/>
        <v>0</v>
      </c>
      <c r="R141" s="1925"/>
      <c r="S141" s="1925"/>
      <c r="T141" s="1925"/>
    </row>
    <row r="142" spans="3:20" ht="14.25" customHeight="1" x14ac:dyDescent="0.2">
      <c r="C142" s="3364" t="s">
        <v>45</v>
      </c>
      <c r="D142" s="3364"/>
      <c r="E142" s="3364"/>
      <c r="F142" s="3364"/>
      <c r="G142" s="3364"/>
      <c r="H142" s="3364"/>
      <c r="I142" s="3364"/>
      <c r="J142" s="3364"/>
      <c r="M142" s="1925">
        <f t="shared" si="4"/>
        <v>0</v>
      </c>
      <c r="N142" s="1925">
        <f t="shared" si="5"/>
        <v>0</v>
      </c>
      <c r="R142" s="1925"/>
      <c r="S142" s="1925"/>
      <c r="T142" s="1925"/>
    </row>
    <row r="143" spans="3:20" ht="14.25" customHeight="1" x14ac:dyDescent="0.2">
      <c r="C143" s="3364" t="s">
        <v>46</v>
      </c>
      <c r="D143" s="3364"/>
      <c r="E143" s="3364"/>
      <c r="F143" s="3364"/>
      <c r="G143" s="3364"/>
      <c r="H143" s="3364"/>
      <c r="I143" s="3364"/>
      <c r="J143" s="3364"/>
      <c r="M143" s="1925">
        <f t="shared" si="4"/>
        <v>0</v>
      </c>
      <c r="N143" s="1925">
        <f t="shared" si="5"/>
        <v>0</v>
      </c>
      <c r="R143" s="1925"/>
      <c r="S143" s="1925"/>
      <c r="T143" s="1925"/>
    </row>
    <row r="144" spans="3:20" ht="14.25" customHeight="1" x14ac:dyDescent="0.2">
      <c r="C144" s="3294" t="s">
        <v>1983</v>
      </c>
      <c r="D144" s="3294"/>
      <c r="E144" s="3294"/>
      <c r="F144" s="3294"/>
      <c r="G144" s="3294"/>
      <c r="H144" s="3294"/>
      <c r="I144" s="3294"/>
      <c r="J144" s="3294"/>
      <c r="M144" s="1925">
        <f t="shared" si="4"/>
        <v>0</v>
      </c>
      <c r="N144" s="1925">
        <f t="shared" si="5"/>
        <v>0</v>
      </c>
      <c r="R144" s="1925"/>
      <c r="S144" s="1925"/>
      <c r="T144" s="1925"/>
    </row>
    <row r="145" spans="3:20" ht="21.6" customHeight="1" x14ac:dyDescent="0.2">
      <c r="C145" s="3374" t="s">
        <v>1069</v>
      </c>
      <c r="D145" s="3374"/>
      <c r="E145" s="1935"/>
      <c r="F145" s="1936"/>
      <c r="G145" s="1935"/>
      <c r="H145" s="1935"/>
      <c r="I145" s="1935"/>
      <c r="J145" s="1894" t="s">
        <v>194</v>
      </c>
      <c r="M145" s="1925">
        <f t="shared" si="4"/>
        <v>0</v>
      </c>
      <c r="N145" s="1925" t="e">
        <f t="shared" si="5"/>
        <v>#VALUE!</v>
      </c>
      <c r="R145" s="1925"/>
      <c r="S145" s="1925"/>
      <c r="T145" s="1925"/>
    </row>
    <row r="146" spans="3:20" ht="9.6" customHeight="1" x14ac:dyDescent="0.2">
      <c r="C146" s="3365" t="s">
        <v>196</v>
      </c>
      <c r="D146" s="3375" t="s">
        <v>197</v>
      </c>
      <c r="E146" s="1937"/>
      <c r="F146" s="3378" t="s">
        <v>1387</v>
      </c>
      <c r="G146" s="3385" t="s">
        <v>905</v>
      </c>
      <c r="H146" s="3385" t="s">
        <v>904</v>
      </c>
      <c r="I146" s="3385" t="s">
        <v>898</v>
      </c>
      <c r="J146" s="3368" t="s">
        <v>1984</v>
      </c>
      <c r="M146" s="1925">
        <f t="shared" si="4"/>
        <v>0</v>
      </c>
      <c r="N146" s="1925" t="e">
        <f t="shared" si="5"/>
        <v>#VALUE!</v>
      </c>
      <c r="R146" s="1925"/>
      <c r="S146" s="1925"/>
      <c r="T146" s="1925"/>
    </row>
    <row r="147" spans="3:20" ht="13.15" customHeight="1" x14ac:dyDescent="0.2">
      <c r="C147" s="3366"/>
      <c r="D147" s="3376"/>
      <c r="E147" s="1937"/>
      <c r="F147" s="3379"/>
      <c r="G147" s="3385"/>
      <c r="H147" s="3385"/>
      <c r="I147" s="3385"/>
      <c r="J147" s="3369"/>
      <c r="M147" s="1925">
        <f t="shared" si="4"/>
        <v>0</v>
      </c>
      <c r="N147" s="1925">
        <f t="shared" si="5"/>
        <v>0</v>
      </c>
      <c r="R147" s="1925"/>
      <c r="S147" s="1925"/>
      <c r="T147" s="1925"/>
    </row>
    <row r="148" spans="3:20" ht="16.149999999999999" customHeight="1" x14ac:dyDescent="0.2">
      <c r="C148" s="3367"/>
      <c r="D148" s="3377"/>
      <c r="E148" s="1938"/>
      <c r="F148" s="3380"/>
      <c r="G148" s="1690" t="s">
        <v>1208</v>
      </c>
      <c r="H148" s="1690" t="s">
        <v>1209</v>
      </c>
      <c r="I148" s="3385"/>
      <c r="J148" s="3370"/>
      <c r="M148" s="1925">
        <f t="shared" si="4"/>
        <v>0</v>
      </c>
      <c r="N148" s="1925">
        <f t="shared" si="5"/>
        <v>0</v>
      </c>
      <c r="R148" s="1925"/>
      <c r="S148" s="1925"/>
      <c r="T148" s="1925"/>
    </row>
    <row r="149" spans="3:20" ht="16.899999999999999" customHeight="1" x14ac:dyDescent="0.2">
      <c r="C149" s="3392" t="s">
        <v>181</v>
      </c>
      <c r="D149" s="3393"/>
      <c r="E149" s="1954"/>
      <c r="F149" s="543">
        <f>F139</f>
        <v>905536678166</v>
      </c>
      <c r="G149" s="543">
        <f>G139</f>
        <v>741495950883</v>
      </c>
      <c r="H149" s="543">
        <f>H139</f>
        <v>-683462960201</v>
      </c>
      <c r="I149" s="543">
        <f>I139</f>
        <v>301797185526</v>
      </c>
      <c r="J149" s="452">
        <f>J139</f>
        <v>1265366854374</v>
      </c>
      <c r="M149" s="1925">
        <f>SUM(F149:I149)</f>
        <v>1265366854374</v>
      </c>
      <c r="N149" s="1925">
        <f t="shared" si="5"/>
        <v>0</v>
      </c>
      <c r="R149" s="1925"/>
      <c r="S149" s="1925"/>
      <c r="T149" s="1925"/>
    </row>
    <row r="150" spans="3:20" ht="16.899999999999999" customHeight="1" x14ac:dyDescent="0.2">
      <c r="C150" s="1762" t="s">
        <v>2053</v>
      </c>
      <c r="D150" s="1993" t="s">
        <v>605</v>
      </c>
      <c r="E150" s="1998"/>
      <c r="F150" s="452"/>
      <c r="G150" s="452"/>
      <c r="H150" s="452"/>
      <c r="I150" s="452">
        <v>1628050936</v>
      </c>
      <c r="J150" s="452">
        <v>1628050936</v>
      </c>
      <c r="R150" s="1925"/>
      <c r="S150" s="1925"/>
      <c r="T150" s="1925"/>
    </row>
    <row r="151" spans="3:20" ht="16.899999999999999" customHeight="1" x14ac:dyDescent="0.2">
      <c r="C151" s="1762" t="s">
        <v>629</v>
      </c>
      <c r="D151" s="1993" t="s">
        <v>605</v>
      </c>
      <c r="E151" s="1990"/>
      <c r="F151" s="415">
        <v>10210663785</v>
      </c>
      <c r="G151" s="542"/>
      <c r="H151" s="415"/>
      <c r="I151" s="415">
        <f>143529598</f>
        <v>143529598</v>
      </c>
      <c r="J151" s="415">
        <v>10354193383</v>
      </c>
      <c r="M151" s="1925">
        <f t="shared" ref="M151:M189" si="7">SUM(F151:I151)</f>
        <v>10354193383</v>
      </c>
      <c r="N151" s="1925">
        <f t="shared" ref="N151:N152" si="8">J151-M151</f>
        <v>0</v>
      </c>
      <c r="R151" s="1925"/>
      <c r="S151" s="1925"/>
      <c r="T151" s="1925"/>
    </row>
    <row r="152" spans="3:20" ht="16.899999999999999" customHeight="1" x14ac:dyDescent="0.2">
      <c r="C152" s="1762" t="s">
        <v>1067</v>
      </c>
      <c r="D152" s="1993" t="s">
        <v>208</v>
      </c>
      <c r="E152" s="1979"/>
      <c r="F152" s="415">
        <v>41000000</v>
      </c>
      <c r="G152" s="415"/>
      <c r="H152" s="415"/>
      <c r="I152" s="415"/>
      <c r="J152" s="415">
        <v>41000000</v>
      </c>
      <c r="M152" s="1925">
        <f t="shared" si="7"/>
        <v>41000000</v>
      </c>
      <c r="N152" s="1925">
        <f t="shared" si="8"/>
        <v>0</v>
      </c>
      <c r="R152" s="1925"/>
      <c r="S152" s="1925"/>
      <c r="T152" s="1925"/>
    </row>
    <row r="153" spans="3:20" ht="16.899999999999999" customHeight="1" x14ac:dyDescent="0.4">
      <c r="C153" s="1762" t="s">
        <v>608</v>
      </c>
      <c r="D153" s="1993" t="s">
        <v>1290</v>
      </c>
      <c r="E153" s="1979"/>
      <c r="F153" s="1991">
        <v>266805998000</v>
      </c>
      <c r="G153" s="1991">
        <f>799152906404-376855203612</f>
        <v>422297702792</v>
      </c>
      <c r="H153" s="1991">
        <f>-279500902531+129500902531</f>
        <v>-150000000000</v>
      </c>
      <c r="I153" s="1991">
        <v>-449034790445</v>
      </c>
      <c r="J153" s="1991">
        <v>90068910347</v>
      </c>
      <c r="L153" s="1999"/>
      <c r="M153" s="1925">
        <f t="shared" si="7"/>
        <v>90068910347</v>
      </c>
      <c r="N153" s="1925">
        <f t="shared" ref="N153:N164" si="9">J153-M153</f>
        <v>0</v>
      </c>
      <c r="R153" s="1925"/>
      <c r="S153" s="1925"/>
      <c r="T153" s="1925"/>
    </row>
    <row r="154" spans="3:20" ht="16.899999999999999" customHeight="1" x14ac:dyDescent="0.2">
      <c r="C154" s="1914" t="s">
        <v>1078</v>
      </c>
      <c r="D154" s="2000" t="s">
        <v>1077</v>
      </c>
      <c r="E154" s="1996"/>
      <c r="F154" s="1991">
        <v>3035177367</v>
      </c>
      <c r="G154" s="1991"/>
      <c r="H154" s="542"/>
      <c r="I154" s="1991">
        <v>-720402715</v>
      </c>
      <c r="J154" s="1991">
        <v>2314774652</v>
      </c>
      <c r="M154" s="1925">
        <f t="shared" si="7"/>
        <v>2314774652</v>
      </c>
      <c r="N154" s="1925">
        <f t="shared" si="9"/>
        <v>0</v>
      </c>
      <c r="R154" s="1925"/>
      <c r="S154" s="1925"/>
      <c r="T154" s="1925"/>
    </row>
    <row r="155" spans="3:20" ht="16.899999999999999" customHeight="1" x14ac:dyDescent="0.2">
      <c r="C155" s="1914" t="s">
        <v>292</v>
      </c>
      <c r="D155" s="2000" t="s">
        <v>1079</v>
      </c>
      <c r="E155" s="1996"/>
      <c r="F155" s="1991">
        <v>683235150</v>
      </c>
      <c r="G155" s="1991"/>
      <c r="H155" s="1991"/>
      <c r="I155" s="1991"/>
      <c r="J155" s="1991">
        <v>683235150</v>
      </c>
      <c r="M155" s="1925">
        <f t="shared" si="7"/>
        <v>683235150</v>
      </c>
      <c r="N155" s="1925">
        <f t="shared" si="9"/>
        <v>0</v>
      </c>
      <c r="R155" s="1925"/>
      <c r="S155" s="1925"/>
      <c r="T155" s="1925"/>
    </row>
    <row r="156" spans="3:20" ht="16.899999999999999" customHeight="1" x14ac:dyDescent="0.2">
      <c r="C156" s="1914" t="s">
        <v>1080</v>
      </c>
      <c r="D156" s="1993" t="s">
        <v>1081</v>
      </c>
      <c r="E156" s="1996"/>
      <c r="F156" s="1991">
        <v>12973440684</v>
      </c>
      <c r="H156" s="1991"/>
      <c r="I156" s="1991">
        <v>38767910</v>
      </c>
      <c r="J156" s="1991">
        <v>13012208594</v>
      </c>
      <c r="M156" s="1925">
        <f t="shared" si="7"/>
        <v>13012208594</v>
      </c>
      <c r="N156" s="1925">
        <f t="shared" si="9"/>
        <v>0</v>
      </c>
      <c r="R156" s="1925"/>
      <c r="S156" s="1925"/>
      <c r="T156" s="1925"/>
    </row>
    <row r="157" spans="3:20" ht="19.899999999999999" customHeight="1" x14ac:dyDescent="0.2">
      <c r="C157" s="272" t="s">
        <v>554</v>
      </c>
      <c r="D157" s="1993" t="s">
        <v>553</v>
      </c>
      <c r="E157" s="1996"/>
      <c r="F157" s="1991">
        <v>0</v>
      </c>
      <c r="G157" s="1991"/>
      <c r="H157" s="1991"/>
      <c r="I157" s="1991"/>
      <c r="J157" s="1991">
        <v>0</v>
      </c>
      <c r="M157" s="1925">
        <f t="shared" si="7"/>
        <v>0</v>
      </c>
      <c r="N157" s="1925">
        <f t="shared" si="9"/>
        <v>0</v>
      </c>
      <c r="R157" s="1925"/>
      <c r="S157" s="1925"/>
      <c r="T157" s="1925"/>
    </row>
    <row r="158" spans="3:20" ht="19.899999999999999" customHeight="1" x14ac:dyDescent="0.2">
      <c r="C158" s="1784" t="s">
        <v>117</v>
      </c>
      <c r="D158" s="2001" t="s">
        <v>365</v>
      </c>
      <c r="E158" s="1996"/>
      <c r="F158" s="1991">
        <v>238000000</v>
      </c>
      <c r="G158" s="1991"/>
      <c r="H158" s="1991"/>
      <c r="I158" s="1991">
        <v>-238000000</v>
      </c>
      <c r="J158" s="1991">
        <v>0</v>
      </c>
      <c r="M158" s="1925">
        <f t="shared" si="7"/>
        <v>0</v>
      </c>
      <c r="N158" s="1925">
        <f t="shared" si="9"/>
        <v>0</v>
      </c>
      <c r="R158" s="1925"/>
      <c r="S158" s="1925"/>
      <c r="T158" s="1925"/>
    </row>
    <row r="159" spans="3:20" ht="21" customHeight="1" x14ac:dyDescent="0.2">
      <c r="C159" s="1762" t="s">
        <v>782</v>
      </c>
      <c r="D159" s="1993" t="s">
        <v>712</v>
      </c>
      <c r="E159" s="1996"/>
      <c r="F159" s="1991">
        <v>180000000</v>
      </c>
      <c r="G159" s="1991"/>
      <c r="H159" s="1991"/>
      <c r="I159" s="1991"/>
      <c r="J159" s="1991">
        <v>180000000</v>
      </c>
      <c r="M159" s="1925">
        <f t="shared" si="7"/>
        <v>180000000</v>
      </c>
      <c r="N159" s="1925">
        <f t="shared" si="9"/>
        <v>0</v>
      </c>
      <c r="R159" s="1925"/>
      <c r="S159" s="1925"/>
      <c r="T159" s="1925"/>
    </row>
    <row r="160" spans="3:20" ht="21" customHeight="1" x14ac:dyDescent="0.2">
      <c r="C160" s="1762" t="s">
        <v>628</v>
      </c>
      <c r="D160" s="1993" t="s">
        <v>604</v>
      </c>
      <c r="E160" s="1996"/>
      <c r="F160" s="1991">
        <v>54176211</v>
      </c>
      <c r="G160" s="1991"/>
      <c r="H160" s="1991"/>
      <c r="I160" s="1991">
        <v>-32784598</v>
      </c>
      <c r="J160" s="1991">
        <v>21391613</v>
      </c>
      <c r="M160" s="1925">
        <f t="shared" si="7"/>
        <v>21391613</v>
      </c>
      <c r="N160" s="1925">
        <f t="shared" si="9"/>
        <v>0</v>
      </c>
      <c r="R160" s="1925"/>
      <c r="S160" s="1925"/>
      <c r="T160" s="1925"/>
    </row>
    <row r="161" spans="3:20" ht="21" customHeight="1" x14ac:dyDescent="0.2">
      <c r="C161" s="1791" t="s">
        <v>908</v>
      </c>
      <c r="D161" s="2002" t="s">
        <v>330</v>
      </c>
      <c r="E161" s="1996"/>
      <c r="F161" s="1991">
        <v>5652515</v>
      </c>
      <c r="G161" s="1991"/>
      <c r="H161" s="1991"/>
      <c r="I161" s="1991"/>
      <c r="J161" s="1991">
        <v>5652515</v>
      </c>
      <c r="M161" s="1925">
        <f t="shared" si="7"/>
        <v>5652515</v>
      </c>
      <c r="N161" s="1925">
        <f t="shared" si="9"/>
        <v>0</v>
      </c>
      <c r="R161" s="1925"/>
      <c r="S161" s="1925"/>
      <c r="T161" s="1925"/>
    </row>
    <row r="162" spans="3:20" ht="21" customHeight="1" x14ac:dyDescent="0.2">
      <c r="C162" s="2003" t="s">
        <v>550</v>
      </c>
      <c r="D162" s="2004" t="s">
        <v>549</v>
      </c>
      <c r="E162" s="2005"/>
      <c r="F162" s="1943">
        <v>1449235714</v>
      </c>
      <c r="G162" s="1943"/>
      <c r="H162" s="1943"/>
      <c r="I162" s="1943">
        <v>-500360876</v>
      </c>
      <c r="J162" s="542">
        <v>948874838</v>
      </c>
      <c r="M162" s="1925">
        <f t="shared" si="7"/>
        <v>948874838</v>
      </c>
      <c r="N162" s="1925">
        <f t="shared" si="9"/>
        <v>0</v>
      </c>
      <c r="R162" s="1925"/>
      <c r="S162" s="1925"/>
      <c r="T162" s="1925"/>
    </row>
    <row r="163" spans="3:20" ht="21" customHeight="1" x14ac:dyDescent="0.2">
      <c r="C163" s="2003">
        <v>1501001020</v>
      </c>
      <c r="D163" s="2004" t="s">
        <v>1349</v>
      </c>
      <c r="E163" s="2006"/>
      <c r="F163" s="1991">
        <v>5653479282</v>
      </c>
      <c r="G163" s="1991"/>
      <c r="H163" s="1991"/>
      <c r="I163" s="1991"/>
      <c r="J163" s="1991">
        <v>5653479282</v>
      </c>
      <c r="M163" s="1925">
        <f t="shared" si="7"/>
        <v>5653479282</v>
      </c>
      <c r="N163" s="1925">
        <f t="shared" si="9"/>
        <v>0</v>
      </c>
      <c r="R163" s="1925"/>
      <c r="S163" s="1925"/>
      <c r="T163" s="1925"/>
    </row>
    <row r="164" spans="3:20" ht="21" customHeight="1" x14ac:dyDescent="0.2">
      <c r="C164" s="1791" t="s">
        <v>1402</v>
      </c>
      <c r="D164" s="2007" t="s">
        <v>1403</v>
      </c>
      <c r="E164" s="2006"/>
      <c r="F164" s="1991">
        <v>491333334</v>
      </c>
      <c r="G164" s="1991"/>
      <c r="H164" s="1991"/>
      <c r="I164" s="1991"/>
      <c r="J164" s="1991">
        <v>491333334</v>
      </c>
      <c r="M164" s="1925">
        <f t="shared" si="7"/>
        <v>491333334</v>
      </c>
      <c r="N164" s="1925">
        <f t="shared" si="9"/>
        <v>0</v>
      </c>
      <c r="R164" s="1925"/>
      <c r="S164" s="1925"/>
      <c r="T164" s="1925"/>
    </row>
    <row r="165" spans="3:20" ht="21" customHeight="1" x14ac:dyDescent="0.4">
      <c r="C165" s="2008" t="s">
        <v>2143</v>
      </c>
      <c r="D165" s="2009" t="s">
        <v>2142</v>
      </c>
      <c r="E165" s="1996"/>
      <c r="F165" s="1991"/>
      <c r="G165" s="1991"/>
      <c r="H165" s="1991"/>
      <c r="I165" s="1991">
        <v>2110049925</v>
      </c>
      <c r="J165" s="1991">
        <v>2110049925</v>
      </c>
      <c r="M165" s="1925">
        <f t="shared" si="7"/>
        <v>2110049925</v>
      </c>
      <c r="R165" s="1925"/>
      <c r="S165" s="1925"/>
      <c r="T165" s="1925"/>
    </row>
    <row r="166" spans="3:20" ht="21" customHeight="1" x14ac:dyDescent="0.4">
      <c r="C166" s="2010" t="s">
        <v>2057</v>
      </c>
      <c r="D166" s="2009" t="s">
        <v>2034</v>
      </c>
      <c r="E166" s="1996"/>
      <c r="F166" s="1991"/>
      <c r="G166" s="1991"/>
      <c r="H166" s="1991"/>
      <c r="I166" s="1991">
        <v>10508676716</v>
      </c>
      <c r="J166" s="1991">
        <v>10508676716</v>
      </c>
      <c r="M166" s="1925">
        <f t="shared" si="7"/>
        <v>10508676716</v>
      </c>
      <c r="R166" s="1925"/>
      <c r="S166" s="1925"/>
      <c r="T166" s="1925"/>
    </row>
    <row r="167" spans="3:20" ht="21" customHeight="1" x14ac:dyDescent="0.4">
      <c r="C167" s="2010" t="s">
        <v>2067</v>
      </c>
      <c r="D167" s="2009" t="s">
        <v>2045</v>
      </c>
      <c r="E167" s="1996"/>
      <c r="F167" s="1991"/>
      <c r="G167" s="1991"/>
      <c r="H167" s="1991"/>
      <c r="I167" s="1991">
        <v>8274446295</v>
      </c>
      <c r="J167" s="1991">
        <v>8274446295</v>
      </c>
      <c r="M167" s="1925">
        <f t="shared" si="7"/>
        <v>8274446295</v>
      </c>
      <c r="R167" s="1925"/>
      <c r="S167" s="1925"/>
      <c r="T167" s="1925"/>
    </row>
    <row r="168" spans="3:20" ht="21" customHeight="1" x14ac:dyDescent="0.4">
      <c r="C168" s="2010" t="s">
        <v>2150</v>
      </c>
      <c r="D168" s="2009" t="s">
        <v>2149</v>
      </c>
      <c r="E168" s="1996"/>
      <c r="F168" s="1991"/>
      <c r="G168" s="1991"/>
      <c r="H168" s="1991"/>
      <c r="I168" s="1991">
        <v>12237667872</v>
      </c>
      <c r="J168" s="1991">
        <v>12237667872</v>
      </c>
      <c r="M168" s="1925">
        <f t="shared" si="7"/>
        <v>12237667872</v>
      </c>
      <c r="R168" s="1925"/>
      <c r="S168" s="1925"/>
      <c r="T168" s="1925"/>
    </row>
    <row r="169" spans="3:20" ht="21" customHeight="1" x14ac:dyDescent="0.4">
      <c r="C169" s="2010" t="s">
        <v>2151</v>
      </c>
      <c r="D169" s="2009" t="s">
        <v>2144</v>
      </c>
      <c r="E169" s="1996"/>
      <c r="F169" s="1991"/>
      <c r="G169" s="1991"/>
      <c r="H169" s="1991"/>
      <c r="I169" s="1991">
        <v>3555066974</v>
      </c>
      <c r="J169" s="1991">
        <v>3555066974</v>
      </c>
      <c r="M169" s="1925">
        <f t="shared" si="7"/>
        <v>3555066974</v>
      </c>
      <c r="R169" s="1925"/>
      <c r="S169" s="1925"/>
      <c r="T169" s="1925"/>
    </row>
    <row r="170" spans="3:20" ht="21" customHeight="1" x14ac:dyDescent="0.4">
      <c r="C170" s="2010" t="s">
        <v>2152</v>
      </c>
      <c r="D170" s="2009" t="s">
        <v>2029</v>
      </c>
      <c r="E170" s="1996"/>
      <c r="F170" s="1991"/>
      <c r="G170" s="1991"/>
      <c r="H170" s="1991"/>
      <c r="I170" s="1991">
        <v>6869556563</v>
      </c>
      <c r="J170" s="1991">
        <v>6869556563</v>
      </c>
      <c r="M170" s="1925">
        <f t="shared" si="7"/>
        <v>6869556563</v>
      </c>
      <c r="R170" s="1925"/>
      <c r="S170" s="1925"/>
      <c r="T170" s="1925"/>
    </row>
    <row r="171" spans="3:20" ht="21" customHeight="1" x14ac:dyDescent="0.4">
      <c r="C171" s="2010" t="s">
        <v>2153</v>
      </c>
      <c r="D171" s="2009" t="s">
        <v>2036</v>
      </c>
      <c r="E171" s="1996"/>
      <c r="F171" s="1991"/>
      <c r="G171" s="1991"/>
      <c r="H171" s="1991"/>
      <c r="I171" s="1991">
        <v>8700092675</v>
      </c>
      <c r="J171" s="1991">
        <v>8700092675</v>
      </c>
      <c r="M171" s="1925">
        <f t="shared" si="7"/>
        <v>8700092675</v>
      </c>
      <c r="R171" s="1925"/>
      <c r="S171" s="1925"/>
      <c r="T171" s="1925"/>
    </row>
    <row r="172" spans="3:20" ht="21" customHeight="1" x14ac:dyDescent="0.4">
      <c r="C172" s="2010" t="s">
        <v>2154</v>
      </c>
      <c r="D172" s="2009" t="s">
        <v>2037</v>
      </c>
      <c r="E172" s="1996"/>
      <c r="F172" s="1991"/>
      <c r="G172" s="1991"/>
      <c r="H172" s="1991"/>
      <c r="I172" s="1991">
        <v>6650676261</v>
      </c>
      <c r="J172" s="1991">
        <v>6650676261</v>
      </c>
      <c r="M172" s="1925">
        <f t="shared" si="7"/>
        <v>6650676261</v>
      </c>
      <c r="R172" s="1925"/>
      <c r="S172" s="1925"/>
      <c r="T172" s="1925"/>
    </row>
    <row r="173" spans="3:20" ht="21" customHeight="1" x14ac:dyDescent="0.4">
      <c r="C173" s="2008" t="s">
        <v>2041</v>
      </c>
      <c r="D173" s="2009" t="s">
        <v>2040</v>
      </c>
      <c r="E173" s="1996"/>
      <c r="F173" s="1991"/>
      <c r="G173" s="1991"/>
      <c r="H173" s="1991"/>
      <c r="I173" s="1991">
        <v>80238711938</v>
      </c>
      <c r="J173" s="1991">
        <v>80238711938</v>
      </c>
      <c r="M173" s="1925">
        <f t="shared" si="7"/>
        <v>80238711938</v>
      </c>
      <c r="R173" s="1925"/>
      <c r="S173" s="1925"/>
      <c r="T173" s="1925"/>
    </row>
    <row r="174" spans="3:20" ht="21" customHeight="1" x14ac:dyDescent="0.4">
      <c r="C174" s="1762" t="s">
        <v>1089</v>
      </c>
      <c r="D174" s="2011" t="s">
        <v>2044</v>
      </c>
      <c r="E174" s="1996"/>
      <c r="F174" s="1991"/>
      <c r="G174" s="1991"/>
      <c r="H174" s="1991"/>
      <c r="I174" s="1991">
        <v>2426500242</v>
      </c>
      <c r="J174" s="1991">
        <v>2426500242</v>
      </c>
      <c r="M174" s="1925">
        <f t="shared" si="7"/>
        <v>2426500242</v>
      </c>
      <c r="R174" s="1925"/>
      <c r="S174" s="1925"/>
      <c r="T174" s="1925"/>
    </row>
    <row r="175" spans="3:20" ht="21" customHeight="1" x14ac:dyDescent="0.4">
      <c r="C175" s="2010" t="s">
        <v>555</v>
      </c>
      <c r="D175" s="2009" t="s">
        <v>938</v>
      </c>
      <c r="E175" s="1996"/>
      <c r="F175" s="1991"/>
      <c r="G175" s="1991"/>
      <c r="H175" s="1991"/>
      <c r="I175" s="1991">
        <v>7557796042</v>
      </c>
      <c r="J175" s="1991">
        <v>7557796042</v>
      </c>
      <c r="M175" s="1925">
        <f t="shared" si="7"/>
        <v>7557796042</v>
      </c>
      <c r="R175" s="1925"/>
      <c r="S175" s="1925"/>
      <c r="T175" s="1925"/>
    </row>
    <row r="176" spans="3:20" ht="19.149999999999999" customHeight="1" x14ac:dyDescent="0.2">
      <c r="C176" s="3396" t="s">
        <v>221</v>
      </c>
      <c r="D176" s="3397"/>
      <c r="E176" s="3398"/>
      <c r="F176" s="456">
        <f>SUM(F149:F175)+1000000</f>
        <v>1207359070208</v>
      </c>
      <c r="G176" s="456">
        <f>SUM(G149:G175)+1000000</f>
        <v>1163794653675</v>
      </c>
      <c r="H176" s="456">
        <f>SUM(H149:H175)+1000000</f>
        <v>-833461960201</v>
      </c>
      <c r="I176" s="456">
        <f>SUM(I149:I175)</f>
        <v>2210436839</v>
      </c>
      <c r="J176" s="456">
        <f>SUM(J149:J175)+1000000</f>
        <v>1539900200521</v>
      </c>
      <c r="M176" s="1925">
        <f t="shared" si="7"/>
        <v>1539902200521</v>
      </c>
      <c r="N176" s="1925">
        <f t="shared" ref="N176:N189" si="10">J176-M176</f>
        <v>-2000000</v>
      </c>
      <c r="R176" s="1925"/>
      <c r="S176" s="1925"/>
      <c r="T176" s="1925"/>
    </row>
    <row r="177" spans="1:20" ht="19.149999999999999" customHeight="1" x14ac:dyDescent="0.2">
      <c r="C177" s="1895">
        <v>1503002046</v>
      </c>
      <c r="D177" s="1951" t="s">
        <v>83</v>
      </c>
      <c r="E177" s="1979"/>
      <c r="F177" s="449">
        <v>674150110</v>
      </c>
      <c r="G177" s="449"/>
      <c r="H177" s="449"/>
      <c r="I177" s="449"/>
      <c r="J177" s="449">
        <v>674150110</v>
      </c>
      <c r="M177" s="1925">
        <f t="shared" si="7"/>
        <v>674150110</v>
      </c>
      <c r="N177" s="1925">
        <f t="shared" si="10"/>
        <v>0</v>
      </c>
      <c r="R177" s="1925"/>
      <c r="S177" s="1925"/>
      <c r="T177" s="1925"/>
    </row>
    <row r="178" spans="1:20" ht="19.149999999999999" customHeight="1" x14ac:dyDescent="0.2">
      <c r="C178" s="1895">
        <v>1307006001</v>
      </c>
      <c r="D178" s="1951" t="s">
        <v>87</v>
      </c>
      <c r="E178" s="1979"/>
      <c r="F178" s="449">
        <v>68419550</v>
      </c>
      <c r="G178" s="449"/>
      <c r="H178" s="449"/>
      <c r="I178" s="449"/>
      <c r="J178" s="449">
        <v>68419550</v>
      </c>
      <c r="M178" s="1925">
        <f t="shared" si="7"/>
        <v>68419550</v>
      </c>
      <c r="N178" s="1925">
        <f t="shared" si="10"/>
        <v>0</v>
      </c>
      <c r="R178" s="1925"/>
      <c r="S178" s="1925"/>
      <c r="T178" s="1925"/>
    </row>
    <row r="179" spans="1:20" ht="19.149999999999999" customHeight="1" x14ac:dyDescent="0.2">
      <c r="C179" s="1895" t="s">
        <v>98</v>
      </c>
      <c r="D179" s="1951" t="s">
        <v>219</v>
      </c>
      <c r="E179" s="1979"/>
      <c r="F179" s="449">
        <v>283723176</v>
      </c>
      <c r="G179" s="449"/>
      <c r="H179" s="449"/>
      <c r="I179" s="449"/>
      <c r="J179" s="449">
        <v>283723176</v>
      </c>
      <c r="M179" s="1925">
        <f t="shared" si="7"/>
        <v>283723176</v>
      </c>
      <c r="N179" s="1925">
        <f t="shared" si="10"/>
        <v>0</v>
      </c>
      <c r="R179" s="1925"/>
      <c r="S179" s="1925"/>
      <c r="T179" s="1925"/>
    </row>
    <row r="180" spans="1:20" ht="19.149999999999999" customHeight="1" x14ac:dyDescent="0.2">
      <c r="C180" s="1895" t="s">
        <v>206</v>
      </c>
      <c r="D180" s="1951" t="s">
        <v>207</v>
      </c>
      <c r="E180" s="1979"/>
      <c r="F180" s="416">
        <v>79803204</v>
      </c>
      <c r="G180" s="416"/>
      <c r="H180" s="416"/>
      <c r="I180" s="416"/>
      <c r="J180" s="416">
        <v>79803204</v>
      </c>
      <c r="M180" s="1925">
        <f t="shared" si="7"/>
        <v>79803204</v>
      </c>
      <c r="N180" s="1925">
        <f t="shared" si="10"/>
        <v>0</v>
      </c>
      <c r="R180" s="1925"/>
      <c r="S180" s="1925"/>
      <c r="T180" s="1925"/>
    </row>
    <row r="181" spans="1:20" ht="19.149999999999999" customHeight="1" x14ac:dyDescent="0.2">
      <c r="C181" s="1895" t="s">
        <v>346</v>
      </c>
      <c r="D181" s="2012" t="s">
        <v>289</v>
      </c>
      <c r="E181" s="1979"/>
      <c r="F181" s="416">
        <v>119501710356</v>
      </c>
      <c r="G181" s="416">
        <v>82975723369</v>
      </c>
      <c r="H181" s="416">
        <v>-150000000000</v>
      </c>
      <c r="I181" s="416"/>
      <c r="J181" s="416">
        <v>52477433725</v>
      </c>
      <c r="M181" s="1925">
        <f t="shared" si="7"/>
        <v>52477433725</v>
      </c>
      <c r="N181" s="1925">
        <f t="shared" si="10"/>
        <v>0</v>
      </c>
      <c r="R181" s="1925"/>
      <c r="S181" s="1925"/>
      <c r="T181" s="1925"/>
    </row>
    <row r="182" spans="1:20" ht="19.149999999999999" customHeight="1" x14ac:dyDescent="0.2">
      <c r="C182" s="1762" t="s">
        <v>548</v>
      </c>
      <c r="D182" s="1993" t="s">
        <v>547</v>
      </c>
      <c r="E182" s="1979"/>
      <c r="F182" s="416">
        <v>5779141307</v>
      </c>
      <c r="G182" s="416"/>
      <c r="H182" s="416"/>
      <c r="I182" s="416">
        <v>-2210436839</v>
      </c>
      <c r="J182" s="416">
        <v>3568704468</v>
      </c>
      <c r="M182" s="1925">
        <f t="shared" si="7"/>
        <v>3568704468</v>
      </c>
      <c r="N182" s="1925">
        <f t="shared" si="10"/>
        <v>0</v>
      </c>
      <c r="R182" s="1925"/>
      <c r="S182" s="1925"/>
      <c r="T182" s="1925"/>
    </row>
    <row r="183" spans="1:20" ht="20.45" customHeight="1" x14ac:dyDescent="0.2">
      <c r="C183" s="1762" t="s">
        <v>626</v>
      </c>
      <c r="D183" s="1993" t="s">
        <v>602</v>
      </c>
      <c r="E183" s="1979"/>
      <c r="F183" s="416">
        <v>2876448719</v>
      </c>
      <c r="G183" s="416"/>
      <c r="H183" s="416"/>
      <c r="I183" s="416"/>
      <c r="J183" s="416">
        <v>2876448719</v>
      </c>
      <c r="M183" s="1925">
        <f t="shared" si="7"/>
        <v>2876448719</v>
      </c>
      <c r="N183" s="1925">
        <f t="shared" si="10"/>
        <v>0</v>
      </c>
      <c r="R183" s="1925"/>
      <c r="S183" s="1925"/>
      <c r="T183" s="1925"/>
    </row>
    <row r="184" spans="1:20" ht="17.45" customHeight="1" x14ac:dyDescent="0.2">
      <c r="C184" s="1762" t="s">
        <v>608</v>
      </c>
      <c r="D184" s="1993" t="s">
        <v>1145</v>
      </c>
      <c r="E184" s="1979"/>
      <c r="F184" s="416">
        <v>15517320964</v>
      </c>
      <c r="G184" s="416">
        <v>376855203612</v>
      </c>
      <c r="H184" s="416">
        <v>-129500902531</v>
      </c>
      <c r="I184" s="416"/>
      <c r="J184" s="416">
        <v>262871622045</v>
      </c>
      <c r="M184" s="1925">
        <f t="shared" si="7"/>
        <v>262871622045</v>
      </c>
      <c r="N184" s="1925">
        <f t="shared" si="10"/>
        <v>0</v>
      </c>
      <c r="R184" s="1925"/>
      <c r="S184" s="1925"/>
      <c r="T184" s="1925"/>
    </row>
    <row r="185" spans="1:20" ht="17.45" customHeight="1" x14ac:dyDescent="0.2">
      <c r="C185" s="1939">
        <v>1503002173</v>
      </c>
      <c r="D185" s="1940" t="s">
        <v>85</v>
      </c>
      <c r="E185" s="1979"/>
      <c r="F185" s="416">
        <v>10000000000</v>
      </c>
      <c r="G185" s="416"/>
      <c r="H185" s="416"/>
      <c r="I185" s="416"/>
      <c r="J185" s="416">
        <v>10000000000</v>
      </c>
      <c r="M185" s="1925">
        <f t="shared" si="7"/>
        <v>10000000000</v>
      </c>
      <c r="N185" s="1925">
        <f t="shared" si="10"/>
        <v>0</v>
      </c>
      <c r="R185" s="1925"/>
      <c r="S185" s="1925"/>
      <c r="T185" s="1925"/>
    </row>
    <row r="186" spans="1:20" ht="15.6" customHeight="1" x14ac:dyDescent="0.2">
      <c r="C186" s="477" t="s">
        <v>540</v>
      </c>
      <c r="D186" s="1951" t="s">
        <v>541</v>
      </c>
      <c r="E186" s="1979"/>
      <c r="F186" s="416">
        <v>2805905165</v>
      </c>
      <c r="G186" s="416"/>
      <c r="H186" s="416"/>
      <c r="I186" s="416"/>
      <c r="J186" s="416">
        <v>2805905165</v>
      </c>
      <c r="M186" s="1925">
        <f t="shared" si="7"/>
        <v>2805905165</v>
      </c>
      <c r="N186" s="1925">
        <f t="shared" si="10"/>
        <v>0</v>
      </c>
      <c r="R186" s="1925"/>
      <c r="S186" s="1925"/>
      <c r="T186" s="1925"/>
    </row>
    <row r="187" spans="1:20" ht="19.899999999999999" hidden="1" customHeight="1" x14ac:dyDescent="0.2">
      <c r="C187" s="3399" t="s">
        <v>1127</v>
      </c>
      <c r="D187" s="3400"/>
      <c r="E187" s="1979"/>
      <c r="F187" s="416" t="s">
        <v>30</v>
      </c>
      <c r="G187" s="416"/>
      <c r="H187" s="416"/>
      <c r="I187" s="416" t="e">
        <v>#VALUE!</v>
      </c>
      <c r="J187" s="416" t="s">
        <v>30</v>
      </c>
      <c r="M187" s="1925" t="e">
        <f t="shared" si="7"/>
        <v>#VALUE!</v>
      </c>
      <c r="N187" s="1925" t="e">
        <f t="shared" si="10"/>
        <v>#VALUE!</v>
      </c>
      <c r="R187" s="1925"/>
      <c r="S187" s="1925"/>
      <c r="T187" s="1925"/>
    </row>
    <row r="188" spans="1:20" ht="18" customHeight="1" x14ac:dyDescent="0.2">
      <c r="C188" s="3394" t="s">
        <v>222</v>
      </c>
      <c r="D188" s="3394"/>
      <c r="E188" s="3394"/>
      <c r="F188" s="1943">
        <f>SUM(F177:F187)</f>
        <v>157586622551</v>
      </c>
      <c r="G188" s="1943">
        <f>SUM(G177:G187)</f>
        <v>459830926981</v>
      </c>
      <c r="H188" s="1943">
        <f>SUM(H177:H187)</f>
        <v>-279500902531</v>
      </c>
      <c r="I188" s="1943">
        <f>I182</f>
        <v>-2210436839</v>
      </c>
      <c r="J188" s="1943">
        <f>SUM(J177:J187)</f>
        <v>335706210162</v>
      </c>
      <c r="M188" s="1925">
        <f t="shared" si="7"/>
        <v>335706210162</v>
      </c>
      <c r="N188" s="1925">
        <f t="shared" si="10"/>
        <v>0</v>
      </c>
      <c r="R188" s="1925"/>
      <c r="S188" s="1925"/>
      <c r="T188" s="1925"/>
    </row>
    <row r="189" spans="1:20" ht="18" customHeight="1" thickBot="1" x14ac:dyDescent="0.25">
      <c r="C189" s="3395" t="s">
        <v>195</v>
      </c>
      <c r="D189" s="3395"/>
      <c r="E189" s="3395"/>
      <c r="F189" s="2013">
        <f>F176+F188-1000000</f>
        <v>1364944692759</v>
      </c>
      <c r="G189" s="2013">
        <f>G176+G188</f>
        <v>1623625580656</v>
      </c>
      <c r="H189" s="2013">
        <f>H176+H188</f>
        <v>-1112962862732</v>
      </c>
      <c r="I189" s="2013" t="s">
        <v>30</v>
      </c>
      <c r="J189" s="2013">
        <f>J176+J188</f>
        <v>1875606410683</v>
      </c>
      <c r="M189" s="1925">
        <f t="shared" si="7"/>
        <v>1875607410683</v>
      </c>
      <c r="N189" s="1925">
        <f t="shared" si="10"/>
        <v>-1000000</v>
      </c>
      <c r="R189" s="1925"/>
      <c r="S189" s="1925"/>
      <c r="T189" s="1925"/>
    </row>
    <row r="190" spans="1:20" s="1586" customFormat="1" ht="18" customHeight="1" thickTop="1" x14ac:dyDescent="0.2">
      <c r="C190" s="3371" t="s">
        <v>1933</v>
      </c>
      <c r="D190" s="3371"/>
      <c r="E190" s="3371"/>
      <c r="F190" s="3371"/>
      <c r="G190" s="3371"/>
      <c r="H190" s="3371"/>
      <c r="I190" s="3371"/>
      <c r="J190" s="3371"/>
      <c r="O190" s="1925"/>
      <c r="P190" s="1925"/>
    </row>
    <row r="191" spans="1:20" ht="18" customHeight="1" x14ac:dyDescent="0.2">
      <c r="A191" s="3363">
        <v>28000000</v>
      </c>
      <c r="B191" s="3363"/>
      <c r="C191" s="3363"/>
      <c r="D191" s="3363"/>
      <c r="E191" s="3363"/>
      <c r="F191" s="3363"/>
      <c r="G191" s="3363"/>
      <c r="H191" s="3363"/>
      <c r="I191" s="3363"/>
      <c r="J191" s="3363"/>
      <c r="N191" s="1925">
        <f>J191-M191</f>
        <v>0</v>
      </c>
      <c r="R191" s="1925"/>
      <c r="S191" s="1925"/>
      <c r="T191" s="1925"/>
    </row>
    <row r="192" spans="1:20" ht="15.75" customHeight="1" x14ac:dyDescent="0.2">
      <c r="H192" s="1925">
        <f>-H189</f>
        <v>1112962862732</v>
      </c>
      <c r="L192" s="458"/>
      <c r="R192" s="1925"/>
      <c r="S192" s="1925"/>
      <c r="T192" s="1925"/>
    </row>
    <row r="193" spans="3:20" ht="15.75" customHeight="1" x14ac:dyDescent="0.2">
      <c r="I193" s="3362" t="s">
        <v>1277</v>
      </c>
      <c r="J193" s="3362"/>
      <c r="R193" s="1925"/>
      <c r="S193" s="1925"/>
      <c r="T193" s="1925"/>
    </row>
    <row r="194" spans="3:20" ht="15.75" customHeight="1" x14ac:dyDescent="0.2">
      <c r="H194" s="458">
        <f>SUM(H192:H193)</f>
        <v>1112962862732</v>
      </c>
      <c r="R194" s="1925"/>
      <c r="S194" s="1925"/>
      <c r="T194" s="1925"/>
    </row>
    <row r="195" spans="3:20" ht="15.75" customHeight="1" x14ac:dyDescent="0.2">
      <c r="H195" s="458">
        <v>0</v>
      </c>
      <c r="I195" s="3362" t="s">
        <v>1278</v>
      </c>
      <c r="J195" s="3362"/>
      <c r="R195" s="1925"/>
      <c r="S195" s="1925"/>
      <c r="T195" s="1925"/>
    </row>
    <row r="196" spans="3:20" ht="15.75" customHeight="1" x14ac:dyDescent="0.2">
      <c r="H196" s="458">
        <f>H194-H195</f>
        <v>1112962862732</v>
      </c>
      <c r="M196" s="1925">
        <v>264484081251</v>
      </c>
      <c r="R196" s="1925"/>
      <c r="S196" s="1925"/>
      <c r="T196" s="1925"/>
    </row>
    <row r="197" spans="3:20" ht="15.75" customHeight="1" thickBot="1" x14ac:dyDescent="0.25">
      <c r="J197" s="2015"/>
      <c r="R197" s="1925"/>
      <c r="S197" s="1925"/>
      <c r="T197" s="1925"/>
    </row>
    <row r="198" spans="3:20" ht="15.75" customHeight="1" x14ac:dyDescent="0.2">
      <c r="J198" s="1931">
        <f>J197-H198</f>
        <v>0</v>
      </c>
      <c r="R198" s="1925"/>
      <c r="S198" s="1925"/>
      <c r="T198" s="1925"/>
    </row>
    <row r="199" spans="3:20" ht="15.6" customHeight="1" x14ac:dyDescent="0.2">
      <c r="C199" s="3391" t="s">
        <v>1183</v>
      </c>
      <c r="D199" s="3391"/>
      <c r="E199" s="3391"/>
      <c r="F199" s="3391"/>
      <c r="G199" s="3391"/>
      <c r="H199" s="3391"/>
      <c r="I199" s="3391"/>
      <c r="J199" s="3391"/>
      <c r="R199" s="1925"/>
      <c r="S199" s="1925"/>
      <c r="T199" s="1925"/>
    </row>
    <row r="200" spans="3:20" ht="15.6" hidden="1" customHeight="1" x14ac:dyDescent="0.2">
      <c r="R200" s="1925"/>
      <c r="S200" s="1925"/>
      <c r="T200" s="1925"/>
    </row>
    <row r="201" spans="3:20" ht="15.75" hidden="1" customHeight="1" x14ac:dyDescent="0.2">
      <c r="C201" s="2016" t="s">
        <v>244</v>
      </c>
      <c r="D201" s="1956" t="s">
        <v>245</v>
      </c>
      <c r="E201" s="1954"/>
      <c r="F201" s="1943"/>
      <c r="G201" s="1931"/>
      <c r="H201" s="1931"/>
      <c r="I201" s="1931"/>
      <c r="J201" s="418">
        <v>188546786</v>
      </c>
      <c r="R201" s="1925"/>
      <c r="S201" s="1925"/>
      <c r="T201" s="1925"/>
    </row>
    <row r="202" spans="3:20" ht="15.75" hidden="1" customHeight="1" x14ac:dyDescent="0.2">
      <c r="C202" s="1971" t="s">
        <v>165</v>
      </c>
      <c r="D202" s="1972" t="s">
        <v>212</v>
      </c>
      <c r="E202" s="1973"/>
      <c r="F202" s="1991"/>
      <c r="G202" s="1991"/>
      <c r="H202" s="1991"/>
      <c r="I202" s="1991"/>
      <c r="J202" s="452">
        <v>628000000</v>
      </c>
      <c r="R202" s="1925"/>
      <c r="S202" s="1925"/>
      <c r="T202" s="1925"/>
    </row>
    <row r="203" spans="3:20" ht="15.75" hidden="1" customHeight="1" x14ac:dyDescent="0.4">
      <c r="C203" s="1762" t="s">
        <v>608</v>
      </c>
      <c r="D203" s="2017" t="s">
        <v>595</v>
      </c>
      <c r="E203" s="1979"/>
      <c r="F203" s="415"/>
      <c r="G203" s="415"/>
      <c r="H203" s="415"/>
      <c r="I203" s="415"/>
      <c r="J203" s="417">
        <v>2239054786</v>
      </c>
      <c r="R203" s="1925"/>
      <c r="S203" s="1925"/>
      <c r="T203" s="1925"/>
    </row>
    <row r="204" spans="3:20" ht="15.75" hidden="1" customHeight="1" x14ac:dyDescent="0.4">
      <c r="C204" s="1762" t="s">
        <v>628</v>
      </c>
      <c r="D204" s="2017" t="s">
        <v>604</v>
      </c>
      <c r="E204" s="1979"/>
      <c r="F204" s="415"/>
      <c r="G204" s="415"/>
      <c r="H204" s="415"/>
      <c r="I204" s="415"/>
      <c r="J204" s="417">
        <v>234942138</v>
      </c>
      <c r="R204" s="1925"/>
      <c r="S204" s="1925"/>
      <c r="T204" s="1925"/>
    </row>
    <row r="205" spans="3:20" ht="15.75" hidden="1" customHeight="1" x14ac:dyDescent="0.4">
      <c r="C205" s="1762" t="s">
        <v>612</v>
      </c>
      <c r="D205" s="2017" t="s">
        <v>606</v>
      </c>
      <c r="E205" s="1979"/>
      <c r="F205" s="415"/>
      <c r="G205" s="415"/>
      <c r="H205" s="415"/>
      <c r="I205" s="415"/>
      <c r="J205" s="417">
        <v>202570091</v>
      </c>
      <c r="R205" s="1925"/>
      <c r="S205" s="1925"/>
      <c r="T205" s="1925"/>
    </row>
    <row r="206" spans="3:20" ht="15.75" hidden="1" customHeight="1" x14ac:dyDescent="0.2">
      <c r="C206" s="1925"/>
      <c r="E206" s="1925"/>
      <c r="F206" s="1925"/>
      <c r="G206" s="1925"/>
      <c r="H206" s="1925"/>
      <c r="I206" s="1925"/>
      <c r="J206" s="1925">
        <f>SUM(J201:J205)</f>
        <v>3493113801</v>
      </c>
      <c r="R206" s="1925"/>
      <c r="S206" s="1925"/>
      <c r="T206" s="1925"/>
    </row>
    <row r="207" spans="3:20" ht="15.75" hidden="1" customHeight="1" x14ac:dyDescent="0.2">
      <c r="R207" s="1925"/>
      <c r="S207" s="1925"/>
      <c r="T207" s="1925"/>
    </row>
    <row r="208" spans="3:20" ht="15.75" hidden="1" customHeight="1" x14ac:dyDescent="0.2">
      <c r="R208" s="1925"/>
      <c r="S208" s="1925"/>
      <c r="T208" s="1925"/>
    </row>
    <row r="209" spans="3:20" ht="15.75" hidden="1" customHeight="1" x14ac:dyDescent="0.2">
      <c r="R209" s="1925"/>
      <c r="S209" s="1925"/>
      <c r="T209" s="1925"/>
    </row>
    <row r="210" spans="3:20" ht="15.75" customHeight="1" x14ac:dyDescent="0.2">
      <c r="R210" s="1925"/>
      <c r="S210" s="1925"/>
      <c r="T210" s="1925"/>
    </row>
    <row r="211" spans="3:20" ht="15.75" customHeight="1" x14ac:dyDescent="0.2">
      <c r="R211" s="1925"/>
      <c r="S211" s="1925"/>
      <c r="T211" s="1925"/>
    </row>
    <row r="212" spans="3:20" ht="15.75" customHeight="1" x14ac:dyDescent="0.2">
      <c r="R212" s="1925"/>
      <c r="S212" s="1925"/>
      <c r="T212" s="1925"/>
    </row>
    <row r="213" spans="3:20" ht="15.75" customHeight="1" x14ac:dyDescent="0.2">
      <c r="R213" s="1925"/>
      <c r="S213" s="1925"/>
      <c r="T213" s="1925"/>
    </row>
    <row r="214" spans="3:20" ht="15.75" customHeight="1" x14ac:dyDescent="0.4">
      <c r="C214" s="1925"/>
      <c r="E214" s="2018"/>
      <c r="F214" s="2018"/>
      <c r="G214" s="2018"/>
      <c r="H214" s="2018"/>
      <c r="I214" s="2019"/>
      <c r="R214" s="1925"/>
      <c r="S214" s="1925"/>
      <c r="T214" s="1925"/>
    </row>
    <row r="215" spans="3:20" ht="15.75" customHeight="1" x14ac:dyDescent="0.2">
      <c r="R215" s="1925"/>
      <c r="S215" s="1925"/>
      <c r="T215" s="1925"/>
    </row>
    <row r="216" spans="3:20" ht="15.75" customHeight="1" x14ac:dyDescent="0.2">
      <c r="R216" s="1925"/>
      <c r="S216" s="1925"/>
      <c r="T216" s="1925"/>
    </row>
    <row r="217" spans="3:20" ht="15.75" customHeight="1" x14ac:dyDescent="0.2">
      <c r="R217" s="1925"/>
      <c r="S217" s="1925"/>
      <c r="T217" s="1925"/>
    </row>
    <row r="218" spans="3:20" ht="15.75" customHeight="1" x14ac:dyDescent="0.2">
      <c r="R218" s="1925"/>
      <c r="S218" s="1925"/>
      <c r="T218" s="1925"/>
    </row>
    <row r="219" spans="3:20" ht="15.75" customHeight="1" x14ac:dyDescent="0.2">
      <c r="R219" s="1925"/>
      <c r="S219" s="1925"/>
      <c r="T219" s="1925"/>
    </row>
    <row r="220" spans="3:20" ht="15.75" customHeight="1" x14ac:dyDescent="0.2">
      <c r="R220" s="1925"/>
      <c r="S220" s="1925"/>
      <c r="T220" s="1925"/>
    </row>
    <row r="221" spans="3:20" ht="15.75" customHeight="1" x14ac:dyDescent="0.2">
      <c r="R221" s="1925"/>
      <c r="S221" s="1925"/>
      <c r="T221" s="1925"/>
    </row>
    <row r="222" spans="3:20" ht="15.75" customHeight="1" x14ac:dyDescent="0.2">
      <c r="R222" s="1925"/>
      <c r="S222" s="1925"/>
      <c r="T222" s="1925"/>
    </row>
    <row r="223" spans="3:20" ht="15.75" customHeight="1" x14ac:dyDescent="0.2">
      <c r="R223" s="1925"/>
      <c r="S223" s="1925"/>
      <c r="T223" s="1925"/>
    </row>
    <row r="224" spans="3:20" ht="15.75" customHeight="1" x14ac:dyDescent="0.2">
      <c r="R224" s="1925"/>
      <c r="S224" s="1925"/>
      <c r="T224" s="1925"/>
    </row>
    <row r="225" spans="18:20" ht="15.75" customHeight="1" x14ac:dyDescent="0.2">
      <c r="R225" s="1925"/>
      <c r="S225" s="1925"/>
      <c r="T225" s="1925"/>
    </row>
    <row r="226" spans="18:20" ht="15.75" customHeight="1" x14ac:dyDescent="0.2">
      <c r="R226" s="1925"/>
      <c r="S226" s="1925"/>
      <c r="T226" s="1925"/>
    </row>
    <row r="227" spans="18:20" ht="15.75" customHeight="1" x14ac:dyDescent="0.2">
      <c r="R227" s="1925"/>
      <c r="S227" s="1925"/>
      <c r="T227" s="1925"/>
    </row>
    <row r="228" spans="18:20" ht="15.75" customHeight="1" x14ac:dyDescent="0.2">
      <c r="R228" s="1925"/>
      <c r="S228" s="1925"/>
      <c r="T228" s="1925"/>
    </row>
    <row r="229" spans="18:20" ht="15.75" customHeight="1" x14ac:dyDescent="0.2">
      <c r="R229" s="1925"/>
      <c r="S229" s="1925"/>
      <c r="T229" s="1925"/>
    </row>
    <row r="230" spans="18:20" ht="15.75" customHeight="1" x14ac:dyDescent="0.2">
      <c r="R230" s="1925"/>
      <c r="S230" s="1925"/>
      <c r="T230" s="1925"/>
    </row>
    <row r="231" spans="18:20" ht="15.75" customHeight="1" x14ac:dyDescent="0.2">
      <c r="R231" s="1925"/>
      <c r="S231" s="1925"/>
      <c r="T231" s="1925"/>
    </row>
    <row r="232" spans="18:20" ht="15.75" customHeight="1" x14ac:dyDescent="0.2">
      <c r="R232" s="1925"/>
      <c r="S232" s="1925"/>
      <c r="T232" s="1925"/>
    </row>
    <row r="233" spans="18:20" ht="15.75" customHeight="1" x14ac:dyDescent="0.2">
      <c r="R233" s="1925"/>
      <c r="S233" s="1925"/>
      <c r="T233" s="1925"/>
    </row>
    <row r="234" spans="18:20" ht="15.75" customHeight="1" x14ac:dyDescent="0.2">
      <c r="R234" s="1925"/>
      <c r="S234" s="1925"/>
      <c r="T234" s="1925"/>
    </row>
    <row r="235" spans="18:20" ht="15.75" customHeight="1" x14ac:dyDescent="0.2">
      <c r="R235" s="1925"/>
      <c r="S235" s="1925"/>
      <c r="T235" s="1925"/>
    </row>
    <row r="236" spans="18:20" ht="15.75" customHeight="1" x14ac:dyDescent="0.2">
      <c r="R236" s="1925"/>
      <c r="S236" s="1925"/>
      <c r="T236" s="1925"/>
    </row>
    <row r="237" spans="18:20" ht="15.75" customHeight="1" x14ac:dyDescent="0.2">
      <c r="R237" s="1925"/>
      <c r="S237" s="1925"/>
      <c r="T237" s="1925"/>
    </row>
    <row r="238" spans="18:20" ht="15.75" customHeight="1" x14ac:dyDescent="0.2">
      <c r="R238" s="1925"/>
      <c r="S238" s="1925"/>
      <c r="T238" s="1925"/>
    </row>
    <row r="239" spans="18:20" ht="15.75" customHeight="1" x14ac:dyDescent="0.2">
      <c r="R239" s="1925"/>
      <c r="S239" s="1925"/>
      <c r="T239" s="1925"/>
    </row>
    <row r="240" spans="18:20" ht="15.75" customHeight="1" x14ac:dyDescent="0.2">
      <c r="R240" s="1925"/>
      <c r="S240" s="1925"/>
      <c r="T240" s="1925"/>
    </row>
    <row r="241" spans="18:20" ht="15.75" customHeight="1" x14ac:dyDescent="0.2">
      <c r="R241" s="1925"/>
      <c r="S241" s="1925"/>
      <c r="T241" s="1925"/>
    </row>
    <row r="242" spans="18:20" ht="15.75" customHeight="1" x14ac:dyDescent="0.2">
      <c r="R242" s="1925"/>
      <c r="S242" s="1925"/>
      <c r="T242" s="1925"/>
    </row>
    <row r="243" spans="18:20" ht="15.75" customHeight="1" x14ac:dyDescent="0.2">
      <c r="R243" s="1925"/>
      <c r="S243" s="1925"/>
      <c r="T243" s="1925"/>
    </row>
    <row r="244" spans="18:20" ht="15.75" customHeight="1" x14ac:dyDescent="0.2">
      <c r="R244" s="1925"/>
      <c r="S244" s="1925"/>
      <c r="T244" s="1925"/>
    </row>
    <row r="245" spans="18:20" ht="15.75" customHeight="1" x14ac:dyDescent="0.2">
      <c r="R245" s="1925"/>
      <c r="S245" s="1925"/>
      <c r="T245" s="1925"/>
    </row>
    <row r="246" spans="18:20" ht="15.75" customHeight="1" x14ac:dyDescent="0.2">
      <c r="R246" s="1925"/>
      <c r="S246" s="1925"/>
      <c r="T246" s="1925"/>
    </row>
    <row r="247" spans="18:20" ht="15.75" customHeight="1" x14ac:dyDescent="0.2">
      <c r="R247" s="1925"/>
      <c r="S247" s="1925"/>
      <c r="T247" s="1925"/>
    </row>
    <row r="248" spans="18:20" ht="15.75" customHeight="1" x14ac:dyDescent="0.2">
      <c r="R248" s="1925"/>
      <c r="S248" s="1925"/>
      <c r="T248" s="1925"/>
    </row>
    <row r="249" spans="18:20" ht="15.75" customHeight="1" x14ac:dyDescent="0.2">
      <c r="R249" s="1925"/>
      <c r="S249" s="1925"/>
      <c r="T249" s="1925"/>
    </row>
    <row r="250" spans="18:20" ht="15.75" customHeight="1" x14ac:dyDescent="0.2">
      <c r="R250" s="1925"/>
      <c r="S250" s="1925"/>
      <c r="T250" s="1925"/>
    </row>
    <row r="251" spans="18:20" ht="15.75" customHeight="1" x14ac:dyDescent="0.2">
      <c r="R251" s="1925"/>
      <c r="S251" s="1925"/>
      <c r="T251" s="1925"/>
    </row>
    <row r="252" spans="18:20" ht="15.75" customHeight="1" x14ac:dyDescent="0.2">
      <c r="R252" s="1925"/>
      <c r="S252" s="1925"/>
      <c r="T252" s="1925"/>
    </row>
    <row r="253" spans="18:20" ht="15.75" customHeight="1" x14ac:dyDescent="0.2">
      <c r="R253" s="1925"/>
      <c r="S253" s="1925"/>
      <c r="T253" s="1925"/>
    </row>
    <row r="254" spans="18:20" ht="15.75" customHeight="1" x14ac:dyDescent="0.2">
      <c r="R254" s="1925"/>
      <c r="S254" s="1925"/>
      <c r="T254" s="1925"/>
    </row>
    <row r="255" spans="18:20" ht="15.75" customHeight="1" x14ac:dyDescent="0.2">
      <c r="R255" s="1925"/>
      <c r="S255" s="1925"/>
      <c r="T255" s="1925"/>
    </row>
    <row r="256" spans="18:20" ht="15.75" customHeight="1" x14ac:dyDescent="0.2">
      <c r="R256" s="1925"/>
      <c r="S256" s="1925"/>
      <c r="T256" s="1925"/>
    </row>
    <row r="257" spans="18:20" ht="15.75" customHeight="1" x14ac:dyDescent="0.2">
      <c r="R257" s="1925"/>
      <c r="S257" s="1925"/>
      <c r="T257" s="1925"/>
    </row>
    <row r="258" spans="18:20" ht="15.75" customHeight="1" x14ac:dyDescent="0.2">
      <c r="R258" s="1925"/>
      <c r="S258" s="1925"/>
      <c r="T258" s="1925"/>
    </row>
    <row r="259" spans="18:20" ht="15.75" customHeight="1" x14ac:dyDescent="0.2">
      <c r="R259" s="1925"/>
      <c r="S259" s="1925"/>
      <c r="T259" s="1925"/>
    </row>
    <row r="260" spans="18:20" ht="15.75" customHeight="1" x14ac:dyDescent="0.2">
      <c r="R260" s="1925"/>
      <c r="S260" s="1925"/>
      <c r="T260" s="1925"/>
    </row>
    <row r="261" spans="18:20" ht="15.75" customHeight="1" x14ac:dyDescent="0.2">
      <c r="R261" s="1925"/>
      <c r="S261" s="1925"/>
      <c r="T261" s="1925"/>
    </row>
    <row r="262" spans="18:20" ht="15.75" customHeight="1" x14ac:dyDescent="0.2">
      <c r="R262" s="1925"/>
      <c r="S262" s="1925"/>
      <c r="T262" s="1925"/>
    </row>
    <row r="263" spans="18:20" ht="15.75" customHeight="1" x14ac:dyDescent="0.2">
      <c r="R263" s="1925"/>
      <c r="S263" s="1925"/>
      <c r="T263" s="1925"/>
    </row>
    <row r="264" spans="18:20" ht="15.75" customHeight="1" x14ac:dyDescent="0.2">
      <c r="R264" s="1925"/>
      <c r="S264" s="1925"/>
      <c r="T264" s="1925"/>
    </row>
    <row r="265" spans="18:20" ht="15.75" customHeight="1" x14ac:dyDescent="0.2">
      <c r="R265" s="1925"/>
      <c r="S265" s="1925"/>
      <c r="T265" s="1925"/>
    </row>
    <row r="266" spans="18:20" ht="15.75" customHeight="1" x14ac:dyDescent="0.2">
      <c r="R266" s="1925"/>
      <c r="S266" s="1925"/>
      <c r="T266" s="1925"/>
    </row>
    <row r="267" spans="18:20" ht="15.75" customHeight="1" x14ac:dyDescent="0.2">
      <c r="R267" s="1925"/>
      <c r="S267" s="1925"/>
      <c r="T267" s="1925"/>
    </row>
    <row r="268" spans="18:20" ht="15.75" customHeight="1" x14ac:dyDescent="0.2">
      <c r="R268" s="1925"/>
      <c r="S268" s="1925"/>
      <c r="T268" s="1925"/>
    </row>
    <row r="269" spans="18:20" ht="15.75" customHeight="1" x14ac:dyDescent="0.2">
      <c r="R269" s="1925"/>
      <c r="S269" s="1925"/>
      <c r="T269" s="1925"/>
    </row>
    <row r="270" spans="18:20" ht="15.75" customHeight="1" x14ac:dyDescent="0.2">
      <c r="R270" s="1925"/>
      <c r="S270" s="1925"/>
      <c r="T270" s="1925"/>
    </row>
    <row r="271" spans="18:20" ht="15.75" customHeight="1" x14ac:dyDescent="0.2">
      <c r="R271" s="1925"/>
      <c r="S271" s="1925"/>
      <c r="T271" s="1925"/>
    </row>
    <row r="272" spans="18:20" ht="15.75" customHeight="1" x14ac:dyDescent="0.2">
      <c r="R272" s="1925"/>
      <c r="S272" s="1925"/>
      <c r="T272" s="1925"/>
    </row>
    <row r="273" spans="18:20" ht="15.75" customHeight="1" x14ac:dyDescent="0.2">
      <c r="R273" s="1925"/>
      <c r="S273" s="1925"/>
      <c r="T273" s="1925"/>
    </row>
    <row r="274" spans="18:20" ht="15.75" customHeight="1" x14ac:dyDescent="0.2">
      <c r="R274" s="1925"/>
      <c r="S274" s="1925"/>
      <c r="T274" s="1925"/>
    </row>
    <row r="275" spans="18:20" ht="15.75" customHeight="1" x14ac:dyDescent="0.2">
      <c r="R275" s="1925"/>
      <c r="S275" s="1925"/>
      <c r="T275" s="1925"/>
    </row>
    <row r="276" spans="18:20" ht="15.75" customHeight="1" x14ac:dyDescent="0.2">
      <c r="R276" s="1925"/>
      <c r="S276" s="1925"/>
      <c r="T276" s="1925"/>
    </row>
    <row r="277" spans="18:20" ht="15.75" customHeight="1" x14ac:dyDescent="0.2">
      <c r="R277" s="1925"/>
      <c r="S277" s="1925"/>
      <c r="T277" s="1925"/>
    </row>
    <row r="278" spans="18:20" ht="15.75" customHeight="1" x14ac:dyDescent="0.2">
      <c r="R278" s="1925"/>
      <c r="S278" s="1925"/>
      <c r="T278" s="1925"/>
    </row>
    <row r="279" spans="18:20" ht="15.75" customHeight="1" x14ac:dyDescent="0.2">
      <c r="R279" s="1925"/>
      <c r="S279" s="1925"/>
      <c r="T279" s="1925"/>
    </row>
    <row r="280" spans="18:20" ht="15.75" customHeight="1" x14ac:dyDescent="0.2">
      <c r="R280" s="1925"/>
      <c r="S280" s="1925"/>
      <c r="T280" s="1925"/>
    </row>
    <row r="281" spans="18:20" ht="15.75" customHeight="1" x14ac:dyDescent="0.2">
      <c r="R281" s="1925"/>
      <c r="S281" s="1925"/>
      <c r="T281" s="1925"/>
    </row>
    <row r="282" spans="18:20" ht="15.75" customHeight="1" x14ac:dyDescent="0.2">
      <c r="R282" s="1925"/>
      <c r="S282" s="1925"/>
      <c r="T282" s="1925"/>
    </row>
    <row r="283" spans="18:20" ht="15.75" customHeight="1" x14ac:dyDescent="0.2">
      <c r="R283" s="1925"/>
      <c r="S283" s="1925"/>
      <c r="T283" s="1925"/>
    </row>
    <row r="284" spans="18:20" ht="15.75" customHeight="1" x14ac:dyDescent="0.2">
      <c r="R284" s="1925"/>
      <c r="S284" s="1925"/>
      <c r="T284" s="1925"/>
    </row>
    <row r="285" spans="18:20" ht="15.75" customHeight="1" x14ac:dyDescent="0.2">
      <c r="R285" s="1925"/>
      <c r="S285" s="1925"/>
      <c r="T285" s="1925"/>
    </row>
    <row r="286" spans="18:20" ht="15.75" customHeight="1" x14ac:dyDescent="0.2">
      <c r="R286" s="1925"/>
      <c r="S286" s="1925"/>
      <c r="T286" s="1925"/>
    </row>
    <row r="287" spans="18:20" ht="15.75" customHeight="1" x14ac:dyDescent="0.2">
      <c r="R287" s="1925"/>
      <c r="S287" s="1925"/>
      <c r="T287" s="1925"/>
    </row>
    <row r="288" spans="18:20" ht="15.75" customHeight="1" x14ac:dyDescent="0.2">
      <c r="R288" s="1925"/>
      <c r="S288" s="1925"/>
      <c r="T288" s="1925"/>
    </row>
    <row r="289" spans="18:20" ht="15.75" customHeight="1" x14ac:dyDescent="0.2">
      <c r="R289" s="1925"/>
      <c r="S289" s="1925"/>
      <c r="T289" s="1925"/>
    </row>
    <row r="290" spans="18:20" ht="15.75" customHeight="1" x14ac:dyDescent="0.2">
      <c r="R290" s="1925"/>
      <c r="S290" s="1925"/>
      <c r="T290" s="1925"/>
    </row>
    <row r="291" spans="18:20" ht="15.75" customHeight="1" x14ac:dyDescent="0.2">
      <c r="R291" s="1925"/>
      <c r="S291" s="1925"/>
      <c r="T291" s="1925"/>
    </row>
    <row r="292" spans="18:20" ht="15.75" customHeight="1" x14ac:dyDescent="0.2">
      <c r="R292" s="1925"/>
      <c r="S292" s="1925"/>
      <c r="T292" s="1925"/>
    </row>
    <row r="293" spans="18:20" ht="15.75" customHeight="1" x14ac:dyDescent="0.2">
      <c r="R293" s="1925"/>
      <c r="S293" s="1925"/>
      <c r="T293" s="1925"/>
    </row>
    <row r="294" spans="18:20" ht="15.75" customHeight="1" x14ac:dyDescent="0.2">
      <c r="R294" s="1925"/>
      <c r="S294" s="1925"/>
      <c r="T294" s="1925"/>
    </row>
    <row r="295" spans="18:20" ht="15.75" customHeight="1" x14ac:dyDescent="0.2">
      <c r="R295" s="1925"/>
      <c r="S295" s="1925"/>
      <c r="T295" s="1925"/>
    </row>
    <row r="296" spans="18:20" ht="15.75" customHeight="1" x14ac:dyDescent="0.2">
      <c r="R296" s="1925"/>
      <c r="S296" s="1925"/>
      <c r="T296" s="1925"/>
    </row>
    <row r="297" spans="18:20" ht="15.75" customHeight="1" x14ac:dyDescent="0.2">
      <c r="R297" s="1925"/>
      <c r="S297" s="1925"/>
      <c r="T297" s="1925"/>
    </row>
    <row r="298" spans="18:20" ht="15.75" customHeight="1" x14ac:dyDescent="0.2">
      <c r="R298" s="1925"/>
      <c r="S298" s="1925"/>
      <c r="T298" s="1925"/>
    </row>
    <row r="299" spans="18:20" ht="15.75" customHeight="1" x14ac:dyDescent="0.2">
      <c r="R299" s="1925"/>
      <c r="S299" s="1925"/>
      <c r="T299" s="1925"/>
    </row>
    <row r="300" spans="18:20" ht="15.75" customHeight="1" x14ac:dyDescent="0.2">
      <c r="R300" s="1925"/>
      <c r="S300" s="1925"/>
      <c r="T300" s="1925"/>
    </row>
    <row r="301" spans="18:20" ht="15.75" customHeight="1" x14ac:dyDescent="0.2">
      <c r="R301" s="1925"/>
      <c r="S301" s="1925"/>
      <c r="T301" s="1925"/>
    </row>
    <row r="302" spans="18:20" ht="15.75" customHeight="1" x14ac:dyDescent="0.2">
      <c r="R302" s="1925"/>
      <c r="S302" s="1925"/>
      <c r="T302" s="1925"/>
    </row>
  </sheetData>
  <mergeCells count="67">
    <mergeCell ref="C199:J199"/>
    <mergeCell ref="C143:J143"/>
    <mergeCell ref="C91:D91"/>
    <mergeCell ref="C139:D139"/>
    <mergeCell ref="C140:J140"/>
    <mergeCell ref="C141:J141"/>
    <mergeCell ref="C142:J142"/>
    <mergeCell ref="C188:E188"/>
    <mergeCell ref="C189:E189"/>
    <mergeCell ref="C144:J144"/>
    <mergeCell ref="C149:D149"/>
    <mergeCell ref="C176:E176"/>
    <mergeCell ref="C187:D187"/>
    <mergeCell ref="C146:C148"/>
    <mergeCell ref="D146:D148"/>
    <mergeCell ref="J146:J148"/>
    <mergeCell ref="F146:F148"/>
    <mergeCell ref="C145:D145"/>
    <mergeCell ref="G88:G89"/>
    <mergeCell ref="H88:H89"/>
    <mergeCell ref="G146:G147"/>
    <mergeCell ref="H146:H147"/>
    <mergeCell ref="I88:I90"/>
    <mergeCell ref="I146:I148"/>
    <mergeCell ref="F11:F13"/>
    <mergeCell ref="D49:D51"/>
    <mergeCell ref="F49:F51"/>
    <mergeCell ref="C40:D40"/>
    <mergeCell ref="B42:J42"/>
    <mergeCell ref="C11:C13"/>
    <mergeCell ref="D11:D13"/>
    <mergeCell ref="J11:J13"/>
    <mergeCell ref="G11:G12"/>
    <mergeCell ref="H11:H12"/>
    <mergeCell ref="G49:G50"/>
    <mergeCell ref="H49:H50"/>
    <mergeCell ref="I11:I13"/>
    <mergeCell ref="I49:I51"/>
    <mergeCell ref="B43:J43"/>
    <mergeCell ref="B44:J44"/>
    <mergeCell ref="C6:F6"/>
    <mergeCell ref="C8:J8"/>
    <mergeCell ref="B1:J1"/>
    <mergeCell ref="B2:J2"/>
    <mergeCell ref="B3:J3"/>
    <mergeCell ref="B4:J4"/>
    <mergeCell ref="C82:J82"/>
    <mergeCell ref="C83:J83"/>
    <mergeCell ref="C84:J84"/>
    <mergeCell ref="C85:J85"/>
    <mergeCell ref="C87:D87"/>
    <mergeCell ref="I193:J193"/>
    <mergeCell ref="I195:J195"/>
    <mergeCell ref="A191:J191"/>
    <mergeCell ref="B45:J45"/>
    <mergeCell ref="B46:J46"/>
    <mergeCell ref="C49:C51"/>
    <mergeCell ref="J49:J51"/>
    <mergeCell ref="C190:J190"/>
    <mergeCell ref="C52:D52"/>
    <mergeCell ref="C48:D48"/>
    <mergeCell ref="C88:C90"/>
    <mergeCell ref="D88:D90"/>
    <mergeCell ref="J88:J90"/>
    <mergeCell ref="F88:F90"/>
    <mergeCell ref="C81:J81"/>
    <mergeCell ref="C79:D79"/>
  </mergeCells>
  <phoneticPr fontId="123" type="noConversion"/>
  <printOptions horizontalCentered="1"/>
  <pageMargins left="0.118110236220472" right="0.39370078740157499" top="0.35433070866141703" bottom="0" header="0.31496062992126" footer="0.31496062992126"/>
  <pageSetup scale="84" fitToWidth="0" fitToHeight="0" orientation="portrait" r:id="rId1"/>
  <rowBreaks count="3" manualBreakCount="3">
    <brk id="42" max="16383" man="1"/>
    <brk id="81" max="16383" man="1"/>
    <brk id="140"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2060"/>
  </sheetPr>
  <dimension ref="A1:Y137"/>
  <sheetViews>
    <sheetView rightToLeft="1" view="pageBreakPreview" topLeftCell="B74" zoomScale="93" zoomScaleNormal="106" zoomScaleSheetLayoutView="93" workbookViewId="0">
      <selection activeCell="B88" sqref="B88"/>
    </sheetView>
  </sheetViews>
  <sheetFormatPr defaultColWidth="9.140625" defaultRowHeight="17.25" x14ac:dyDescent="0.2"/>
  <cols>
    <col min="1" max="1" width="1.140625" style="2021" customWidth="1"/>
    <col min="2" max="2" width="2.5703125" style="2021" customWidth="1"/>
    <col min="3" max="3" width="11.140625" style="577" customWidth="1"/>
    <col min="4" max="4" width="42.140625" style="2021" customWidth="1"/>
    <col min="5" max="5" width="11.7109375" style="2029" customWidth="1"/>
    <col min="6" max="6" width="9.28515625" style="2029" customWidth="1"/>
    <col min="7" max="7" width="10.140625" style="2029" hidden="1" customWidth="1"/>
    <col min="8" max="8" width="10.42578125" style="2029" hidden="1" customWidth="1"/>
    <col min="9" max="9" width="7.28515625" style="2029" hidden="1" customWidth="1"/>
    <col min="10" max="10" width="2.42578125" style="2029" hidden="1" customWidth="1"/>
    <col min="11" max="11" width="12.42578125" style="2029" customWidth="1"/>
    <col min="12" max="13" width="4.85546875" style="2029" hidden="1" customWidth="1"/>
    <col min="14" max="14" width="3.42578125" style="2029" hidden="1" customWidth="1"/>
    <col min="15" max="15" width="4.7109375" style="2029" hidden="1" customWidth="1"/>
    <col min="16" max="16" width="8.28515625" style="578" hidden="1" customWidth="1"/>
    <col min="17" max="17" width="11.5703125" style="2021" customWidth="1"/>
    <col min="18" max="18" width="1.28515625" style="2021" customWidth="1"/>
    <col min="19" max="19" width="30.85546875" style="2021" customWidth="1"/>
    <col min="20" max="20" width="39.85546875" style="2021" customWidth="1"/>
    <col min="21" max="16384" width="9.140625" style="2021"/>
  </cols>
  <sheetData>
    <row r="1" spans="1:22" ht="15" customHeight="1" x14ac:dyDescent="0.2">
      <c r="A1" s="3426" t="s">
        <v>295</v>
      </c>
      <c r="B1" s="3426"/>
      <c r="C1" s="3426"/>
      <c r="D1" s="3426"/>
      <c r="E1" s="3426"/>
      <c r="F1" s="3426"/>
      <c r="G1" s="3426"/>
      <c r="H1" s="3426"/>
      <c r="I1" s="3426"/>
      <c r="J1" s="3426"/>
      <c r="K1" s="3426"/>
      <c r="L1" s="3426"/>
      <c r="M1" s="3426"/>
      <c r="N1" s="3426"/>
      <c r="O1" s="3426"/>
      <c r="P1" s="3426"/>
      <c r="Q1" s="3426"/>
      <c r="R1" s="2020"/>
      <c r="S1" s="2020"/>
    </row>
    <row r="2" spans="1:22" ht="15" customHeight="1" x14ac:dyDescent="0.2">
      <c r="A2" s="3426" t="s">
        <v>45</v>
      </c>
      <c r="B2" s="3426"/>
      <c r="C2" s="3426"/>
      <c r="D2" s="3426"/>
      <c r="E2" s="3426"/>
      <c r="F2" s="3426"/>
      <c r="G2" s="3426"/>
      <c r="H2" s="3426"/>
      <c r="I2" s="3426"/>
      <c r="J2" s="3426"/>
      <c r="K2" s="3426"/>
      <c r="L2" s="3426"/>
      <c r="M2" s="3426"/>
      <c r="N2" s="3426"/>
      <c r="O2" s="3426"/>
      <c r="P2" s="3426"/>
      <c r="Q2" s="3426"/>
      <c r="R2" s="2020"/>
      <c r="S2" s="2020"/>
    </row>
    <row r="3" spans="1:22" ht="15" customHeight="1" x14ac:dyDescent="0.2">
      <c r="A3" s="3426" t="s">
        <v>46</v>
      </c>
      <c r="B3" s="3426"/>
      <c r="C3" s="3426"/>
      <c r="D3" s="3426"/>
      <c r="E3" s="3426"/>
      <c r="F3" s="3426"/>
      <c r="G3" s="3426"/>
      <c r="H3" s="3426"/>
      <c r="I3" s="3426"/>
      <c r="J3" s="3426"/>
      <c r="K3" s="3426"/>
      <c r="L3" s="3426"/>
      <c r="M3" s="3426"/>
      <c r="N3" s="3426"/>
      <c r="O3" s="3426"/>
      <c r="P3" s="3426"/>
      <c r="Q3" s="3426"/>
      <c r="R3" s="2020"/>
      <c r="S3" s="2020"/>
    </row>
    <row r="4" spans="1:22" ht="15" customHeight="1" x14ac:dyDescent="0.2">
      <c r="A4" s="2022"/>
      <c r="B4" s="3427" t="s">
        <v>1985</v>
      </c>
      <c r="C4" s="3427"/>
      <c r="D4" s="3427"/>
      <c r="E4" s="3427"/>
      <c r="F4" s="3427"/>
      <c r="G4" s="3427"/>
      <c r="H4" s="3427"/>
      <c r="I4" s="3427"/>
      <c r="J4" s="3427"/>
      <c r="K4" s="3427"/>
      <c r="L4" s="3427"/>
      <c r="M4" s="3427"/>
      <c r="N4" s="3427"/>
      <c r="O4" s="3427"/>
      <c r="P4" s="3427"/>
      <c r="Q4" s="3427"/>
      <c r="R4" s="2023"/>
      <c r="S4" s="2023"/>
    </row>
    <row r="5" spans="1:22" s="2024" customFormat="1" ht="16.899999999999999" customHeight="1" x14ac:dyDescent="0.2">
      <c r="B5" s="2025" t="s">
        <v>154</v>
      </c>
      <c r="C5" s="2026" t="s">
        <v>1816</v>
      </c>
      <c r="D5" s="2025"/>
      <c r="J5" s="2027"/>
      <c r="K5" s="2027"/>
      <c r="L5" s="2027"/>
      <c r="M5" s="2027"/>
      <c r="N5" s="2027"/>
      <c r="O5" s="2027"/>
      <c r="P5" s="559"/>
    </row>
    <row r="6" spans="1:22" s="2024" customFormat="1" ht="6" customHeight="1" x14ac:dyDescent="0.2">
      <c r="C6" s="560"/>
      <c r="D6" s="2028"/>
      <c r="E6" s="2027"/>
      <c r="F6" s="2027"/>
      <c r="G6" s="2027"/>
      <c r="H6" s="2027"/>
      <c r="I6" s="2027"/>
      <c r="J6" s="2027"/>
      <c r="K6" s="2027"/>
      <c r="L6" s="2027"/>
      <c r="M6" s="2027"/>
      <c r="N6" s="2027"/>
      <c r="O6" s="2027"/>
      <c r="P6" s="559"/>
    </row>
    <row r="7" spans="1:22" s="2024" customFormat="1" ht="15.75" customHeight="1" x14ac:dyDescent="0.2">
      <c r="B7" s="3428" t="s">
        <v>1009</v>
      </c>
      <c r="C7" s="3428"/>
      <c r="D7" s="3428"/>
      <c r="E7" s="3428"/>
      <c r="F7" s="3428"/>
      <c r="G7" s="3428"/>
      <c r="H7" s="3428"/>
      <c r="I7" s="3428"/>
      <c r="J7" s="3428"/>
      <c r="K7" s="3428"/>
      <c r="L7" s="3428"/>
      <c r="M7" s="3428"/>
      <c r="N7" s="3428"/>
      <c r="O7" s="2028"/>
      <c r="P7" s="3426" t="s">
        <v>194</v>
      </c>
      <c r="Q7" s="3426"/>
      <c r="R7" s="2020"/>
      <c r="S7" s="2020"/>
    </row>
    <row r="8" spans="1:22" s="2024" customFormat="1" ht="9" customHeight="1" x14ac:dyDescent="0.2">
      <c r="B8" s="2028"/>
      <c r="C8" s="560"/>
      <c r="D8" s="2028"/>
      <c r="E8" s="2028"/>
      <c r="F8" s="2028"/>
      <c r="G8" s="2028"/>
      <c r="H8" s="2028"/>
      <c r="I8" s="2028"/>
      <c r="J8" s="2027"/>
      <c r="K8" s="2028"/>
      <c r="L8" s="2028"/>
      <c r="M8" s="2028"/>
      <c r="N8" s="2028"/>
      <c r="O8" s="2028"/>
      <c r="P8" s="3426"/>
      <c r="Q8" s="3426"/>
      <c r="R8" s="2020"/>
      <c r="S8" s="2020"/>
    </row>
    <row r="9" spans="1:22" s="2029" customFormat="1" ht="16.899999999999999" customHeight="1" x14ac:dyDescent="0.2">
      <c r="B9" s="3409" t="s">
        <v>296</v>
      </c>
      <c r="C9" s="3419" t="s">
        <v>53</v>
      </c>
      <c r="D9" s="3408" t="s">
        <v>54</v>
      </c>
      <c r="E9" s="3404" t="s">
        <v>1391</v>
      </c>
      <c r="F9" s="3416" t="s">
        <v>989</v>
      </c>
      <c r="G9" s="3416" t="s">
        <v>989</v>
      </c>
      <c r="H9" s="3416" t="s">
        <v>1010</v>
      </c>
      <c r="I9" s="3402" t="s">
        <v>898</v>
      </c>
      <c r="J9" s="2030" t="s">
        <v>615</v>
      </c>
      <c r="K9" s="3420" t="s">
        <v>1086</v>
      </c>
      <c r="L9" s="2031"/>
      <c r="M9" s="2032"/>
      <c r="N9" s="2033"/>
      <c r="O9" s="2033"/>
      <c r="P9" s="2033"/>
      <c r="Q9" s="3404" t="s">
        <v>1986</v>
      </c>
      <c r="R9" s="2034"/>
      <c r="S9" s="2034"/>
    </row>
    <row r="10" spans="1:22" s="2029" customFormat="1" ht="16.899999999999999" customHeight="1" x14ac:dyDescent="0.2">
      <c r="B10" s="3409"/>
      <c r="C10" s="3419"/>
      <c r="D10" s="3408"/>
      <c r="E10" s="3417"/>
      <c r="F10" s="3416"/>
      <c r="G10" s="3416"/>
      <c r="H10" s="3416"/>
      <c r="I10" s="3403"/>
      <c r="J10" s="2035" t="s">
        <v>911</v>
      </c>
      <c r="K10" s="3420"/>
      <c r="L10" s="2036"/>
      <c r="M10" s="2037"/>
      <c r="N10" s="2038" t="s">
        <v>297</v>
      </c>
      <c r="O10" s="2038" t="s">
        <v>298</v>
      </c>
      <c r="P10" s="1334" t="s">
        <v>299</v>
      </c>
      <c r="Q10" s="3405"/>
      <c r="R10" s="2034"/>
      <c r="S10" s="2034"/>
    </row>
    <row r="11" spans="1:22" s="2046" customFormat="1" ht="13.9" customHeight="1" x14ac:dyDescent="0.2">
      <c r="A11" s="2029"/>
      <c r="B11" s="3409"/>
      <c r="C11" s="561" t="s">
        <v>63</v>
      </c>
      <c r="D11" s="2039" t="s">
        <v>64</v>
      </c>
      <c r="E11" s="2040">
        <v>932713662</v>
      </c>
      <c r="F11" s="2041"/>
      <c r="G11" s="2041"/>
      <c r="H11" s="572"/>
      <c r="I11" s="2042"/>
      <c r="J11" s="2043"/>
      <c r="K11" s="2043"/>
      <c r="L11" s="2044"/>
      <c r="M11" s="2044"/>
      <c r="N11" s="2044"/>
      <c r="O11" s="2044"/>
      <c r="P11" s="563"/>
      <c r="Q11" s="2041">
        <v>932713662</v>
      </c>
      <c r="R11" s="2045"/>
      <c r="S11" s="2045"/>
      <c r="T11" s="2046">
        <f>E11+F11+H11+K11</f>
        <v>932713662</v>
      </c>
      <c r="U11" s="2046">
        <f>Q11-T11</f>
        <v>0</v>
      </c>
      <c r="V11" s="2046">
        <f>F11-U11</f>
        <v>0</v>
      </c>
    </row>
    <row r="12" spans="1:22" s="2046" customFormat="1" ht="13.9" customHeight="1" x14ac:dyDescent="0.2">
      <c r="A12" s="2029"/>
      <c r="B12" s="3409"/>
      <c r="C12" s="561" t="s">
        <v>66</v>
      </c>
      <c r="D12" s="2039" t="s">
        <v>67</v>
      </c>
      <c r="E12" s="2040">
        <v>181024000</v>
      </c>
      <c r="F12" s="2041"/>
      <c r="G12" s="2041"/>
      <c r="H12" s="572"/>
      <c r="I12" s="2047"/>
      <c r="J12" s="2044"/>
      <c r="K12" s="2044"/>
      <c r="L12" s="2044"/>
      <c r="M12" s="2044"/>
      <c r="N12" s="2044"/>
      <c r="O12" s="2044"/>
      <c r="P12" s="563"/>
      <c r="Q12" s="2041">
        <v>181024000</v>
      </c>
      <c r="R12" s="2045"/>
      <c r="S12" s="2045"/>
      <c r="T12" s="2046">
        <f t="shared" ref="T12:T76" si="0">E12+F12+H12+K12</f>
        <v>181024000</v>
      </c>
      <c r="U12" s="2046">
        <f t="shared" ref="U12:U76" si="1">Q12-T12</f>
        <v>0</v>
      </c>
      <c r="V12" s="2046">
        <f t="shared" ref="V12:V76" si="2">F12-U12</f>
        <v>0</v>
      </c>
    </row>
    <row r="13" spans="1:22" s="2046" customFormat="1" ht="14.45" hidden="1" customHeight="1" x14ac:dyDescent="0.2">
      <c r="A13" s="2029"/>
      <c r="B13" s="3409"/>
      <c r="C13" s="561" t="s">
        <v>68</v>
      </c>
      <c r="D13" s="2039" t="s">
        <v>70</v>
      </c>
      <c r="E13" s="2040"/>
      <c r="F13" s="2041"/>
      <c r="G13" s="2041"/>
      <c r="H13" s="572"/>
      <c r="I13" s="2047"/>
      <c r="J13" s="2044"/>
      <c r="K13" s="2044"/>
      <c r="L13" s="2044"/>
      <c r="M13" s="2044"/>
      <c r="N13" s="2044"/>
      <c r="O13" s="2044"/>
      <c r="P13" s="563"/>
      <c r="Q13" s="2041"/>
      <c r="R13" s="2045"/>
      <c r="S13" s="2045"/>
      <c r="T13" s="2046">
        <f t="shared" si="0"/>
        <v>0</v>
      </c>
      <c r="U13" s="2046">
        <f t="shared" si="1"/>
        <v>0</v>
      </c>
      <c r="V13" s="2046">
        <f t="shared" si="2"/>
        <v>0</v>
      </c>
    </row>
    <row r="14" spans="1:22" s="2046" customFormat="1" ht="14.45" customHeight="1" x14ac:dyDescent="0.2">
      <c r="A14" s="2029"/>
      <c r="B14" s="3409"/>
      <c r="C14" s="561" t="s">
        <v>161</v>
      </c>
      <c r="D14" s="2039" t="s">
        <v>202</v>
      </c>
      <c r="E14" s="2040">
        <v>27988227</v>
      </c>
      <c r="F14" s="2041"/>
      <c r="G14" s="2041"/>
      <c r="H14" s="572"/>
      <c r="I14" s="2047"/>
      <c r="J14" s="2044"/>
      <c r="K14" s="2044"/>
      <c r="L14" s="2044"/>
      <c r="M14" s="2044"/>
      <c r="N14" s="2044"/>
      <c r="O14" s="2044"/>
      <c r="P14" s="563"/>
      <c r="Q14" s="2041">
        <v>27988227</v>
      </c>
      <c r="R14" s="2048"/>
      <c r="S14" s="2048"/>
      <c r="T14" s="2046">
        <f t="shared" si="0"/>
        <v>27988227</v>
      </c>
      <c r="U14" s="2046">
        <f t="shared" si="1"/>
        <v>0</v>
      </c>
      <c r="V14" s="2046">
        <f t="shared" si="2"/>
        <v>0</v>
      </c>
    </row>
    <row r="15" spans="1:22" s="2046" customFormat="1" ht="15" customHeight="1" x14ac:dyDescent="0.2">
      <c r="B15" s="3409"/>
      <c r="C15" s="561">
        <v>1307002010</v>
      </c>
      <c r="D15" s="2039" t="s">
        <v>203</v>
      </c>
      <c r="E15" s="564">
        <v>3980666851</v>
      </c>
      <c r="F15" s="2041">
        <v>99281462520</v>
      </c>
      <c r="G15" s="2041"/>
      <c r="H15" s="572"/>
      <c r="I15" s="632"/>
      <c r="J15" s="2044"/>
      <c r="K15" s="565">
        <v>-83366894790</v>
      </c>
      <c r="L15" s="565"/>
      <c r="M15" s="2049"/>
      <c r="N15" s="2049"/>
      <c r="O15" s="2049"/>
      <c r="P15" s="563"/>
      <c r="Q15" s="2041">
        <v>19895234581</v>
      </c>
      <c r="R15" s="2045"/>
      <c r="S15" s="2045"/>
      <c r="T15" s="2046">
        <f t="shared" si="0"/>
        <v>19895234581</v>
      </c>
      <c r="U15" s="2046">
        <f t="shared" si="1"/>
        <v>0</v>
      </c>
      <c r="V15" s="2046">
        <f>F15-U15</f>
        <v>99281462520</v>
      </c>
    </row>
    <row r="16" spans="1:22" s="2046" customFormat="1" ht="14.45" customHeight="1" x14ac:dyDescent="0.2">
      <c r="B16" s="3409"/>
      <c r="C16" s="561">
        <v>1503002046</v>
      </c>
      <c r="D16" s="2039" t="s">
        <v>83</v>
      </c>
      <c r="E16" s="564">
        <v>5226552147</v>
      </c>
      <c r="F16" s="2041"/>
      <c r="G16" s="2041"/>
      <c r="H16" s="572"/>
      <c r="I16" s="632"/>
      <c r="J16" s="2044"/>
      <c r="K16" s="565">
        <v>-1452708618</v>
      </c>
      <c r="L16" s="565"/>
      <c r="M16" s="2049"/>
      <c r="N16" s="2049"/>
      <c r="O16" s="2049"/>
      <c r="P16" s="563"/>
      <c r="Q16" s="2041">
        <f>5762898533-Q71</f>
        <v>3773843529</v>
      </c>
      <c r="R16" s="2045"/>
      <c r="S16" s="2045"/>
      <c r="T16" s="2046">
        <f t="shared" si="0"/>
        <v>3773843529</v>
      </c>
      <c r="U16" s="2046">
        <f>Q16-T16</f>
        <v>0</v>
      </c>
      <c r="V16" s="2046">
        <f t="shared" si="2"/>
        <v>0</v>
      </c>
    </row>
    <row r="17" spans="1:22" s="2046" customFormat="1" ht="14.45" customHeight="1" x14ac:dyDescent="0.2">
      <c r="B17" s="3409"/>
      <c r="C17" s="561">
        <v>1503002173</v>
      </c>
      <c r="D17" s="2039" t="s">
        <v>85</v>
      </c>
      <c r="E17" s="564">
        <v>553470846</v>
      </c>
      <c r="F17" s="2041">
        <v>9962000000</v>
      </c>
      <c r="G17" s="2041"/>
      <c r="H17" s="572"/>
      <c r="I17" s="632"/>
      <c r="J17" s="2044"/>
      <c r="K17" s="565">
        <v>-9962000000</v>
      </c>
      <c r="L17" s="565"/>
      <c r="M17" s="2049"/>
      <c r="N17" s="565"/>
      <c r="O17" s="2049"/>
      <c r="P17" s="563"/>
      <c r="Q17" s="2041">
        <v>553470846</v>
      </c>
      <c r="R17" s="2045"/>
      <c r="S17" s="2045"/>
      <c r="T17" s="2046">
        <f t="shared" si="0"/>
        <v>553470846</v>
      </c>
      <c r="U17" s="2046">
        <f t="shared" si="1"/>
        <v>0</v>
      </c>
      <c r="V17" s="2046">
        <f t="shared" si="2"/>
        <v>9962000000</v>
      </c>
    </row>
    <row r="18" spans="1:22" s="2046" customFormat="1" ht="0.6" customHeight="1" x14ac:dyDescent="0.2">
      <c r="B18" s="3409"/>
      <c r="C18" s="561">
        <v>1503002067</v>
      </c>
      <c r="D18" s="2039" t="s">
        <v>86</v>
      </c>
      <c r="E18" s="564"/>
      <c r="F18" s="2041"/>
      <c r="G18" s="2041"/>
      <c r="H18" s="572"/>
      <c r="I18" s="632"/>
      <c r="J18" s="2044"/>
      <c r="K18" s="565"/>
      <c r="L18" s="565"/>
      <c r="M18" s="2049"/>
      <c r="N18" s="2049"/>
      <c r="O18" s="2049"/>
      <c r="P18" s="562"/>
      <c r="Q18" s="702"/>
      <c r="R18" s="566"/>
      <c r="S18" s="566"/>
      <c r="T18" s="2046">
        <f t="shared" si="0"/>
        <v>0</v>
      </c>
      <c r="U18" s="2046">
        <f t="shared" si="1"/>
        <v>0</v>
      </c>
      <c r="V18" s="2046">
        <f t="shared" si="2"/>
        <v>0</v>
      </c>
    </row>
    <row r="19" spans="1:22" s="2046" customFormat="1" ht="0.6" hidden="1" customHeight="1" x14ac:dyDescent="0.2">
      <c r="B19" s="3409"/>
      <c r="C19" s="561" t="s">
        <v>101</v>
      </c>
      <c r="D19" s="2039" t="s">
        <v>102</v>
      </c>
      <c r="E19" s="564"/>
      <c r="F19" s="2041"/>
      <c r="G19" s="2041"/>
      <c r="H19" s="572"/>
      <c r="I19" s="632"/>
      <c r="J19" s="2044"/>
      <c r="K19" s="565"/>
      <c r="L19" s="565"/>
      <c r="M19" s="2049"/>
      <c r="N19" s="2049"/>
      <c r="O19" s="2049"/>
      <c r="P19" s="562"/>
      <c r="Q19" s="565"/>
      <c r="R19" s="566"/>
      <c r="S19" s="566"/>
      <c r="T19" s="2046">
        <f t="shared" si="0"/>
        <v>0</v>
      </c>
      <c r="U19" s="2046">
        <f t="shared" si="1"/>
        <v>0</v>
      </c>
      <c r="V19" s="2046">
        <f t="shared" si="2"/>
        <v>0</v>
      </c>
    </row>
    <row r="20" spans="1:22" s="2046" customFormat="1" ht="14.45" customHeight="1" x14ac:dyDescent="0.2">
      <c r="B20" s="3409"/>
      <c r="C20" s="561">
        <v>1307006001</v>
      </c>
      <c r="D20" s="2039" t="s">
        <v>87</v>
      </c>
      <c r="E20" s="564">
        <v>75234966</v>
      </c>
      <c r="F20" s="2041"/>
      <c r="G20" s="2041"/>
      <c r="H20" s="572"/>
      <c r="I20" s="632"/>
      <c r="J20" s="2044"/>
      <c r="K20" s="2044"/>
      <c r="L20" s="565"/>
      <c r="M20" s="2049"/>
      <c r="N20" s="2049"/>
      <c r="O20" s="2049"/>
      <c r="P20" s="562"/>
      <c r="Q20" s="565">
        <v>75234966</v>
      </c>
      <c r="R20" s="566"/>
      <c r="S20" s="566"/>
      <c r="T20" s="2046">
        <f t="shared" si="0"/>
        <v>75234966</v>
      </c>
      <c r="U20" s="2046">
        <f t="shared" si="1"/>
        <v>0</v>
      </c>
      <c r="V20" s="2046">
        <f t="shared" si="2"/>
        <v>0</v>
      </c>
    </row>
    <row r="21" spans="1:22" s="2046" customFormat="1" ht="14.45" customHeight="1" x14ac:dyDescent="0.2">
      <c r="B21" s="3409"/>
      <c r="C21" s="561" t="s">
        <v>89</v>
      </c>
      <c r="D21" s="2039" t="s">
        <v>255</v>
      </c>
      <c r="E21" s="2040">
        <v>265197224</v>
      </c>
      <c r="F21" s="2041"/>
      <c r="G21" s="2041"/>
      <c r="H21" s="572"/>
      <c r="I21" s="2047"/>
      <c r="J21" s="2044"/>
      <c r="K21" s="565"/>
      <c r="L21" s="565"/>
      <c r="M21" s="2049"/>
      <c r="N21" s="2049"/>
      <c r="O21" s="2049"/>
      <c r="P21" s="562"/>
      <c r="Q21" s="2044">
        <f>121483375+143713849</f>
        <v>265197224</v>
      </c>
      <c r="R21" s="2045"/>
      <c r="S21" s="2045"/>
      <c r="T21" s="2046">
        <f t="shared" si="0"/>
        <v>265197224</v>
      </c>
      <c r="U21" s="2046">
        <f t="shared" si="1"/>
        <v>0</v>
      </c>
      <c r="V21" s="2046">
        <f t="shared" si="2"/>
        <v>0</v>
      </c>
    </row>
    <row r="22" spans="1:22" s="2046" customFormat="1" ht="14.45" customHeight="1" x14ac:dyDescent="0.2">
      <c r="B22" s="3409"/>
      <c r="C22" s="561" t="s">
        <v>92</v>
      </c>
      <c r="D22" s="2039" t="s">
        <v>93</v>
      </c>
      <c r="E22" s="2040">
        <v>83929642</v>
      </c>
      <c r="F22" s="2041"/>
      <c r="G22" s="2041"/>
      <c r="H22" s="572"/>
      <c r="I22" s="2047"/>
      <c r="J22" s="2044"/>
      <c r="K22" s="565"/>
      <c r="L22" s="2049"/>
      <c r="M22" s="2044"/>
      <c r="N22" s="2049"/>
      <c r="O22" s="2049"/>
      <c r="P22" s="562"/>
      <c r="Q22" s="2044">
        <v>83929642</v>
      </c>
      <c r="R22" s="2045"/>
      <c r="S22" s="2045"/>
      <c r="T22" s="2046">
        <f t="shared" si="0"/>
        <v>83929642</v>
      </c>
      <c r="U22" s="2046">
        <f t="shared" si="1"/>
        <v>0</v>
      </c>
      <c r="V22" s="2046">
        <f t="shared" si="2"/>
        <v>0</v>
      </c>
    </row>
    <row r="23" spans="1:22" s="2046" customFormat="1" ht="14.45" hidden="1" customHeight="1" x14ac:dyDescent="0.2">
      <c r="B23" s="3409"/>
      <c r="C23" s="561" t="s">
        <v>206</v>
      </c>
      <c r="D23" s="2039" t="s">
        <v>207</v>
      </c>
      <c r="E23" s="2040"/>
      <c r="F23" s="2041"/>
      <c r="G23" s="2041"/>
      <c r="H23" s="572"/>
      <c r="I23" s="2047"/>
      <c r="J23" s="2044"/>
      <c r="K23" s="565"/>
      <c r="L23" s="2049"/>
      <c r="M23" s="2044"/>
      <c r="N23" s="2049"/>
      <c r="O23" s="2049"/>
      <c r="P23" s="562"/>
      <c r="Q23" s="2044"/>
      <c r="R23" s="2045"/>
      <c r="S23" s="2045"/>
      <c r="T23" s="2046">
        <f t="shared" si="0"/>
        <v>0</v>
      </c>
      <c r="U23" s="2046">
        <f t="shared" si="1"/>
        <v>0</v>
      </c>
      <c r="V23" s="2046">
        <f t="shared" si="2"/>
        <v>0</v>
      </c>
    </row>
    <row r="24" spans="1:22" s="2046" customFormat="1" ht="14.45" customHeight="1" x14ac:dyDescent="0.2">
      <c r="B24" s="3409"/>
      <c r="C24" s="561">
        <v>1502001005</v>
      </c>
      <c r="D24" s="2039" t="s">
        <v>233</v>
      </c>
      <c r="E24" s="2040">
        <v>808760540</v>
      </c>
      <c r="F24" s="2041"/>
      <c r="G24" s="2041"/>
      <c r="H24" s="572"/>
      <c r="I24" s="632"/>
      <c r="J24" s="2044"/>
      <c r="K24" s="565">
        <v>-507573230</v>
      </c>
      <c r="L24" s="565"/>
      <c r="M24" s="2049"/>
      <c r="N24" s="2049"/>
      <c r="O24" s="2049"/>
      <c r="P24" s="562"/>
      <c r="Q24" s="2044">
        <v>301187310</v>
      </c>
      <c r="R24" s="2045"/>
      <c r="S24" s="2045"/>
      <c r="T24" s="2046">
        <f t="shared" si="0"/>
        <v>301187310</v>
      </c>
      <c r="U24" s="2046">
        <f t="shared" si="1"/>
        <v>0</v>
      </c>
      <c r="V24" s="2046">
        <f t="shared" si="2"/>
        <v>0</v>
      </c>
    </row>
    <row r="25" spans="1:22" s="2050" customFormat="1" ht="14.45" hidden="1" customHeight="1" x14ac:dyDescent="0.2">
      <c r="B25" s="3409"/>
      <c r="C25" s="561" t="s">
        <v>187</v>
      </c>
      <c r="D25" s="2039" t="s">
        <v>188</v>
      </c>
      <c r="E25" s="2040"/>
      <c r="F25" s="2041"/>
      <c r="G25" s="2041"/>
      <c r="H25" s="572"/>
      <c r="I25" s="632"/>
      <c r="J25" s="2044"/>
      <c r="K25" s="565"/>
      <c r="L25" s="565"/>
      <c r="M25" s="2049"/>
      <c r="N25" s="2049"/>
      <c r="O25" s="2049"/>
      <c r="P25" s="562"/>
      <c r="Q25" s="2044"/>
      <c r="R25" s="2045"/>
      <c r="S25" s="2045"/>
      <c r="T25" s="2046">
        <f t="shared" si="0"/>
        <v>0</v>
      </c>
      <c r="U25" s="2046">
        <f t="shared" si="1"/>
        <v>0</v>
      </c>
      <c r="V25" s="2046">
        <f t="shared" si="2"/>
        <v>0</v>
      </c>
    </row>
    <row r="26" spans="1:22" ht="22.9" hidden="1" customHeight="1" x14ac:dyDescent="0.2">
      <c r="A26" s="2046"/>
      <c r="B26" s="3409"/>
      <c r="C26" s="561" t="s">
        <v>300</v>
      </c>
      <c r="D26" s="2051" t="s">
        <v>276</v>
      </c>
      <c r="E26" s="2052"/>
      <c r="F26" s="2041"/>
      <c r="G26" s="2041"/>
      <c r="H26" s="572"/>
      <c r="I26" s="2053"/>
      <c r="J26" s="2044"/>
      <c r="K26" s="565"/>
      <c r="L26" s="565"/>
      <c r="M26" s="2049"/>
      <c r="N26" s="2049"/>
      <c r="O26" s="2049"/>
      <c r="P26" s="562"/>
      <c r="Q26" s="2044"/>
      <c r="R26" s="2045"/>
      <c r="S26" s="2045"/>
      <c r="T26" s="2046">
        <f t="shared" si="0"/>
        <v>0</v>
      </c>
      <c r="U26" s="2046">
        <f t="shared" si="1"/>
        <v>0</v>
      </c>
      <c r="V26" s="2046">
        <f t="shared" si="2"/>
        <v>0</v>
      </c>
    </row>
    <row r="27" spans="1:22" ht="14.45" customHeight="1" x14ac:dyDescent="0.2">
      <c r="A27" s="2046"/>
      <c r="B27" s="3409"/>
      <c r="C27" s="561" t="s">
        <v>301</v>
      </c>
      <c r="D27" s="2054" t="s">
        <v>302</v>
      </c>
      <c r="E27" s="2055">
        <v>32470710</v>
      </c>
      <c r="F27" s="2041"/>
      <c r="G27" s="2041"/>
      <c r="H27" s="572"/>
      <c r="I27" s="2056"/>
      <c r="J27" s="2044"/>
      <c r="K27" s="565"/>
      <c r="L27" s="565"/>
      <c r="M27" s="2049"/>
      <c r="N27" s="2049"/>
      <c r="O27" s="2049"/>
      <c r="P27" s="562"/>
      <c r="Q27" s="2057">
        <v>32470710</v>
      </c>
      <c r="R27" s="2058"/>
      <c r="S27" s="2058"/>
      <c r="T27" s="2046">
        <f t="shared" si="0"/>
        <v>32470710</v>
      </c>
      <c r="U27" s="2046">
        <f t="shared" si="1"/>
        <v>0</v>
      </c>
      <c r="V27" s="2046">
        <f t="shared" si="2"/>
        <v>0</v>
      </c>
    </row>
    <row r="28" spans="1:22" ht="22.9" hidden="1" customHeight="1" x14ac:dyDescent="0.2">
      <c r="A28" s="2046"/>
      <c r="B28" s="3409"/>
      <c r="C28" s="561" t="s">
        <v>248</v>
      </c>
      <c r="D28" s="2054" t="s">
        <v>249</v>
      </c>
      <c r="E28" s="2055"/>
      <c r="F28" s="2041"/>
      <c r="G28" s="2041"/>
      <c r="H28" s="2059"/>
      <c r="I28" s="2056"/>
      <c r="J28" s="2057"/>
      <c r="K28" s="2057"/>
      <c r="L28" s="565"/>
      <c r="M28" s="2049"/>
      <c r="N28" s="2049"/>
      <c r="O28" s="2049"/>
      <c r="P28" s="562"/>
      <c r="Q28" s="2044"/>
      <c r="R28" s="2045"/>
      <c r="S28" s="2045"/>
      <c r="T28" s="2046">
        <f t="shared" si="0"/>
        <v>0</v>
      </c>
      <c r="U28" s="2046">
        <f t="shared" si="1"/>
        <v>0</v>
      </c>
      <c r="V28" s="2046">
        <f t="shared" si="2"/>
        <v>0</v>
      </c>
    </row>
    <row r="29" spans="1:22" ht="14.45" hidden="1" customHeight="1" x14ac:dyDescent="0.2">
      <c r="A29" s="2046"/>
      <c r="B29" s="3409"/>
      <c r="C29" s="561" t="s">
        <v>303</v>
      </c>
      <c r="D29" s="2060" t="s">
        <v>304</v>
      </c>
      <c r="E29" s="2040">
        <v>335715</v>
      </c>
      <c r="F29" s="2041"/>
      <c r="G29" s="2041"/>
      <c r="H29" s="2059"/>
      <c r="I29" s="2056"/>
      <c r="J29" s="2057"/>
      <c r="K29" s="2057"/>
      <c r="L29" s="565"/>
      <c r="M29" s="2049"/>
      <c r="N29" s="2049"/>
      <c r="O29" s="2049"/>
      <c r="P29" s="562"/>
      <c r="Q29" s="2061">
        <v>335715</v>
      </c>
      <c r="R29" s="2045"/>
      <c r="S29" s="2045"/>
      <c r="T29" s="2046">
        <f t="shared" si="0"/>
        <v>335715</v>
      </c>
      <c r="U29" s="2046">
        <f t="shared" si="1"/>
        <v>0</v>
      </c>
      <c r="V29" s="2046">
        <f t="shared" si="2"/>
        <v>0</v>
      </c>
    </row>
    <row r="30" spans="1:22" ht="14.45" hidden="1" customHeight="1" x14ac:dyDescent="0.2">
      <c r="A30" s="2046"/>
      <c r="B30" s="3409"/>
      <c r="C30" s="2062" t="s">
        <v>254</v>
      </c>
      <c r="D30" s="2039" t="s">
        <v>70</v>
      </c>
      <c r="E30" s="2040"/>
      <c r="F30" s="2041"/>
      <c r="G30" s="2041"/>
      <c r="H30" s="2059"/>
      <c r="I30" s="2056"/>
      <c r="J30" s="2057"/>
      <c r="K30" s="2057"/>
      <c r="L30" s="565"/>
      <c r="M30" s="2049"/>
      <c r="N30" s="2049"/>
      <c r="O30" s="2049"/>
      <c r="P30" s="563"/>
      <c r="Q30" s="2041"/>
      <c r="R30" s="2045"/>
      <c r="S30" s="2045"/>
      <c r="T30" s="2046">
        <f t="shared" si="0"/>
        <v>0</v>
      </c>
      <c r="U30" s="2046">
        <f t="shared" si="1"/>
        <v>0</v>
      </c>
      <c r="V30" s="2046">
        <f t="shared" si="2"/>
        <v>0</v>
      </c>
    </row>
    <row r="31" spans="1:22" ht="22.9" hidden="1" customHeight="1" x14ac:dyDescent="0.2">
      <c r="A31" s="2046"/>
      <c r="B31" s="3409"/>
      <c r="C31" s="2063" t="s">
        <v>130</v>
      </c>
      <c r="D31" s="2064" t="s">
        <v>131</v>
      </c>
      <c r="E31" s="2040"/>
      <c r="F31" s="2041"/>
      <c r="G31" s="2041"/>
      <c r="H31" s="2059"/>
      <c r="I31" s="2056"/>
      <c r="J31" s="2057"/>
      <c r="K31" s="2057"/>
      <c r="L31" s="565"/>
      <c r="M31" s="2049"/>
      <c r="N31" s="2049"/>
      <c r="O31" s="2049"/>
      <c r="P31" s="563"/>
      <c r="Q31" s="2041"/>
      <c r="R31" s="2045"/>
      <c r="S31" s="2045"/>
      <c r="T31" s="2046">
        <f t="shared" si="0"/>
        <v>0</v>
      </c>
      <c r="U31" s="2046">
        <f t="shared" si="1"/>
        <v>0</v>
      </c>
      <c r="V31" s="2046">
        <f t="shared" si="2"/>
        <v>0</v>
      </c>
    </row>
    <row r="32" spans="1:22" ht="22.9" hidden="1" customHeight="1" x14ac:dyDescent="0.2">
      <c r="A32" s="2046"/>
      <c r="B32" s="3409"/>
      <c r="C32" s="2062" t="s">
        <v>120</v>
      </c>
      <c r="D32" s="2039" t="s">
        <v>121</v>
      </c>
      <c r="E32" s="2040"/>
      <c r="F32" s="2041"/>
      <c r="G32" s="2041"/>
      <c r="H32" s="2059"/>
      <c r="I32" s="2056"/>
      <c r="J32" s="2057"/>
      <c r="K32" s="2057"/>
      <c r="L32" s="565"/>
      <c r="M32" s="2049"/>
      <c r="N32" s="2049"/>
      <c r="O32" s="2049"/>
      <c r="P32" s="563"/>
      <c r="Q32" s="2041"/>
      <c r="R32" s="2045"/>
      <c r="S32" s="2045"/>
      <c r="T32" s="2046">
        <f t="shared" si="0"/>
        <v>0</v>
      </c>
      <c r="U32" s="2046">
        <f t="shared" si="1"/>
        <v>0</v>
      </c>
      <c r="V32" s="2046">
        <f t="shared" si="2"/>
        <v>0</v>
      </c>
    </row>
    <row r="33" spans="1:25" ht="14.45" customHeight="1" x14ac:dyDescent="0.2">
      <c r="A33" s="2046"/>
      <c r="B33" s="3409"/>
      <c r="C33" s="567" t="s">
        <v>366</v>
      </c>
      <c r="D33" s="2064" t="s">
        <v>367</v>
      </c>
      <c r="E33" s="2040">
        <v>5888134300</v>
      </c>
      <c r="F33" s="2041">
        <v>2665000000</v>
      </c>
      <c r="G33" s="2041"/>
      <c r="H33" s="2059"/>
      <c r="I33" s="2056"/>
      <c r="J33" s="2057"/>
      <c r="K33" s="2057">
        <v>-5623481300</v>
      </c>
      <c r="L33" s="565"/>
      <c r="M33" s="2049"/>
      <c r="N33" s="2049"/>
      <c r="O33" s="2049"/>
      <c r="P33" s="563"/>
      <c r="Q33" s="2041">
        <v>2929653000</v>
      </c>
      <c r="R33" s="2045"/>
      <c r="S33" s="2045"/>
      <c r="T33" s="2046">
        <f t="shared" si="0"/>
        <v>2929653000</v>
      </c>
      <c r="U33" s="2046">
        <f t="shared" si="1"/>
        <v>0</v>
      </c>
      <c r="V33" s="2046">
        <f t="shared" si="2"/>
        <v>2665000000</v>
      </c>
    </row>
    <row r="34" spans="1:25" ht="11.45" hidden="1" customHeight="1" x14ac:dyDescent="0.2">
      <c r="A34" s="2046"/>
      <c r="B34" s="3409"/>
      <c r="C34" s="2062">
        <v>1307006002</v>
      </c>
      <c r="D34" s="2039" t="s">
        <v>88</v>
      </c>
      <c r="E34" s="2040"/>
      <c r="F34" s="2041"/>
      <c r="G34" s="2041"/>
      <c r="H34" s="2059"/>
      <c r="I34" s="2056"/>
      <c r="J34" s="2057"/>
      <c r="K34" s="2057"/>
      <c r="L34" s="565"/>
      <c r="M34" s="2049"/>
      <c r="N34" s="2049"/>
      <c r="O34" s="2049"/>
      <c r="P34" s="563"/>
      <c r="Q34" s="2041"/>
      <c r="R34" s="2045"/>
      <c r="S34" s="2045"/>
      <c r="T34" s="2046">
        <f t="shared" si="0"/>
        <v>0</v>
      </c>
      <c r="U34" s="2046">
        <f t="shared" si="1"/>
        <v>0</v>
      </c>
      <c r="V34" s="2046">
        <f t="shared" si="2"/>
        <v>0</v>
      </c>
    </row>
    <row r="35" spans="1:25" ht="14.45" customHeight="1" x14ac:dyDescent="0.2">
      <c r="A35" s="2046"/>
      <c r="B35" s="3409"/>
      <c r="C35" s="2065" t="s">
        <v>346</v>
      </c>
      <c r="D35" s="2039" t="s">
        <v>323</v>
      </c>
      <c r="E35" s="2040"/>
      <c r="F35" s="2041">
        <v>244118764746</v>
      </c>
      <c r="G35" s="2041"/>
      <c r="H35" s="2059"/>
      <c r="I35" s="2056"/>
      <c r="J35" s="2057"/>
      <c r="K35" s="2057">
        <f>-242389345229+60157994522</f>
        <v>-182231350707</v>
      </c>
      <c r="L35" s="565"/>
      <c r="M35" s="2049"/>
      <c r="N35" s="2049"/>
      <c r="O35" s="2049"/>
      <c r="P35" s="563"/>
      <c r="Q35" s="2041">
        <f>63415162121-Q76</f>
        <v>61887414039</v>
      </c>
      <c r="R35" s="2045"/>
      <c r="S35" s="2045"/>
      <c r="T35" s="2046">
        <f t="shared" si="0"/>
        <v>61887414039</v>
      </c>
      <c r="U35" s="2046">
        <f t="shared" si="1"/>
        <v>0</v>
      </c>
      <c r="V35" s="2046">
        <f t="shared" si="2"/>
        <v>244118764746</v>
      </c>
    </row>
    <row r="36" spans="1:25" ht="14.45" customHeight="1" x14ac:dyDescent="0.2">
      <c r="A36" s="2046"/>
      <c r="B36" s="3409"/>
      <c r="C36" s="2066">
        <v>1503003007</v>
      </c>
      <c r="D36" s="2064" t="s">
        <v>538</v>
      </c>
      <c r="E36" s="2040">
        <v>7224404449</v>
      </c>
      <c r="F36" s="2041">
        <v>6608000000</v>
      </c>
      <c r="G36" s="2041"/>
      <c r="H36" s="2059"/>
      <c r="I36" s="2056"/>
      <c r="J36" s="2057"/>
      <c r="K36" s="2057">
        <v>-5591724706</v>
      </c>
      <c r="L36" s="565"/>
      <c r="M36" s="2049"/>
      <c r="N36" s="2049"/>
      <c r="O36" s="2049"/>
      <c r="P36" s="562"/>
      <c r="Q36" s="2043">
        <v>8240679743</v>
      </c>
      <c r="R36" s="2045"/>
      <c r="S36" s="2045"/>
      <c r="T36" s="2046">
        <f t="shared" si="0"/>
        <v>8240679743</v>
      </c>
      <c r="U36" s="2046">
        <f t="shared" si="1"/>
        <v>0</v>
      </c>
      <c r="V36" s="2046">
        <f t="shared" si="2"/>
        <v>6608000000</v>
      </c>
    </row>
    <row r="37" spans="1:25" ht="24" hidden="1" customHeight="1" x14ac:dyDescent="0.2">
      <c r="A37" s="2046"/>
      <c r="B37" s="3409"/>
      <c r="C37" s="2063" t="s">
        <v>73</v>
      </c>
      <c r="D37" s="2064" t="s">
        <v>74</v>
      </c>
      <c r="E37" s="2040"/>
      <c r="F37" s="2041"/>
      <c r="G37" s="2041"/>
      <c r="H37" s="2059"/>
      <c r="I37" s="2056"/>
      <c r="J37" s="2057"/>
      <c r="K37" s="2057"/>
      <c r="L37" s="565"/>
      <c r="M37" s="2049"/>
      <c r="N37" s="2049"/>
      <c r="O37" s="2049"/>
      <c r="P37" s="562"/>
      <c r="Q37" s="2044"/>
      <c r="R37" s="2045"/>
      <c r="S37" s="2045"/>
      <c r="T37" s="2046">
        <f t="shared" si="0"/>
        <v>0</v>
      </c>
      <c r="U37" s="2046">
        <f t="shared" si="1"/>
        <v>0</v>
      </c>
      <c r="V37" s="2046">
        <f t="shared" si="2"/>
        <v>0</v>
      </c>
    </row>
    <row r="38" spans="1:25" ht="14.45" customHeight="1" x14ac:dyDescent="0.2">
      <c r="A38" s="2046"/>
      <c r="B38" s="3409"/>
      <c r="C38" s="561" t="s">
        <v>540</v>
      </c>
      <c r="D38" s="2067" t="s">
        <v>541</v>
      </c>
      <c r="E38" s="2040">
        <v>1136760394</v>
      </c>
      <c r="F38" s="2041">
        <v>700000000</v>
      </c>
      <c r="G38" s="2041"/>
      <c r="H38" s="2059"/>
      <c r="I38" s="2056"/>
      <c r="J38" s="2057"/>
      <c r="K38" s="2057"/>
      <c r="L38" s="565"/>
      <c r="M38" s="2049"/>
      <c r="N38" s="2049"/>
      <c r="O38" s="2049"/>
      <c r="P38" s="562"/>
      <c r="Q38" s="2044">
        <v>1836760394</v>
      </c>
      <c r="R38" s="2045"/>
      <c r="S38" s="2045"/>
      <c r="T38" s="2046">
        <f t="shared" si="0"/>
        <v>1836760394</v>
      </c>
      <c r="U38" s="2046">
        <f>Q38-T38</f>
        <v>0</v>
      </c>
      <c r="V38" s="2046">
        <f t="shared" si="2"/>
        <v>700000000</v>
      </c>
    </row>
    <row r="39" spans="1:25" ht="24" hidden="1" customHeight="1" x14ac:dyDescent="0.2">
      <c r="A39" s="2046"/>
      <c r="B39" s="3409"/>
      <c r="C39" s="2063" t="s">
        <v>109</v>
      </c>
      <c r="D39" s="2068" t="s">
        <v>110</v>
      </c>
      <c r="E39" s="2040"/>
      <c r="F39" s="2041"/>
      <c r="G39" s="2041"/>
      <c r="H39" s="2059"/>
      <c r="I39" s="2056"/>
      <c r="J39" s="2057"/>
      <c r="K39" s="2057"/>
      <c r="L39" s="565"/>
      <c r="M39" s="2049"/>
      <c r="N39" s="2049"/>
      <c r="O39" s="2049"/>
      <c r="P39" s="562"/>
      <c r="Q39" s="2044"/>
      <c r="R39" s="2045"/>
      <c r="S39" s="2045"/>
      <c r="T39" s="2046">
        <f t="shared" si="0"/>
        <v>0</v>
      </c>
      <c r="U39" s="2046">
        <f t="shared" si="1"/>
        <v>0</v>
      </c>
      <c r="V39" s="2046">
        <f t="shared" si="2"/>
        <v>0</v>
      </c>
    </row>
    <row r="40" spans="1:25" ht="13.15" customHeight="1" x14ac:dyDescent="0.2">
      <c r="A40" s="2046"/>
      <c r="B40" s="3409"/>
      <c r="C40" s="1763" t="s">
        <v>608</v>
      </c>
      <c r="D40" s="2069" t="s">
        <v>1289</v>
      </c>
      <c r="E40" s="2040">
        <v>29278852833</v>
      </c>
      <c r="F40" s="2041">
        <f>190597719601-F75</f>
        <v>186923894589</v>
      </c>
      <c r="G40" s="2041"/>
      <c r="H40" s="2059"/>
      <c r="I40" s="2056"/>
      <c r="J40" s="2057"/>
      <c r="K40" s="2057">
        <v>-186638406627</v>
      </c>
      <c r="L40" s="565"/>
      <c r="M40" s="2049"/>
      <c r="N40" s="2049"/>
      <c r="O40" s="2049"/>
      <c r="P40" s="562"/>
      <c r="Q40" s="2044">
        <f>38053610857-Q75</f>
        <v>29564340795</v>
      </c>
      <c r="R40" s="2045"/>
      <c r="S40" s="2045"/>
      <c r="T40" s="2046">
        <f t="shared" si="0"/>
        <v>29564340795</v>
      </c>
      <c r="U40" s="2046">
        <f t="shared" si="1"/>
        <v>0</v>
      </c>
      <c r="V40" s="2046">
        <f t="shared" si="2"/>
        <v>186923894589</v>
      </c>
    </row>
    <row r="41" spans="1:25" ht="13.15" customHeight="1" x14ac:dyDescent="0.2">
      <c r="A41" s="2046"/>
      <c r="B41" s="3409"/>
      <c r="C41" s="1763" t="s">
        <v>625</v>
      </c>
      <c r="D41" s="2070" t="s">
        <v>601</v>
      </c>
      <c r="E41" s="2040"/>
      <c r="F41" s="2041">
        <f>3478190949</f>
        <v>3478190949</v>
      </c>
      <c r="G41" s="2041"/>
      <c r="H41" s="2059"/>
      <c r="I41" s="2056"/>
      <c r="J41" s="2057"/>
      <c r="K41" s="2057">
        <f>-515293191</f>
        <v>-515293191</v>
      </c>
      <c r="L41" s="565"/>
      <c r="M41" s="2049"/>
      <c r="N41" s="2049"/>
      <c r="O41" s="2049"/>
      <c r="P41" s="562"/>
      <c r="Q41" s="2044">
        <v>2962897758</v>
      </c>
      <c r="R41" s="2045"/>
      <c r="S41" s="2045"/>
      <c r="T41" s="2046">
        <f t="shared" si="0"/>
        <v>2962897758</v>
      </c>
      <c r="U41" s="2046">
        <f t="shared" si="1"/>
        <v>0</v>
      </c>
      <c r="V41" s="2046">
        <f t="shared" si="2"/>
        <v>3478190949</v>
      </c>
    </row>
    <row r="42" spans="1:25" ht="13.15" customHeight="1" x14ac:dyDescent="0.2">
      <c r="A42" s="2046"/>
      <c r="B42" s="3409"/>
      <c r="C42" s="1763" t="s">
        <v>611</v>
      </c>
      <c r="D42" s="2071" t="s">
        <v>597</v>
      </c>
      <c r="E42" s="2040">
        <v>1013372305</v>
      </c>
      <c r="F42" s="2041"/>
      <c r="G42" s="2041"/>
      <c r="H42" s="2059"/>
      <c r="I42" s="2056"/>
      <c r="J42" s="2057"/>
      <c r="K42" s="2057">
        <v>-311740000</v>
      </c>
      <c r="L42" s="565"/>
      <c r="M42" s="2049"/>
      <c r="N42" s="2049"/>
      <c r="O42" s="2049"/>
      <c r="P42" s="562"/>
      <c r="Q42" s="2044">
        <f>1331980000-Q74</f>
        <v>701632305</v>
      </c>
      <c r="R42" s="2045"/>
      <c r="S42" s="2045"/>
      <c r="T42" s="2046">
        <f t="shared" si="0"/>
        <v>701632305</v>
      </c>
      <c r="U42" s="2046">
        <f t="shared" si="1"/>
        <v>0</v>
      </c>
      <c r="V42" s="2046">
        <f t="shared" si="2"/>
        <v>0</v>
      </c>
    </row>
    <row r="43" spans="1:25" ht="13.15" customHeight="1" x14ac:dyDescent="0.2">
      <c r="A43" s="2046"/>
      <c r="B43" s="3409"/>
      <c r="C43" s="1763" t="s">
        <v>641</v>
      </c>
      <c r="D43" s="2071" t="s">
        <v>640</v>
      </c>
      <c r="E43" s="2040">
        <v>230278240</v>
      </c>
      <c r="F43" s="2041">
        <v>2730593898</v>
      </c>
      <c r="G43" s="2041"/>
      <c r="H43" s="2059"/>
      <c r="I43" s="2056"/>
      <c r="J43" s="2057"/>
      <c r="K43" s="2057">
        <v>-230278240</v>
      </c>
      <c r="L43" s="565"/>
      <c r="M43" s="2049"/>
      <c r="N43" s="2049"/>
      <c r="O43" s="2049"/>
      <c r="P43" s="562"/>
      <c r="Q43" s="2044">
        <v>2730593898</v>
      </c>
      <c r="R43" s="2045"/>
      <c r="S43" s="2045"/>
      <c r="T43" s="2046">
        <f t="shared" si="0"/>
        <v>2730593898</v>
      </c>
      <c r="U43" s="2046">
        <f t="shared" si="1"/>
        <v>0</v>
      </c>
      <c r="V43" s="2046">
        <f t="shared" si="2"/>
        <v>2730593898</v>
      </c>
    </row>
    <row r="44" spans="1:25" ht="13.15" customHeight="1" x14ac:dyDescent="0.2">
      <c r="A44" s="2046"/>
      <c r="B44" s="3409"/>
      <c r="C44" s="1763" t="s">
        <v>609</v>
      </c>
      <c r="D44" s="2070" t="s">
        <v>607</v>
      </c>
      <c r="E44" s="2040">
        <v>867675160</v>
      </c>
      <c r="F44" s="2041">
        <v>7875416956</v>
      </c>
      <c r="G44" s="2041"/>
      <c r="H44" s="2059"/>
      <c r="I44" s="2056"/>
      <c r="J44" s="2057"/>
      <c r="K44" s="2057">
        <v>-25253120</v>
      </c>
      <c r="L44" s="565"/>
      <c r="M44" s="2049"/>
      <c r="N44" s="2049"/>
      <c r="O44" s="2049"/>
      <c r="P44" s="562"/>
      <c r="Q44" s="2044">
        <v>8717838996</v>
      </c>
      <c r="R44" s="2045"/>
      <c r="S44" s="2045"/>
      <c r="T44" s="2046">
        <f t="shared" si="0"/>
        <v>8717838996</v>
      </c>
      <c r="U44" s="2046">
        <f t="shared" si="1"/>
        <v>0</v>
      </c>
      <c r="V44" s="2046">
        <f t="shared" si="2"/>
        <v>7875416956</v>
      </c>
    </row>
    <row r="45" spans="1:25" ht="13.15" customHeight="1" x14ac:dyDescent="0.2">
      <c r="A45" s="2046"/>
      <c r="B45" s="3409"/>
      <c r="C45" s="1763" t="s">
        <v>629</v>
      </c>
      <c r="D45" s="2069" t="s">
        <v>605</v>
      </c>
      <c r="E45" s="2040">
        <v>160444444</v>
      </c>
      <c r="F45" s="2041">
        <v>1431250000</v>
      </c>
      <c r="G45" s="2041"/>
      <c r="H45" s="2059"/>
      <c r="I45" s="2056"/>
      <c r="J45" s="2057"/>
      <c r="K45" s="2057"/>
      <c r="L45" s="565"/>
      <c r="M45" s="2049"/>
      <c r="N45" s="2049"/>
      <c r="O45" s="2049"/>
      <c r="P45" s="562"/>
      <c r="Q45" s="2044">
        <v>1591694444</v>
      </c>
      <c r="R45" s="2045"/>
      <c r="S45" s="2045"/>
      <c r="T45" s="2046">
        <f t="shared" si="0"/>
        <v>1591694444</v>
      </c>
      <c r="U45" s="2046">
        <f t="shared" si="1"/>
        <v>0</v>
      </c>
      <c r="V45" s="2046">
        <f t="shared" si="2"/>
        <v>1431250000</v>
      </c>
    </row>
    <row r="46" spans="1:25" ht="13.15" customHeight="1" x14ac:dyDescent="0.2">
      <c r="A46" s="2046"/>
      <c r="B46" s="3409"/>
      <c r="C46" s="1763" t="s">
        <v>634</v>
      </c>
      <c r="D46" s="2070" t="s">
        <v>598</v>
      </c>
      <c r="E46" s="2040">
        <v>200000000</v>
      </c>
      <c r="F46" s="2041">
        <v>2545489001</v>
      </c>
      <c r="G46" s="2041"/>
      <c r="H46" s="2059"/>
      <c r="I46" s="2056"/>
      <c r="J46" s="2057"/>
      <c r="K46" s="2057"/>
      <c r="L46" s="565"/>
      <c r="M46" s="2049"/>
      <c r="N46" s="2049"/>
      <c r="O46" s="2049"/>
      <c r="P46" s="562"/>
      <c r="Q46" s="2044">
        <v>2745489001</v>
      </c>
      <c r="R46" s="2045"/>
      <c r="S46" s="2045"/>
      <c r="T46" s="2046">
        <f t="shared" si="0"/>
        <v>2745489001</v>
      </c>
      <c r="U46" s="2046">
        <f t="shared" si="1"/>
        <v>0</v>
      </c>
      <c r="V46" s="2046">
        <f t="shared" si="2"/>
        <v>2545489001</v>
      </c>
    </row>
    <row r="47" spans="1:25" ht="13.15" customHeight="1" x14ac:dyDescent="0.2">
      <c r="A47" s="2046"/>
      <c r="B47" s="3409"/>
      <c r="C47" s="2072" t="s">
        <v>633</v>
      </c>
      <c r="D47" s="2073" t="s">
        <v>632</v>
      </c>
      <c r="E47" s="2074">
        <v>123536246</v>
      </c>
      <c r="F47" s="2041">
        <f>6400000000-F77</f>
        <v>6400000000</v>
      </c>
      <c r="G47" s="2041"/>
      <c r="H47" s="2059"/>
      <c r="I47" s="2056"/>
      <c r="J47" s="2057"/>
      <c r="K47" s="2057">
        <v>-93195000</v>
      </c>
      <c r="L47" s="569"/>
      <c r="M47" s="2075"/>
      <c r="N47" s="2075"/>
      <c r="O47" s="2075"/>
      <c r="P47" s="570"/>
      <c r="Q47" s="2061">
        <f>8454497000-Q77</f>
        <v>6430341246</v>
      </c>
      <c r="R47" s="2045"/>
      <c r="S47" s="2045"/>
      <c r="T47" s="2046">
        <f t="shared" si="0"/>
        <v>6430341246</v>
      </c>
      <c r="U47" s="2046">
        <f t="shared" si="1"/>
        <v>0</v>
      </c>
      <c r="V47" s="2046">
        <f t="shared" si="2"/>
        <v>6400000000</v>
      </c>
      <c r="Y47" s="2021">
        <f>I40+I46</f>
        <v>0</v>
      </c>
    </row>
    <row r="48" spans="1:25" ht="13.15" customHeight="1" x14ac:dyDescent="0.2">
      <c r="A48" s="2046"/>
      <c r="B48" s="3410"/>
      <c r="C48" s="1763" t="s">
        <v>622</v>
      </c>
      <c r="D48" s="2071" t="s">
        <v>620</v>
      </c>
      <c r="E48" s="2076">
        <v>7154853990</v>
      </c>
      <c r="F48" s="2041">
        <f>20755564216-F78</f>
        <v>10584557216</v>
      </c>
      <c r="G48" s="2041"/>
      <c r="H48" s="2059"/>
      <c r="I48" s="2056"/>
      <c r="J48" s="2057"/>
      <c r="K48" s="2057">
        <f>-27706657594+10171007000</f>
        <v>-17535650594</v>
      </c>
      <c r="L48" s="571"/>
      <c r="M48" s="2077"/>
      <c r="N48" s="2077"/>
      <c r="O48" s="2077"/>
      <c r="P48" s="572"/>
      <c r="Q48" s="2041">
        <v>203760612</v>
      </c>
      <c r="R48" s="2045"/>
      <c r="S48" s="2045"/>
      <c r="T48" s="2046">
        <f>E48+F48+H48+K48</f>
        <v>203760612</v>
      </c>
      <c r="U48" s="2046">
        <f t="shared" si="1"/>
        <v>0</v>
      </c>
      <c r="V48" s="2046">
        <f t="shared" si="2"/>
        <v>10584557216</v>
      </c>
    </row>
    <row r="49" spans="1:22" ht="13.15" customHeight="1" x14ac:dyDescent="0.2">
      <c r="A49" s="2046"/>
      <c r="B49" s="3410"/>
      <c r="C49" s="1763" t="s">
        <v>2191</v>
      </c>
      <c r="D49" s="2069" t="s">
        <v>631</v>
      </c>
      <c r="E49" s="2076">
        <v>2260660828</v>
      </c>
      <c r="F49" s="2041">
        <v>3769253404</v>
      </c>
      <c r="G49" s="2041"/>
      <c r="H49" s="2059"/>
      <c r="I49" s="2078"/>
      <c r="J49" s="2079"/>
      <c r="K49" s="2079">
        <v>-349955400</v>
      </c>
      <c r="L49" s="571"/>
      <c r="M49" s="2077"/>
      <c r="N49" s="2077"/>
      <c r="O49" s="2077"/>
      <c r="P49" s="572"/>
      <c r="Q49" s="2041">
        <v>5679958832</v>
      </c>
      <c r="R49" s="2045"/>
      <c r="S49" s="2045"/>
      <c r="T49" s="2046">
        <f t="shared" si="0"/>
        <v>5679958832</v>
      </c>
      <c r="U49" s="2046">
        <f t="shared" si="1"/>
        <v>0</v>
      </c>
      <c r="V49" s="2046">
        <f t="shared" si="2"/>
        <v>3769253404</v>
      </c>
    </row>
    <row r="50" spans="1:22" ht="13.15" customHeight="1" x14ac:dyDescent="0.2">
      <c r="A50" s="2046"/>
      <c r="B50" s="3410"/>
      <c r="C50" s="1763" t="s">
        <v>623</v>
      </c>
      <c r="D50" s="2069" t="s">
        <v>599</v>
      </c>
      <c r="E50" s="2080"/>
      <c r="F50" s="2041">
        <v>600000000</v>
      </c>
      <c r="G50" s="2041"/>
      <c r="H50" s="2059"/>
      <c r="I50" s="2081"/>
      <c r="J50" s="2059"/>
      <c r="K50" s="2059"/>
      <c r="L50" s="573"/>
      <c r="M50" s="2082"/>
      <c r="N50" s="2082"/>
      <c r="O50" s="2082"/>
      <c r="P50" s="574"/>
      <c r="Q50" s="2083">
        <v>600000000</v>
      </c>
      <c r="R50" s="2045"/>
      <c r="S50" s="2045"/>
      <c r="T50" s="2046">
        <f t="shared" si="0"/>
        <v>600000000</v>
      </c>
      <c r="U50" s="2046">
        <f t="shared" si="1"/>
        <v>0</v>
      </c>
      <c r="V50" s="2046">
        <f t="shared" si="2"/>
        <v>600000000</v>
      </c>
    </row>
    <row r="51" spans="1:22" ht="13.15" customHeight="1" x14ac:dyDescent="0.2">
      <c r="A51" s="2046"/>
      <c r="B51" s="3410"/>
      <c r="C51" s="1763" t="s">
        <v>624</v>
      </c>
      <c r="D51" s="2069" t="s">
        <v>600</v>
      </c>
      <c r="E51" s="2080">
        <v>85030808</v>
      </c>
      <c r="F51" s="2041">
        <v>2071360000</v>
      </c>
      <c r="G51" s="2041"/>
      <c r="H51" s="2059"/>
      <c r="I51" s="2081"/>
      <c r="J51" s="2059"/>
      <c r="K51" s="2059">
        <v>-66433320</v>
      </c>
      <c r="L51" s="573"/>
      <c r="M51" s="2082"/>
      <c r="N51" s="2082"/>
      <c r="O51" s="2082"/>
      <c r="P51" s="574"/>
      <c r="Q51" s="2083">
        <v>2089957488</v>
      </c>
      <c r="R51" s="2045"/>
      <c r="S51" s="2045"/>
      <c r="T51" s="2046">
        <f t="shared" si="0"/>
        <v>2089957488</v>
      </c>
      <c r="U51" s="2046">
        <f t="shared" si="1"/>
        <v>0</v>
      </c>
      <c r="V51" s="2046">
        <f t="shared" si="2"/>
        <v>2071360000</v>
      </c>
    </row>
    <row r="52" spans="1:22" ht="13.15" customHeight="1" x14ac:dyDescent="0.2">
      <c r="A52" s="2046"/>
      <c r="B52" s="3410"/>
      <c r="C52" s="1762" t="s">
        <v>677</v>
      </c>
      <c r="D52" s="1995" t="s">
        <v>676</v>
      </c>
      <c r="E52" s="2080"/>
      <c r="F52" s="2041">
        <v>3449137726</v>
      </c>
      <c r="G52" s="2041"/>
      <c r="H52" s="2059"/>
      <c r="I52" s="2081"/>
      <c r="J52" s="2059"/>
      <c r="K52" s="2059"/>
      <c r="L52" s="573"/>
      <c r="M52" s="2082"/>
      <c r="N52" s="2082"/>
      <c r="O52" s="2082"/>
      <c r="P52" s="574"/>
      <c r="Q52" s="2083">
        <v>3449137726</v>
      </c>
      <c r="R52" s="2045"/>
      <c r="S52" s="2045"/>
      <c r="T52" s="2046">
        <f t="shared" si="0"/>
        <v>3449137726</v>
      </c>
      <c r="U52" s="2046">
        <f t="shared" si="1"/>
        <v>0</v>
      </c>
      <c r="V52" s="2046">
        <f t="shared" si="2"/>
        <v>3449137726</v>
      </c>
    </row>
    <row r="53" spans="1:22" ht="13.15" customHeight="1" x14ac:dyDescent="0.2">
      <c r="A53" s="2046"/>
      <c r="B53" s="3410"/>
      <c r="C53" s="1763" t="s">
        <v>626</v>
      </c>
      <c r="D53" s="2069" t="s">
        <v>602</v>
      </c>
      <c r="E53" s="2080"/>
      <c r="F53" s="2041">
        <v>760000000</v>
      </c>
      <c r="G53" s="2041"/>
      <c r="H53" s="2059"/>
      <c r="I53" s="2081"/>
      <c r="J53" s="2059"/>
      <c r="K53" s="2059"/>
      <c r="L53" s="573"/>
      <c r="M53" s="2082"/>
      <c r="N53" s="2082"/>
      <c r="O53" s="2082"/>
      <c r="P53" s="574"/>
      <c r="Q53" s="2083">
        <v>760000000</v>
      </c>
      <c r="R53" s="2045"/>
      <c r="S53" s="2045"/>
      <c r="T53" s="2046">
        <f t="shared" si="0"/>
        <v>760000000</v>
      </c>
      <c r="U53" s="2046">
        <f t="shared" si="1"/>
        <v>0</v>
      </c>
      <c r="V53" s="2046">
        <f t="shared" si="2"/>
        <v>760000000</v>
      </c>
    </row>
    <row r="54" spans="1:22" ht="13.15" customHeight="1" x14ac:dyDescent="0.2">
      <c r="A54" s="2046"/>
      <c r="B54" s="3410"/>
      <c r="C54" s="1762" t="s">
        <v>1089</v>
      </c>
      <c r="D54" s="1208" t="s">
        <v>1090</v>
      </c>
      <c r="E54" s="2080"/>
      <c r="F54" s="2041">
        <v>256200000</v>
      </c>
      <c r="G54" s="2041"/>
      <c r="H54" s="2059"/>
      <c r="I54" s="2081"/>
      <c r="J54" s="2059"/>
      <c r="K54" s="2059"/>
      <c r="L54" s="573"/>
      <c r="M54" s="2082"/>
      <c r="N54" s="2082"/>
      <c r="O54" s="2082"/>
      <c r="P54" s="574"/>
      <c r="Q54" s="2083">
        <v>256200000</v>
      </c>
      <c r="R54" s="2045"/>
      <c r="S54" s="2045"/>
      <c r="T54" s="2046">
        <f t="shared" si="0"/>
        <v>256200000</v>
      </c>
      <c r="U54" s="2046">
        <f t="shared" si="1"/>
        <v>0</v>
      </c>
      <c r="V54" s="2046">
        <f t="shared" si="2"/>
        <v>256200000</v>
      </c>
    </row>
    <row r="55" spans="1:22" ht="13.15" hidden="1" customHeight="1" x14ac:dyDescent="0.2">
      <c r="A55" s="2046"/>
      <c r="B55" s="3410"/>
      <c r="C55" s="2084" t="s">
        <v>810</v>
      </c>
      <c r="D55" s="2085" t="s">
        <v>1085</v>
      </c>
      <c r="E55" s="2076"/>
      <c r="F55" s="2041"/>
      <c r="G55" s="2041"/>
      <c r="H55" s="2059"/>
      <c r="I55" s="2081"/>
      <c r="J55" s="2059"/>
      <c r="K55" s="2059"/>
      <c r="L55" s="571"/>
      <c r="M55" s="2077"/>
      <c r="N55" s="2077"/>
      <c r="O55" s="2077"/>
      <c r="P55" s="572"/>
      <c r="Q55" s="2041"/>
      <c r="R55" s="2045"/>
      <c r="S55" s="2045"/>
      <c r="T55" s="2046">
        <f t="shared" si="0"/>
        <v>0</v>
      </c>
      <c r="U55" s="2046">
        <f t="shared" si="1"/>
        <v>0</v>
      </c>
      <c r="V55" s="2046">
        <f t="shared" si="2"/>
        <v>0</v>
      </c>
    </row>
    <row r="56" spans="1:22" ht="13.15" customHeight="1" x14ac:dyDescent="0.2">
      <c r="A56" s="2046"/>
      <c r="B56" s="3410"/>
      <c r="C56" s="1763" t="s">
        <v>627</v>
      </c>
      <c r="D56" s="2070" t="s">
        <v>603</v>
      </c>
      <c r="E56" s="2041"/>
      <c r="F56" s="2041">
        <v>1040000001</v>
      </c>
      <c r="G56" s="2041"/>
      <c r="H56" s="2059"/>
      <c r="I56" s="2059"/>
      <c r="J56" s="2059"/>
      <c r="K56" s="2059"/>
      <c r="L56" s="571"/>
      <c r="M56" s="2077"/>
      <c r="N56" s="2077"/>
      <c r="O56" s="2077"/>
      <c r="P56" s="572"/>
      <c r="Q56" s="2041">
        <v>1040000001</v>
      </c>
      <c r="R56" s="2045"/>
      <c r="S56" s="2045"/>
      <c r="T56" s="2046">
        <f t="shared" si="0"/>
        <v>1040000001</v>
      </c>
      <c r="U56" s="2046">
        <f t="shared" si="1"/>
        <v>0</v>
      </c>
      <c r="V56" s="2046">
        <f t="shared" si="2"/>
        <v>1040000001</v>
      </c>
    </row>
    <row r="57" spans="1:22" ht="13.15" customHeight="1" x14ac:dyDescent="0.2">
      <c r="A57" s="2046"/>
      <c r="B57" s="3410"/>
      <c r="C57" s="1763" t="s">
        <v>1083</v>
      </c>
      <c r="D57" s="2086" t="s">
        <v>1082</v>
      </c>
      <c r="E57" s="2041">
        <v>3224955968</v>
      </c>
      <c r="F57" s="2041">
        <f>32320185400-F79</f>
        <v>29210977300</v>
      </c>
      <c r="G57" s="2041"/>
      <c r="H57" s="2059"/>
      <c r="I57" s="2059"/>
      <c r="J57" s="2059"/>
      <c r="K57" s="2059">
        <v>-25160175868</v>
      </c>
      <c r="L57" s="571"/>
      <c r="M57" s="2077"/>
      <c r="N57" s="2077"/>
      <c r="O57" s="2077"/>
      <c r="P57" s="572"/>
      <c r="Q57" s="2041">
        <f>10384965500-Q79</f>
        <v>7275757400</v>
      </c>
      <c r="R57" s="2045"/>
      <c r="S57" s="2045"/>
      <c r="T57" s="2046">
        <f t="shared" si="0"/>
        <v>7275757400</v>
      </c>
      <c r="U57" s="2046">
        <f>Q57-T57</f>
        <v>0</v>
      </c>
      <c r="V57" s="2046">
        <f t="shared" si="2"/>
        <v>29210977300</v>
      </c>
    </row>
    <row r="58" spans="1:22" ht="13.15" customHeight="1" x14ac:dyDescent="0.2">
      <c r="A58" s="2046"/>
      <c r="B58" s="3410"/>
      <c r="C58" s="2084" t="s">
        <v>1078</v>
      </c>
      <c r="D58" s="2087" t="s">
        <v>1077</v>
      </c>
      <c r="E58" s="2041">
        <v>2261750000</v>
      </c>
      <c r="F58" s="2041"/>
      <c r="G58" s="2041"/>
      <c r="H58" s="2059"/>
      <c r="I58" s="2059"/>
      <c r="J58" s="2059"/>
      <c r="K58" s="2059">
        <v>-2208994000</v>
      </c>
      <c r="L58" s="571"/>
      <c r="M58" s="2077"/>
      <c r="N58" s="2077"/>
      <c r="O58" s="2077"/>
      <c r="P58" s="572"/>
      <c r="Q58" s="2041">
        <v>52756000</v>
      </c>
      <c r="R58" s="2045"/>
      <c r="S58" s="2045"/>
      <c r="T58" s="2046">
        <f t="shared" si="0"/>
        <v>52756000</v>
      </c>
      <c r="U58" s="2046">
        <f t="shared" si="1"/>
        <v>0</v>
      </c>
      <c r="V58" s="2046">
        <f t="shared" si="2"/>
        <v>0</v>
      </c>
    </row>
    <row r="59" spans="1:22" ht="13.15" customHeight="1" x14ac:dyDescent="0.2">
      <c r="A59" s="2046"/>
      <c r="B59" s="3410"/>
      <c r="C59" s="2084" t="s">
        <v>1080</v>
      </c>
      <c r="D59" s="2070" t="s">
        <v>1081</v>
      </c>
      <c r="E59" s="2041"/>
      <c r="F59" s="2041">
        <v>133981873</v>
      </c>
      <c r="G59" s="2041"/>
      <c r="H59" s="572"/>
      <c r="I59" s="2088"/>
      <c r="J59" s="2041"/>
      <c r="K59" s="571"/>
      <c r="L59" s="571"/>
      <c r="M59" s="2077"/>
      <c r="N59" s="2077"/>
      <c r="O59" s="2077"/>
      <c r="P59" s="572"/>
      <c r="Q59" s="2041">
        <v>133981873</v>
      </c>
      <c r="R59" s="2045"/>
      <c r="S59" s="2045"/>
      <c r="T59" s="2046">
        <f t="shared" si="0"/>
        <v>133981873</v>
      </c>
      <c r="U59" s="2046">
        <f t="shared" si="1"/>
        <v>0</v>
      </c>
      <c r="V59" s="2046">
        <f t="shared" si="2"/>
        <v>133981873</v>
      </c>
    </row>
    <row r="60" spans="1:22" ht="13.15" customHeight="1" x14ac:dyDescent="0.2">
      <c r="A60" s="2046"/>
      <c r="B60" s="3410"/>
      <c r="C60" s="2072" t="s">
        <v>546</v>
      </c>
      <c r="D60" s="2089" t="s">
        <v>545</v>
      </c>
      <c r="E60" s="2041">
        <v>1896600000</v>
      </c>
      <c r="F60" s="2041">
        <v>1800000000</v>
      </c>
      <c r="G60" s="2041"/>
      <c r="H60" s="572"/>
      <c r="I60" s="2088"/>
      <c r="J60" s="2041"/>
      <c r="K60" s="571">
        <v>-1305414532</v>
      </c>
      <c r="L60" s="571"/>
      <c r="M60" s="2077"/>
      <c r="N60" s="2077"/>
      <c r="O60" s="2077"/>
      <c r="P60" s="572"/>
      <c r="Q60" s="2041">
        <v>2391185468</v>
      </c>
      <c r="R60" s="2045"/>
      <c r="S60" s="2045"/>
      <c r="T60" s="2046">
        <f t="shared" si="0"/>
        <v>2391185468</v>
      </c>
      <c r="U60" s="2046">
        <f t="shared" si="1"/>
        <v>0</v>
      </c>
      <c r="V60" s="2046">
        <f>F60-U60</f>
        <v>1800000000</v>
      </c>
    </row>
    <row r="61" spans="1:22" ht="13.15" customHeight="1" x14ac:dyDescent="0.2">
      <c r="A61" s="2046"/>
      <c r="B61" s="3410"/>
      <c r="C61" s="2090">
        <v>1501001020</v>
      </c>
      <c r="D61" s="2091" t="s">
        <v>1349</v>
      </c>
      <c r="E61" s="2041">
        <v>856402750152</v>
      </c>
      <c r="F61" s="2045"/>
      <c r="G61" s="2041"/>
      <c r="H61" s="572"/>
      <c r="I61" s="2088"/>
      <c r="J61" s="2041"/>
      <c r="K61" s="571">
        <v>-345752476271</v>
      </c>
      <c r="L61" s="571"/>
      <c r="M61" s="2077"/>
      <c r="N61" s="2077"/>
      <c r="O61" s="2077"/>
      <c r="P61" s="572"/>
      <c r="Q61" s="2041">
        <v>510650273881</v>
      </c>
      <c r="R61" s="2045"/>
      <c r="S61" s="2045"/>
      <c r="T61" s="2046">
        <f t="shared" si="0"/>
        <v>510650273881</v>
      </c>
      <c r="U61" s="2046">
        <f t="shared" si="1"/>
        <v>0</v>
      </c>
      <c r="V61" s="2046">
        <f>F61-U61</f>
        <v>0</v>
      </c>
    </row>
    <row r="62" spans="1:22" ht="13.15" customHeight="1" x14ac:dyDescent="0.2">
      <c r="A62" s="2046"/>
      <c r="B62" s="3410"/>
      <c r="C62" s="1762" t="s">
        <v>542</v>
      </c>
      <c r="D62" s="1951" t="s">
        <v>335</v>
      </c>
      <c r="E62" s="2041">
        <v>452349891</v>
      </c>
      <c r="F62" s="2041">
        <v>600000000</v>
      </c>
      <c r="G62" s="2041"/>
      <c r="H62" s="572"/>
      <c r="I62" s="2088"/>
      <c r="J62" s="2041"/>
      <c r="K62" s="571">
        <v>-59774030</v>
      </c>
      <c r="L62" s="571"/>
      <c r="M62" s="2077"/>
      <c r="N62" s="2077"/>
      <c r="O62" s="2077"/>
      <c r="P62" s="572"/>
      <c r="Q62" s="2041">
        <v>992575861</v>
      </c>
      <c r="R62" s="2045"/>
      <c r="S62" s="2045"/>
      <c r="T62" s="2046">
        <f t="shared" si="0"/>
        <v>992575861</v>
      </c>
      <c r="U62" s="2046">
        <f t="shared" si="1"/>
        <v>0</v>
      </c>
      <c r="V62" s="2046">
        <f t="shared" si="2"/>
        <v>600000000</v>
      </c>
    </row>
    <row r="63" spans="1:22" ht="13.15" customHeight="1" x14ac:dyDescent="0.2">
      <c r="A63" s="2046"/>
      <c r="B63" s="3410"/>
      <c r="C63" s="1762" t="s">
        <v>548</v>
      </c>
      <c r="D63" s="1993" t="s">
        <v>547</v>
      </c>
      <c r="E63" s="2041"/>
      <c r="F63" s="2041">
        <v>400000000</v>
      </c>
      <c r="G63" s="2041"/>
      <c r="H63" s="572"/>
      <c r="I63" s="2088"/>
      <c r="J63" s="2041"/>
      <c r="K63" s="571"/>
      <c r="L63" s="571"/>
      <c r="M63" s="2077"/>
      <c r="N63" s="2077"/>
      <c r="O63" s="2077"/>
      <c r="P63" s="572"/>
      <c r="Q63" s="2041">
        <v>400000000</v>
      </c>
      <c r="R63" s="2045"/>
      <c r="S63" s="2045"/>
      <c r="T63" s="2046">
        <f t="shared" si="0"/>
        <v>400000000</v>
      </c>
      <c r="U63" s="2046">
        <f t="shared" si="1"/>
        <v>0</v>
      </c>
      <c r="V63" s="2046">
        <f t="shared" si="2"/>
        <v>400000000</v>
      </c>
    </row>
    <row r="64" spans="1:22" ht="13.15" customHeight="1" x14ac:dyDescent="0.2">
      <c r="A64" s="2046"/>
      <c r="B64" s="3410"/>
      <c r="C64" s="1762" t="s">
        <v>550</v>
      </c>
      <c r="D64" s="1993" t="s">
        <v>549</v>
      </c>
      <c r="E64" s="2041"/>
      <c r="F64" s="2041">
        <v>500360876</v>
      </c>
      <c r="G64" s="2041"/>
      <c r="H64" s="572"/>
      <c r="I64" s="2088"/>
      <c r="J64" s="2041"/>
      <c r="K64" s="571"/>
      <c r="L64" s="571"/>
      <c r="M64" s="2077"/>
      <c r="N64" s="2077"/>
      <c r="O64" s="2077"/>
      <c r="P64" s="572"/>
      <c r="Q64" s="2041">
        <v>500360876</v>
      </c>
      <c r="R64" s="2045"/>
      <c r="S64" s="2045"/>
      <c r="T64" s="2046">
        <f t="shared" si="0"/>
        <v>500360876</v>
      </c>
      <c r="U64" s="2046">
        <f t="shared" si="1"/>
        <v>0</v>
      </c>
      <c r="V64" s="2046">
        <f t="shared" si="2"/>
        <v>500360876</v>
      </c>
    </row>
    <row r="65" spans="1:22" ht="13.15" customHeight="1" x14ac:dyDescent="0.2">
      <c r="A65" s="2046"/>
      <c r="B65" s="3410"/>
      <c r="C65" s="1762" t="s">
        <v>610</v>
      </c>
      <c r="D65" s="1993" t="s">
        <v>596</v>
      </c>
      <c r="E65" s="2041"/>
      <c r="F65" s="2041">
        <v>1500000000</v>
      </c>
      <c r="G65" s="2041"/>
      <c r="H65" s="572"/>
      <c r="I65" s="2088"/>
      <c r="J65" s="2041"/>
      <c r="K65" s="571">
        <v>-1500000000</v>
      </c>
      <c r="L65" s="571"/>
      <c r="M65" s="2077"/>
      <c r="N65" s="2077"/>
      <c r="O65" s="2077"/>
      <c r="P65" s="572"/>
      <c r="Q65" s="2041"/>
      <c r="R65" s="2045"/>
      <c r="S65" s="2045"/>
      <c r="T65" s="2046">
        <f t="shared" si="0"/>
        <v>0</v>
      </c>
      <c r="U65" s="2046">
        <f t="shared" si="1"/>
        <v>0</v>
      </c>
      <c r="V65" s="2046">
        <f t="shared" si="2"/>
        <v>1500000000</v>
      </c>
    </row>
    <row r="66" spans="1:22" ht="13.15" customHeight="1" x14ac:dyDescent="0.4">
      <c r="A66" s="2046"/>
      <c r="B66" s="3411"/>
      <c r="C66" s="2010" t="s">
        <v>555</v>
      </c>
      <c r="D66" s="2009" t="s">
        <v>938</v>
      </c>
      <c r="E66" s="2041"/>
      <c r="F66" s="2041">
        <v>4000000000</v>
      </c>
      <c r="G66" s="2041"/>
      <c r="H66" s="572"/>
      <c r="I66" s="2088"/>
      <c r="J66" s="2041"/>
      <c r="K66" s="571"/>
      <c r="L66" s="571"/>
      <c r="M66" s="2077"/>
      <c r="N66" s="2077"/>
      <c r="O66" s="2077"/>
      <c r="P66" s="572"/>
      <c r="Q66" s="2041">
        <v>4000000000</v>
      </c>
      <c r="R66" s="2045"/>
      <c r="S66" s="2045"/>
      <c r="T66" s="2046">
        <f t="shared" si="0"/>
        <v>4000000000</v>
      </c>
      <c r="U66" s="2046">
        <f t="shared" si="1"/>
        <v>0</v>
      </c>
      <c r="V66" s="2046">
        <f t="shared" si="2"/>
        <v>4000000000</v>
      </c>
    </row>
    <row r="67" spans="1:22" ht="13.15" customHeight="1" x14ac:dyDescent="0.2">
      <c r="A67" s="2046"/>
      <c r="B67" s="3411"/>
      <c r="C67" s="1763" t="s">
        <v>2052</v>
      </c>
      <c r="D67" s="2070" t="s">
        <v>601</v>
      </c>
      <c r="E67" s="2041"/>
      <c r="F67" s="2041">
        <v>5617824828</v>
      </c>
      <c r="G67" s="2041"/>
      <c r="H67" s="572"/>
      <c r="I67" s="2088"/>
      <c r="J67" s="2041"/>
      <c r="K67" s="571">
        <v>-5499648000</v>
      </c>
      <c r="L67" s="571"/>
      <c r="M67" s="2077"/>
      <c r="N67" s="2077"/>
      <c r="O67" s="2077"/>
      <c r="P67" s="572"/>
      <c r="Q67" s="2041">
        <v>118176828</v>
      </c>
      <c r="R67" s="2045"/>
      <c r="S67" s="2045"/>
      <c r="T67" s="2046">
        <f t="shared" si="0"/>
        <v>118176828</v>
      </c>
      <c r="U67" s="2046"/>
      <c r="V67" s="2046"/>
    </row>
    <row r="68" spans="1:22" ht="13.15" customHeight="1" x14ac:dyDescent="0.4">
      <c r="A68" s="2046"/>
      <c r="B68" s="3411"/>
      <c r="C68" s="2010" t="s">
        <v>2153</v>
      </c>
      <c r="D68" s="2009" t="s">
        <v>2036</v>
      </c>
      <c r="E68" s="2041"/>
      <c r="F68" s="2041">
        <f>57542449667-F80</f>
        <v>55235199667</v>
      </c>
      <c r="G68" s="2041"/>
      <c r="H68" s="572"/>
      <c r="I68" s="2088"/>
      <c r="J68" s="2041"/>
      <c r="K68" s="571">
        <v>-48989496913</v>
      </c>
      <c r="L68" s="571"/>
      <c r="M68" s="2077"/>
      <c r="N68" s="2077"/>
      <c r="O68" s="2077"/>
      <c r="P68" s="572"/>
      <c r="Q68" s="2041">
        <f>8552952754-Q80</f>
        <v>6245702754</v>
      </c>
      <c r="R68" s="2045"/>
      <c r="S68" s="2045"/>
      <c r="T68" s="2046">
        <f t="shared" si="0"/>
        <v>6245702754</v>
      </c>
      <c r="U68" s="2046">
        <f t="shared" si="1"/>
        <v>0</v>
      </c>
      <c r="V68" s="2046">
        <f t="shared" si="2"/>
        <v>55235199667</v>
      </c>
    </row>
    <row r="69" spans="1:22" ht="13.15" customHeight="1" thickBot="1" x14ac:dyDescent="0.45">
      <c r="A69" s="2046"/>
      <c r="B69" s="3411"/>
      <c r="C69" s="2010" t="s">
        <v>2150</v>
      </c>
      <c r="D69" s="2092" t="s">
        <v>2149</v>
      </c>
      <c r="E69" s="2093"/>
      <c r="F69" s="2093">
        <v>22773212791</v>
      </c>
      <c r="G69" s="2093"/>
      <c r="H69" s="1509"/>
      <c r="I69" s="2094"/>
      <c r="J69" s="2093"/>
      <c r="K69" s="1510">
        <v>-22773212791</v>
      </c>
      <c r="L69" s="1510"/>
      <c r="M69" s="2095"/>
      <c r="N69" s="2095"/>
      <c r="O69" s="2095"/>
      <c r="P69" s="1509"/>
      <c r="Q69" s="2093"/>
      <c r="R69" s="2045"/>
      <c r="S69" s="2045"/>
      <c r="T69" s="2046">
        <f t="shared" si="0"/>
        <v>0</v>
      </c>
      <c r="U69" s="2046">
        <f t="shared" si="1"/>
        <v>0</v>
      </c>
      <c r="V69" s="2046">
        <f t="shared" si="2"/>
        <v>22773212791</v>
      </c>
    </row>
    <row r="70" spans="1:22" ht="14.45" customHeight="1" thickBot="1" x14ac:dyDescent="0.25">
      <c r="A70" s="2046"/>
      <c r="B70" s="3411"/>
      <c r="C70" s="3406" t="s">
        <v>221</v>
      </c>
      <c r="D70" s="3407"/>
      <c r="E70" s="2096">
        <f>SUM(E11:E69)</f>
        <v>932030754538</v>
      </c>
      <c r="F70" s="2096">
        <f>SUM(F11:F69)</f>
        <v>719022128341</v>
      </c>
      <c r="G70" s="2096">
        <f t="shared" ref="G70:P70" si="3">SUM(G11:G69)</f>
        <v>0</v>
      </c>
      <c r="H70" s="2096">
        <f t="shared" si="3"/>
        <v>0</v>
      </c>
      <c r="I70" s="2096">
        <f t="shared" si="3"/>
        <v>0</v>
      </c>
      <c r="J70" s="2096">
        <f t="shared" si="3"/>
        <v>0</v>
      </c>
      <c r="K70" s="2096">
        <f>SUM(K11:K69)</f>
        <v>-947751131248</v>
      </c>
      <c r="L70" s="2096">
        <f t="shared" si="3"/>
        <v>0</v>
      </c>
      <c r="M70" s="2096">
        <f t="shared" si="3"/>
        <v>0</v>
      </c>
      <c r="N70" s="2096">
        <f t="shared" si="3"/>
        <v>0</v>
      </c>
      <c r="O70" s="2096">
        <f t="shared" si="3"/>
        <v>0</v>
      </c>
      <c r="P70" s="2096">
        <f t="shared" si="3"/>
        <v>0</v>
      </c>
      <c r="Q70" s="2096">
        <f>SUM(Q11:Q69)</f>
        <v>703301751631</v>
      </c>
      <c r="R70" s="2045"/>
      <c r="S70" s="2045"/>
      <c r="T70" s="2046">
        <f t="shared" si="0"/>
        <v>703301751631</v>
      </c>
      <c r="U70" s="2046">
        <f>Q70-T70</f>
        <v>0</v>
      </c>
      <c r="V70" s="2046">
        <f t="shared" si="2"/>
        <v>719022128341</v>
      </c>
    </row>
    <row r="71" spans="1:22" ht="14.45" customHeight="1" x14ac:dyDescent="0.2">
      <c r="A71" s="2024"/>
      <c r="B71" s="3423" t="s">
        <v>294</v>
      </c>
      <c r="C71" s="1037">
        <v>1503002046</v>
      </c>
      <c r="D71" s="2097" t="s">
        <v>83</v>
      </c>
      <c r="E71" s="575">
        <v>1989055004</v>
      </c>
      <c r="F71" s="575"/>
      <c r="G71" s="575"/>
      <c r="H71" s="575"/>
      <c r="I71" s="575"/>
      <c r="J71" s="575"/>
      <c r="K71" s="575"/>
      <c r="L71" s="575"/>
      <c r="M71" s="575"/>
      <c r="N71" s="575"/>
      <c r="O71" s="575"/>
      <c r="P71" s="575"/>
      <c r="Q71" s="575">
        <v>1989055004</v>
      </c>
      <c r="R71" s="576"/>
      <c r="S71" s="576"/>
      <c r="T71" s="2046">
        <f t="shared" si="0"/>
        <v>1989055004</v>
      </c>
      <c r="U71" s="2046">
        <f t="shared" si="1"/>
        <v>0</v>
      </c>
      <c r="V71" s="2046">
        <f t="shared" si="2"/>
        <v>0</v>
      </c>
    </row>
    <row r="72" spans="1:22" ht="14.45" hidden="1" customHeight="1" x14ac:dyDescent="0.2">
      <c r="A72" s="2024"/>
      <c r="B72" s="3423"/>
      <c r="C72" s="1038">
        <v>1307002010</v>
      </c>
      <c r="D72" s="2039" t="s">
        <v>203</v>
      </c>
      <c r="E72" s="575"/>
      <c r="F72" s="575"/>
      <c r="G72" s="575"/>
      <c r="H72" s="575"/>
      <c r="I72" s="575"/>
      <c r="J72" s="575"/>
      <c r="K72" s="575"/>
      <c r="L72" s="575"/>
      <c r="M72" s="575"/>
      <c r="N72" s="575"/>
      <c r="O72" s="575"/>
      <c r="P72" s="575"/>
      <c r="Q72" s="575"/>
      <c r="R72" s="576"/>
      <c r="S72" s="576"/>
      <c r="T72" s="2046">
        <f t="shared" si="0"/>
        <v>0</v>
      </c>
      <c r="U72" s="2046">
        <f t="shared" si="1"/>
        <v>0</v>
      </c>
      <c r="V72" s="2046">
        <f t="shared" si="2"/>
        <v>0</v>
      </c>
    </row>
    <row r="73" spans="1:22" ht="14.45" hidden="1" customHeight="1" x14ac:dyDescent="0.2">
      <c r="A73" s="2024"/>
      <c r="B73" s="3423"/>
      <c r="C73" s="1038" t="s">
        <v>614</v>
      </c>
      <c r="D73" s="2067" t="s">
        <v>613</v>
      </c>
      <c r="E73" s="2044"/>
      <c r="F73" s="562"/>
      <c r="G73" s="575"/>
      <c r="H73" s="562"/>
      <c r="I73" s="2098"/>
      <c r="J73" s="2044"/>
      <c r="K73" s="565"/>
      <c r="L73" s="565"/>
      <c r="M73" s="2049"/>
      <c r="N73" s="2049"/>
      <c r="O73" s="2049"/>
      <c r="P73" s="562"/>
      <c r="Q73" s="2044"/>
      <c r="R73" s="2045"/>
      <c r="S73" s="2045"/>
      <c r="T73" s="2046">
        <f t="shared" si="0"/>
        <v>0</v>
      </c>
      <c r="U73" s="2046">
        <f t="shared" si="1"/>
        <v>0</v>
      </c>
      <c r="V73" s="2046">
        <f t="shared" si="2"/>
        <v>0</v>
      </c>
    </row>
    <row r="74" spans="1:22" ht="13.15" customHeight="1" x14ac:dyDescent="0.2">
      <c r="A74" s="2024"/>
      <c r="B74" s="3423"/>
      <c r="C74" s="2099" t="s">
        <v>611</v>
      </c>
      <c r="D74" s="2071" t="s">
        <v>597</v>
      </c>
      <c r="E74" s="2061">
        <v>630347695</v>
      </c>
      <c r="F74" s="570"/>
      <c r="G74" s="575"/>
      <c r="H74" s="570"/>
      <c r="I74" s="2100"/>
      <c r="J74" s="2061"/>
      <c r="K74" s="569"/>
      <c r="L74" s="569"/>
      <c r="M74" s="2075"/>
      <c r="N74" s="2075"/>
      <c r="O74" s="2075"/>
      <c r="P74" s="570"/>
      <c r="Q74" s="2061">
        <v>630347695</v>
      </c>
      <c r="R74" s="2045"/>
      <c r="S74" s="2045"/>
      <c r="T74" s="2046">
        <f t="shared" si="0"/>
        <v>630347695</v>
      </c>
      <c r="U74" s="2046">
        <f t="shared" si="1"/>
        <v>0</v>
      </c>
      <c r="V74" s="2046">
        <f t="shared" si="2"/>
        <v>0</v>
      </c>
    </row>
    <row r="75" spans="1:22" ht="13.15" customHeight="1" x14ac:dyDescent="0.2">
      <c r="A75" s="2024"/>
      <c r="B75" s="3423"/>
      <c r="C75" s="2099" t="s">
        <v>608</v>
      </c>
      <c r="D75" s="2069" t="s">
        <v>1290</v>
      </c>
      <c r="E75" s="2061">
        <v>4815445050</v>
      </c>
      <c r="F75" s="570">
        <v>3673825012</v>
      </c>
      <c r="G75" s="924"/>
      <c r="H75" s="570"/>
      <c r="I75" s="2100"/>
      <c r="J75" s="2061"/>
      <c r="K75" s="569"/>
      <c r="L75" s="569"/>
      <c r="M75" s="2075"/>
      <c r="N75" s="2075"/>
      <c r="O75" s="2075"/>
      <c r="P75" s="570"/>
      <c r="Q75" s="2061">
        <v>8489270062</v>
      </c>
      <c r="R75" s="2045"/>
      <c r="S75" s="2045"/>
      <c r="T75" s="2046">
        <f t="shared" si="0"/>
        <v>8489270062</v>
      </c>
      <c r="U75" s="2046">
        <f t="shared" si="1"/>
        <v>0</v>
      </c>
      <c r="V75" s="2046">
        <f t="shared" si="2"/>
        <v>3673825012</v>
      </c>
    </row>
    <row r="76" spans="1:22" ht="13.15" customHeight="1" x14ac:dyDescent="0.2">
      <c r="A76" s="2024"/>
      <c r="B76" s="3423"/>
      <c r="C76" s="2101" t="s">
        <v>346</v>
      </c>
      <c r="D76" s="2102" t="s">
        <v>323</v>
      </c>
      <c r="E76" s="2041">
        <v>61685742604</v>
      </c>
      <c r="F76" s="572"/>
      <c r="G76" s="925"/>
      <c r="H76" s="572"/>
      <c r="I76" s="2088"/>
      <c r="J76" s="2041"/>
      <c r="K76" s="571">
        <v>-60157994522</v>
      </c>
      <c r="L76" s="571"/>
      <c r="M76" s="2077"/>
      <c r="N76" s="2077"/>
      <c r="O76" s="2077"/>
      <c r="P76" s="572"/>
      <c r="Q76" s="2041">
        <v>1527748082</v>
      </c>
      <c r="R76" s="2045"/>
      <c r="S76" s="2045"/>
      <c r="T76" s="2046">
        <f t="shared" si="0"/>
        <v>1527748082</v>
      </c>
      <c r="U76" s="2046">
        <f t="shared" si="1"/>
        <v>0</v>
      </c>
      <c r="V76" s="2046">
        <f t="shared" si="2"/>
        <v>0</v>
      </c>
    </row>
    <row r="77" spans="1:22" ht="13.15" customHeight="1" x14ac:dyDescent="0.2">
      <c r="A77" s="2024"/>
      <c r="B77" s="3423"/>
      <c r="C77" s="2103" t="s">
        <v>633</v>
      </c>
      <c r="D77" s="2104" t="s">
        <v>632</v>
      </c>
      <c r="E77" s="2041">
        <v>2024155754</v>
      </c>
      <c r="F77" s="572"/>
      <c r="G77" s="925"/>
      <c r="H77" s="572"/>
      <c r="I77" s="2088"/>
      <c r="J77" s="2041"/>
      <c r="K77" s="571"/>
      <c r="L77" s="571"/>
      <c r="M77" s="2077"/>
      <c r="N77" s="2077"/>
      <c r="O77" s="2077"/>
      <c r="P77" s="572"/>
      <c r="Q77" s="2041">
        <v>2024155754</v>
      </c>
      <c r="R77" s="2045"/>
      <c r="S77" s="2045"/>
      <c r="T77" s="2046">
        <f t="shared" ref="T77:T87" si="4">E77+F77+H77+K77</f>
        <v>2024155754</v>
      </c>
      <c r="U77" s="2046">
        <f t="shared" ref="U77:U86" si="5">Q77-T77</f>
        <v>0</v>
      </c>
      <c r="V77" s="2046">
        <f t="shared" ref="V77:V83" si="6">F77-U77</f>
        <v>0</v>
      </c>
    </row>
    <row r="78" spans="1:22" ht="13.15" customHeight="1" x14ac:dyDescent="0.2">
      <c r="A78" s="2024"/>
      <c r="B78" s="3423"/>
      <c r="C78" s="1763" t="s">
        <v>622</v>
      </c>
      <c r="D78" s="2105" t="s">
        <v>620</v>
      </c>
      <c r="E78" s="2041"/>
      <c r="F78" s="572">
        <v>10171007000</v>
      </c>
      <c r="G78" s="925"/>
      <c r="H78" s="572"/>
      <c r="I78" s="2088"/>
      <c r="J78" s="2041"/>
      <c r="K78" s="571">
        <v>-10171007000</v>
      </c>
      <c r="L78" s="571"/>
      <c r="M78" s="2077"/>
      <c r="N78" s="2077"/>
      <c r="O78" s="2077"/>
      <c r="P78" s="572"/>
      <c r="Q78" s="2041"/>
      <c r="R78" s="2045"/>
      <c r="S78" s="2045"/>
      <c r="T78" s="2046">
        <f t="shared" si="4"/>
        <v>0</v>
      </c>
      <c r="U78" s="2046">
        <f t="shared" si="5"/>
        <v>0</v>
      </c>
      <c r="V78" s="2046">
        <f t="shared" si="6"/>
        <v>10171007000</v>
      </c>
    </row>
    <row r="79" spans="1:22" ht="13.15" customHeight="1" x14ac:dyDescent="0.2">
      <c r="A79" s="2024"/>
      <c r="B79" s="3423"/>
      <c r="C79" s="2099" t="s">
        <v>1083</v>
      </c>
      <c r="D79" s="2086" t="s">
        <v>1082</v>
      </c>
      <c r="E79" s="2041"/>
      <c r="F79" s="572">
        <v>3109208100</v>
      </c>
      <c r="G79" s="925"/>
      <c r="H79" s="572"/>
      <c r="I79" s="2088"/>
      <c r="J79" s="2041"/>
      <c r="K79" s="571"/>
      <c r="L79" s="571"/>
      <c r="M79" s="2077"/>
      <c r="N79" s="2077"/>
      <c r="O79" s="2077"/>
      <c r="P79" s="572"/>
      <c r="Q79" s="2041">
        <v>3109208100</v>
      </c>
      <c r="R79" s="2045"/>
      <c r="S79" s="2045"/>
      <c r="T79" s="2046">
        <f t="shared" si="4"/>
        <v>3109208100</v>
      </c>
      <c r="U79" s="2046">
        <f t="shared" si="5"/>
        <v>0</v>
      </c>
      <c r="V79" s="2046">
        <f t="shared" si="6"/>
        <v>3109208100</v>
      </c>
    </row>
    <row r="80" spans="1:22" ht="12" customHeight="1" x14ac:dyDescent="0.4">
      <c r="A80" s="2024"/>
      <c r="B80" s="3423"/>
      <c r="C80" s="2010" t="s">
        <v>2153</v>
      </c>
      <c r="D80" s="2009" t="s">
        <v>2036</v>
      </c>
      <c r="E80" s="2041"/>
      <c r="F80" s="572">
        <v>2307250000</v>
      </c>
      <c r="G80" s="925"/>
      <c r="H80" s="572"/>
      <c r="I80" s="2088"/>
      <c r="J80" s="2041"/>
      <c r="K80" s="571"/>
      <c r="L80" s="571"/>
      <c r="M80" s="2077"/>
      <c r="N80" s="2077"/>
      <c r="O80" s="2077"/>
      <c r="P80" s="572"/>
      <c r="Q80" s="2041">
        <v>2307250000</v>
      </c>
      <c r="R80" s="2045"/>
      <c r="S80" s="2045"/>
      <c r="T80" s="2046">
        <f t="shared" si="4"/>
        <v>2307250000</v>
      </c>
      <c r="U80" s="2046">
        <f t="shared" si="5"/>
        <v>0</v>
      </c>
      <c r="V80" s="2046">
        <f t="shared" si="6"/>
        <v>2307250000</v>
      </c>
    </row>
    <row r="81" spans="1:22" ht="1.9" hidden="1" customHeight="1" x14ac:dyDescent="0.2">
      <c r="A81" s="2024"/>
      <c r="B81" s="3423"/>
      <c r="C81" s="3421" t="s">
        <v>1902</v>
      </c>
      <c r="D81" s="3422"/>
      <c r="E81" s="2041"/>
      <c r="F81" s="2106"/>
      <c r="G81" s="2106"/>
      <c r="H81" s="572"/>
      <c r="I81" s="2088"/>
      <c r="J81" s="2041"/>
      <c r="K81" s="571"/>
      <c r="L81" s="571"/>
      <c r="M81" s="2077"/>
      <c r="N81" s="2077"/>
      <c r="O81" s="2077"/>
      <c r="P81" s="572"/>
      <c r="Q81" s="2041"/>
      <c r="R81" s="2045"/>
      <c r="S81" s="2045"/>
      <c r="T81" s="2046">
        <f t="shared" si="4"/>
        <v>0</v>
      </c>
      <c r="U81" s="2046">
        <f t="shared" si="5"/>
        <v>0</v>
      </c>
      <c r="V81" s="2046">
        <f t="shared" si="6"/>
        <v>0</v>
      </c>
    </row>
    <row r="82" spans="1:22" ht="13.15" customHeight="1" x14ac:dyDescent="0.2">
      <c r="A82" s="2024"/>
      <c r="B82" s="3423"/>
      <c r="C82" s="3424" t="s">
        <v>222</v>
      </c>
      <c r="D82" s="3425"/>
      <c r="E82" s="2107">
        <f>SUM(E71:E81)</f>
        <v>71144746107</v>
      </c>
      <c r="F82" s="2107">
        <f t="shared" ref="F82:Q82" si="7">SUM(F71:F81)</f>
        <v>19261290112</v>
      </c>
      <c r="G82" s="2107">
        <f t="shared" si="7"/>
        <v>0</v>
      </c>
      <c r="H82" s="2107">
        <f t="shared" si="7"/>
        <v>0</v>
      </c>
      <c r="I82" s="2107">
        <f t="shared" si="7"/>
        <v>0</v>
      </c>
      <c r="J82" s="2107">
        <f t="shared" si="7"/>
        <v>0</v>
      </c>
      <c r="K82" s="2107">
        <f t="shared" si="7"/>
        <v>-70329001522</v>
      </c>
      <c r="L82" s="2107">
        <f t="shared" si="7"/>
        <v>0</v>
      </c>
      <c r="M82" s="2107">
        <f t="shared" si="7"/>
        <v>0</v>
      </c>
      <c r="N82" s="2107">
        <f t="shared" si="7"/>
        <v>0</v>
      </c>
      <c r="O82" s="2107">
        <f t="shared" si="7"/>
        <v>0</v>
      </c>
      <c r="P82" s="2107">
        <f t="shared" si="7"/>
        <v>0</v>
      </c>
      <c r="Q82" s="2107">
        <f t="shared" si="7"/>
        <v>20077034697</v>
      </c>
      <c r="R82" s="2045"/>
      <c r="S82" s="2045"/>
      <c r="T82" s="2046">
        <f t="shared" si="4"/>
        <v>20077034697</v>
      </c>
      <c r="U82" s="2046">
        <f t="shared" si="5"/>
        <v>0</v>
      </c>
      <c r="V82" s="2046">
        <f t="shared" si="6"/>
        <v>19261290112</v>
      </c>
    </row>
    <row r="83" spans="1:22" ht="13.15" customHeight="1" thickBot="1" x14ac:dyDescent="0.25">
      <c r="B83" s="3412" t="s">
        <v>195</v>
      </c>
      <c r="C83" s="3413"/>
      <c r="D83" s="3414"/>
      <c r="E83" s="2108">
        <f>E70+E82-1000000</f>
        <v>1003174500645</v>
      </c>
      <c r="F83" s="2108">
        <f>F70+F82</f>
        <v>738283418453</v>
      </c>
      <c r="G83" s="2108">
        <f>G70+G82</f>
        <v>0</v>
      </c>
      <c r="H83" s="2108">
        <f>H70+H82</f>
        <v>0</v>
      </c>
      <c r="I83" s="2109" t="s">
        <v>30</v>
      </c>
      <c r="J83" s="2108">
        <f t="shared" ref="J83:P83" si="8">J70+J82</f>
        <v>0</v>
      </c>
      <c r="K83" s="2108">
        <f>K70+K82</f>
        <v>-1018080132770</v>
      </c>
      <c r="L83" s="2108">
        <f t="shared" si="8"/>
        <v>0</v>
      </c>
      <c r="M83" s="2108">
        <f t="shared" si="8"/>
        <v>0</v>
      </c>
      <c r="N83" s="2108">
        <f t="shared" si="8"/>
        <v>0</v>
      </c>
      <c r="O83" s="2108">
        <f t="shared" si="8"/>
        <v>0</v>
      </c>
      <c r="P83" s="2108">
        <f t="shared" si="8"/>
        <v>0</v>
      </c>
      <c r="Q83" s="2108">
        <f>Q70+Q82</f>
        <v>723378786328</v>
      </c>
      <c r="R83" s="2048"/>
      <c r="S83" s="2048"/>
      <c r="T83" s="2046">
        <f t="shared" si="4"/>
        <v>723377786328</v>
      </c>
      <c r="U83" s="2046">
        <f t="shared" si="5"/>
        <v>1000000</v>
      </c>
      <c r="V83" s="2046">
        <f t="shared" si="6"/>
        <v>738282418453</v>
      </c>
    </row>
    <row r="84" spans="1:22" ht="14.45" customHeight="1" thickTop="1" x14ac:dyDescent="0.2">
      <c r="F84" s="2045" t="s">
        <v>1117</v>
      </c>
      <c r="G84" s="2045"/>
      <c r="H84" s="2045" t="s">
        <v>1210</v>
      </c>
      <c r="I84" s="2029" t="s">
        <v>1137</v>
      </c>
      <c r="J84" s="2045" t="s">
        <v>1003</v>
      </c>
      <c r="K84" s="2029" t="s">
        <v>531</v>
      </c>
      <c r="L84" s="2029" t="s">
        <v>306</v>
      </c>
      <c r="N84" s="2045" t="s">
        <v>305</v>
      </c>
      <c r="O84" s="2029" t="s">
        <v>307</v>
      </c>
      <c r="T84" s="2046"/>
      <c r="U84" s="2046"/>
      <c r="V84" s="2046"/>
    </row>
    <row r="85" spans="1:22" ht="12.6" customHeight="1" x14ac:dyDescent="0.2">
      <c r="A85" s="2110"/>
      <c r="B85" s="3418" t="s">
        <v>1861</v>
      </c>
      <c r="C85" s="3418"/>
      <c r="D85" s="3418"/>
      <c r="E85" s="3418"/>
      <c r="F85" s="3418"/>
      <c r="G85" s="3418"/>
      <c r="H85" s="3418"/>
      <c r="I85" s="3418"/>
      <c r="J85" s="3418"/>
      <c r="K85" s="3418"/>
      <c r="L85" s="3418"/>
      <c r="M85" s="3418"/>
      <c r="N85" s="3418"/>
      <c r="O85" s="3418"/>
      <c r="P85" s="3418"/>
      <c r="Q85" s="3418"/>
      <c r="R85" s="2111"/>
      <c r="S85" s="2111"/>
      <c r="T85" s="2046">
        <f t="shared" si="4"/>
        <v>0</v>
      </c>
      <c r="U85" s="2046">
        <f t="shared" si="5"/>
        <v>0</v>
      </c>
    </row>
    <row r="86" spans="1:22" ht="12.6" customHeight="1" x14ac:dyDescent="0.2">
      <c r="A86" s="2110"/>
      <c r="B86" s="3415" t="s">
        <v>2159</v>
      </c>
      <c r="C86" s="3415"/>
      <c r="D86" s="3415"/>
      <c r="E86" s="3415"/>
      <c r="F86" s="3415"/>
      <c r="G86" s="3415"/>
      <c r="H86" s="3415"/>
      <c r="I86" s="3415"/>
      <c r="J86" s="3415"/>
      <c r="K86" s="3415"/>
      <c r="L86" s="3415"/>
      <c r="M86" s="3415"/>
      <c r="N86" s="3415"/>
      <c r="O86" s="3415"/>
      <c r="P86" s="3415"/>
      <c r="Q86" s="3415"/>
      <c r="R86" s="2111"/>
      <c r="S86" s="2111"/>
      <c r="T86" s="2046">
        <f t="shared" si="4"/>
        <v>0</v>
      </c>
      <c r="U86" s="2046">
        <f t="shared" si="5"/>
        <v>0</v>
      </c>
    </row>
    <row r="87" spans="1:22" ht="12.6" customHeight="1" x14ac:dyDescent="0.2">
      <c r="B87" s="3401" t="s">
        <v>1192</v>
      </c>
      <c r="C87" s="3401"/>
      <c r="D87" s="3401"/>
      <c r="E87" s="3401"/>
      <c r="F87" s="3401"/>
      <c r="G87" s="3401"/>
      <c r="H87" s="3401"/>
      <c r="I87" s="3401"/>
      <c r="J87" s="3401"/>
      <c r="K87" s="3401"/>
      <c r="L87" s="3401"/>
      <c r="M87" s="3401"/>
      <c r="N87" s="3401"/>
      <c r="O87" s="3401"/>
      <c r="P87" s="3401"/>
      <c r="Q87" s="3401"/>
      <c r="R87" s="2112"/>
      <c r="S87" s="2112"/>
      <c r="T87" s="2046">
        <f t="shared" si="4"/>
        <v>0</v>
      </c>
    </row>
    <row r="88" spans="1:22" ht="16.899999999999999" customHeight="1" x14ac:dyDescent="0.2">
      <c r="T88" s="2021">
        <f>Q83-T86</f>
        <v>723378786328</v>
      </c>
    </row>
    <row r="89" spans="1:22" x14ac:dyDescent="0.2">
      <c r="F89" s="2029">
        <v>738283418453</v>
      </c>
      <c r="Q89" s="2021">
        <v>723378786328</v>
      </c>
    </row>
    <row r="90" spans="1:22" x14ac:dyDescent="0.2">
      <c r="C90" s="2021"/>
      <c r="E90" s="2021"/>
      <c r="F90" s="2021">
        <f>F89-F83</f>
        <v>0</v>
      </c>
      <c r="G90" s="2021"/>
      <c r="H90" s="2021"/>
      <c r="O90" s="2021"/>
      <c r="P90" s="2021"/>
      <c r="Q90" s="2021">
        <f>Q83-Q89</f>
        <v>0</v>
      </c>
      <c r="T90" s="2021">
        <f>E83+F83+K83</f>
        <v>723377786328</v>
      </c>
    </row>
    <row r="91" spans="1:22" x14ac:dyDescent="0.2">
      <c r="C91" s="2021"/>
      <c r="N91" s="2029" t="s">
        <v>308</v>
      </c>
      <c r="O91" s="2021"/>
      <c r="P91" s="2021"/>
    </row>
    <row r="92" spans="1:22" x14ac:dyDescent="0.2">
      <c r="C92" s="2021"/>
      <c r="M92" s="2021"/>
      <c r="N92" s="2021"/>
      <c r="O92" s="2021"/>
      <c r="P92" s="2021"/>
    </row>
    <row r="93" spans="1:22" x14ac:dyDescent="0.2">
      <c r="T93" s="2021">
        <f>E70+F70+H70+K70</f>
        <v>703301751631</v>
      </c>
    </row>
    <row r="94" spans="1:22" x14ac:dyDescent="0.2">
      <c r="C94" s="2113" t="s">
        <v>2079</v>
      </c>
      <c r="D94" s="2114" t="s">
        <v>223</v>
      </c>
      <c r="E94" s="2113" t="s">
        <v>1156</v>
      </c>
      <c r="F94" s="2114">
        <v>5762898533</v>
      </c>
      <c r="T94" s="2021">
        <f>E83+F83+H83+K83</f>
        <v>723377786328</v>
      </c>
    </row>
    <row r="95" spans="1:22" x14ac:dyDescent="0.2">
      <c r="C95" s="2113" t="s">
        <v>2080</v>
      </c>
      <c r="D95" s="2114" t="s">
        <v>317</v>
      </c>
      <c r="E95" s="2113" t="s">
        <v>1155</v>
      </c>
      <c r="F95" s="2114">
        <v>553470846</v>
      </c>
      <c r="T95" s="2021">
        <f>F83+H83</f>
        <v>738283418453</v>
      </c>
    </row>
    <row r="96" spans="1:22" x14ac:dyDescent="0.2">
      <c r="C96" s="2113" t="s">
        <v>2026</v>
      </c>
      <c r="D96" s="2114" t="s">
        <v>224</v>
      </c>
      <c r="E96" s="2113" t="s">
        <v>2027</v>
      </c>
      <c r="F96" s="2114">
        <v>19895234581</v>
      </c>
    </row>
    <row r="97" spans="3:6" x14ac:dyDescent="0.2">
      <c r="C97" s="2113" t="s">
        <v>2086</v>
      </c>
      <c r="D97" s="2114" t="s">
        <v>1062</v>
      </c>
      <c r="E97" s="2114" t="s">
        <v>2087</v>
      </c>
      <c r="F97" s="2114">
        <v>121483375</v>
      </c>
    </row>
    <row r="98" spans="3:6" x14ac:dyDescent="0.2">
      <c r="C98" s="2113" t="s">
        <v>2088</v>
      </c>
      <c r="D98" s="2114" t="s">
        <v>320</v>
      </c>
      <c r="E98" s="2114" t="s">
        <v>2089</v>
      </c>
      <c r="F98" s="2114">
        <v>932713662</v>
      </c>
    </row>
    <row r="99" spans="3:6" x14ac:dyDescent="0.2">
      <c r="C99" s="2113" t="s">
        <v>2090</v>
      </c>
      <c r="D99" s="2114" t="s">
        <v>87</v>
      </c>
      <c r="E99" s="2113" t="s">
        <v>1291</v>
      </c>
      <c r="F99" s="2114">
        <v>75234966</v>
      </c>
    </row>
    <row r="100" spans="3:6" x14ac:dyDescent="0.2">
      <c r="C100" s="2113" t="s">
        <v>2091</v>
      </c>
      <c r="D100" s="2114" t="s">
        <v>321</v>
      </c>
      <c r="E100" s="2114" t="s">
        <v>2092</v>
      </c>
      <c r="F100" s="2114">
        <v>83929642</v>
      </c>
    </row>
    <row r="101" spans="3:6" x14ac:dyDescent="0.2">
      <c r="C101" s="2113" t="s">
        <v>2155</v>
      </c>
      <c r="D101" s="2114" t="s">
        <v>302</v>
      </c>
      <c r="E101" s="2114" t="s">
        <v>2156</v>
      </c>
      <c r="F101" s="2114">
        <v>32470710</v>
      </c>
    </row>
    <row r="102" spans="3:6" x14ac:dyDescent="0.2">
      <c r="C102" s="2113" t="s">
        <v>1761</v>
      </c>
      <c r="D102" s="2114" t="s">
        <v>323</v>
      </c>
      <c r="E102" s="2113" t="s">
        <v>346</v>
      </c>
      <c r="F102" s="2114">
        <v>63415162121</v>
      </c>
    </row>
    <row r="103" spans="3:6" x14ac:dyDescent="0.2">
      <c r="C103" s="2113" t="s">
        <v>2093</v>
      </c>
      <c r="D103" s="2114" t="s">
        <v>951</v>
      </c>
      <c r="E103" s="2114" t="s">
        <v>2094</v>
      </c>
      <c r="F103" s="2114">
        <v>143713849</v>
      </c>
    </row>
    <row r="104" spans="3:6" x14ac:dyDescent="0.2">
      <c r="C104" s="2113" t="s">
        <v>2095</v>
      </c>
      <c r="D104" s="2114" t="s">
        <v>1065</v>
      </c>
      <c r="E104" s="2114" t="s">
        <v>2096</v>
      </c>
      <c r="F104" s="2114">
        <v>27988227</v>
      </c>
    </row>
    <row r="105" spans="3:6" x14ac:dyDescent="0.2">
      <c r="C105" s="2113" t="s">
        <v>2097</v>
      </c>
      <c r="D105" s="2114" t="s">
        <v>230</v>
      </c>
      <c r="E105" s="2113" t="s">
        <v>1157</v>
      </c>
      <c r="F105" s="2114">
        <v>301187310</v>
      </c>
    </row>
    <row r="106" spans="3:6" x14ac:dyDescent="0.2">
      <c r="C106" s="2113" t="s">
        <v>2098</v>
      </c>
      <c r="D106" s="2114" t="s">
        <v>940</v>
      </c>
      <c r="E106" s="2114" t="s">
        <v>2099</v>
      </c>
      <c r="F106" s="2114">
        <v>181024000</v>
      </c>
    </row>
    <row r="107" spans="3:6" x14ac:dyDescent="0.2">
      <c r="C107" s="2113" t="s">
        <v>2100</v>
      </c>
      <c r="D107" s="2114" t="s">
        <v>618</v>
      </c>
      <c r="E107" s="2114" t="s">
        <v>2101</v>
      </c>
      <c r="F107" s="2114">
        <v>335715</v>
      </c>
    </row>
    <row r="108" spans="3:6" x14ac:dyDescent="0.2">
      <c r="C108" s="2113" t="s">
        <v>2102</v>
      </c>
      <c r="D108" s="2114" t="s">
        <v>910</v>
      </c>
      <c r="E108" s="2113" t="s">
        <v>1160</v>
      </c>
      <c r="F108" s="2114">
        <v>8240679743</v>
      </c>
    </row>
    <row r="109" spans="3:6" x14ac:dyDescent="0.2">
      <c r="C109" s="2113" t="s">
        <v>2157</v>
      </c>
      <c r="D109" s="2114" t="s">
        <v>619</v>
      </c>
      <c r="E109" s="2113" t="s">
        <v>366</v>
      </c>
      <c r="F109" s="2114">
        <v>2929653000</v>
      </c>
    </row>
    <row r="110" spans="3:6" x14ac:dyDescent="0.2">
      <c r="C110" s="2113" t="s">
        <v>1771</v>
      </c>
      <c r="D110" s="2114" t="s">
        <v>547</v>
      </c>
      <c r="E110" s="2114" t="s">
        <v>2103</v>
      </c>
      <c r="F110" s="2114">
        <v>400000000</v>
      </c>
    </row>
    <row r="111" spans="3:6" x14ac:dyDescent="0.2">
      <c r="C111" s="2113" t="s">
        <v>2104</v>
      </c>
      <c r="D111" s="2114" t="s">
        <v>556</v>
      </c>
      <c r="E111" s="2114" t="s">
        <v>2105</v>
      </c>
      <c r="F111" s="2114">
        <v>500360876</v>
      </c>
    </row>
    <row r="112" spans="3:6" x14ac:dyDescent="0.2">
      <c r="C112" s="2113" t="s">
        <v>2081</v>
      </c>
      <c r="D112" s="2114" t="s">
        <v>1099</v>
      </c>
      <c r="E112" s="2114" t="s">
        <v>2082</v>
      </c>
      <c r="F112" s="2114">
        <v>1836760394</v>
      </c>
    </row>
    <row r="113" spans="3:6" x14ac:dyDescent="0.2">
      <c r="C113" s="2113" t="s">
        <v>2106</v>
      </c>
      <c r="D113" s="2114" t="s">
        <v>1100</v>
      </c>
      <c r="E113" s="2114" t="s">
        <v>2107</v>
      </c>
      <c r="F113" s="2114">
        <v>992575861</v>
      </c>
    </row>
    <row r="114" spans="3:6" x14ac:dyDescent="0.2">
      <c r="C114" s="2113" t="s">
        <v>1778</v>
      </c>
      <c r="D114" s="2114" t="s">
        <v>545</v>
      </c>
      <c r="E114" s="2114" t="s">
        <v>2108</v>
      </c>
      <c r="F114" s="2114">
        <v>2391185468</v>
      </c>
    </row>
    <row r="115" spans="3:6" x14ac:dyDescent="0.2">
      <c r="C115" s="2113" t="s">
        <v>1763</v>
      </c>
      <c r="D115" s="2114" t="s">
        <v>595</v>
      </c>
      <c r="E115" s="2113" t="s">
        <v>608</v>
      </c>
      <c r="F115" s="2114">
        <v>38053610857</v>
      </c>
    </row>
    <row r="116" spans="3:6" x14ac:dyDescent="0.2">
      <c r="C116" s="2113" t="s">
        <v>2109</v>
      </c>
      <c r="D116" s="2114" t="s">
        <v>938</v>
      </c>
      <c r="E116" s="2114" t="s">
        <v>2110</v>
      </c>
      <c r="F116" s="2114">
        <v>4000000000</v>
      </c>
    </row>
    <row r="117" spans="3:6" x14ac:dyDescent="0.2">
      <c r="C117" s="2113" t="s">
        <v>1768</v>
      </c>
      <c r="D117" s="2114" t="s">
        <v>1769</v>
      </c>
      <c r="E117" s="2114" t="s">
        <v>2083</v>
      </c>
      <c r="F117" s="2114">
        <v>8717838996</v>
      </c>
    </row>
    <row r="118" spans="3:6" x14ac:dyDescent="0.2">
      <c r="C118" s="2113" t="s">
        <v>2111</v>
      </c>
      <c r="D118" s="2114" t="s">
        <v>597</v>
      </c>
      <c r="E118" s="2114" t="s">
        <v>2112</v>
      </c>
      <c r="F118" s="2114">
        <v>1331980000</v>
      </c>
    </row>
    <row r="119" spans="3:6" x14ac:dyDescent="0.2">
      <c r="C119" s="2113" t="s">
        <v>2113</v>
      </c>
      <c r="D119" s="2114" t="s">
        <v>598</v>
      </c>
      <c r="E119" s="2114" t="s">
        <v>2114</v>
      </c>
      <c r="F119" s="2114">
        <v>2745489001</v>
      </c>
    </row>
    <row r="120" spans="3:6" x14ac:dyDescent="0.2">
      <c r="C120" s="2113" t="s">
        <v>2115</v>
      </c>
      <c r="D120" s="2114" t="s">
        <v>640</v>
      </c>
      <c r="E120" s="2114" t="s">
        <v>2116</v>
      </c>
      <c r="F120" s="2114">
        <v>2730593898</v>
      </c>
    </row>
    <row r="121" spans="3:6" x14ac:dyDescent="0.2">
      <c r="C121" s="2113" t="s">
        <v>1772</v>
      </c>
      <c r="D121" s="2114" t="s">
        <v>814</v>
      </c>
      <c r="E121" s="2114" t="s">
        <v>2084</v>
      </c>
      <c r="F121" s="2114">
        <v>203760612</v>
      </c>
    </row>
    <row r="122" spans="3:6" x14ac:dyDescent="0.2">
      <c r="C122" s="2113" t="s">
        <v>1776</v>
      </c>
      <c r="D122" s="2114" t="s">
        <v>631</v>
      </c>
      <c r="E122" s="2114" t="s">
        <v>2085</v>
      </c>
      <c r="F122" s="2114">
        <v>5679958832</v>
      </c>
    </row>
    <row r="123" spans="3:6" x14ac:dyDescent="0.2">
      <c r="C123" s="2113" t="s">
        <v>2117</v>
      </c>
      <c r="D123" s="2114" t="s">
        <v>599</v>
      </c>
      <c r="E123" s="2114" t="s">
        <v>2118</v>
      </c>
      <c r="F123" s="2114">
        <v>600000000</v>
      </c>
    </row>
    <row r="124" spans="3:6" x14ac:dyDescent="0.2">
      <c r="C124" s="2113" t="s">
        <v>2119</v>
      </c>
      <c r="D124" s="2114" t="s">
        <v>632</v>
      </c>
      <c r="E124" s="2114" t="s">
        <v>2120</v>
      </c>
      <c r="F124" s="2114">
        <v>8454497000</v>
      </c>
    </row>
    <row r="125" spans="3:6" x14ac:dyDescent="0.2">
      <c r="C125" s="2113" t="s">
        <v>1775</v>
      </c>
      <c r="D125" s="2114" t="s">
        <v>600</v>
      </c>
      <c r="E125" s="2114" t="s">
        <v>2121</v>
      </c>
      <c r="F125" s="2114">
        <v>2089957488</v>
      </c>
    </row>
    <row r="126" spans="3:6" x14ac:dyDescent="0.2">
      <c r="C126" s="2113" t="s">
        <v>2122</v>
      </c>
      <c r="D126" s="2114" t="s">
        <v>601</v>
      </c>
      <c r="E126" s="2114" t="s">
        <v>2123</v>
      </c>
      <c r="F126" s="2114">
        <v>2962897758</v>
      </c>
    </row>
    <row r="127" spans="3:6" x14ac:dyDescent="0.2">
      <c r="C127" s="2113" t="s">
        <v>1766</v>
      </c>
      <c r="D127" s="2114" t="s">
        <v>602</v>
      </c>
      <c r="E127" s="2114" t="s">
        <v>2124</v>
      </c>
      <c r="F127" s="2114">
        <v>760000000</v>
      </c>
    </row>
    <row r="128" spans="3:6" x14ac:dyDescent="0.2">
      <c r="C128" s="2113" t="s">
        <v>2125</v>
      </c>
      <c r="D128" s="2114" t="s">
        <v>603</v>
      </c>
      <c r="E128" s="2114" t="s">
        <v>2126</v>
      </c>
      <c r="F128" s="2114">
        <v>1040000001</v>
      </c>
    </row>
    <row r="129" spans="3:6" x14ac:dyDescent="0.2">
      <c r="C129" s="2113" t="s">
        <v>2127</v>
      </c>
      <c r="D129" s="2114" t="s">
        <v>605</v>
      </c>
      <c r="E129" s="2114" t="s">
        <v>2128</v>
      </c>
      <c r="F129" s="2114">
        <v>1591694444</v>
      </c>
    </row>
    <row r="130" spans="3:6" x14ac:dyDescent="0.2">
      <c r="C130" s="2113" t="s">
        <v>2129</v>
      </c>
      <c r="D130" s="2114" t="s">
        <v>676</v>
      </c>
      <c r="E130" s="2114" t="s">
        <v>2130</v>
      </c>
      <c r="F130" s="2114">
        <v>3449137726</v>
      </c>
    </row>
    <row r="131" spans="3:6" x14ac:dyDescent="0.2">
      <c r="C131" s="2113" t="s">
        <v>2131</v>
      </c>
      <c r="D131" s="2114" t="s">
        <v>2132</v>
      </c>
      <c r="E131" s="2114" t="s">
        <v>2133</v>
      </c>
      <c r="F131" s="2114">
        <v>256200000</v>
      </c>
    </row>
    <row r="132" spans="3:6" x14ac:dyDescent="0.2">
      <c r="C132" s="2113" t="s">
        <v>2134</v>
      </c>
      <c r="D132" s="2114" t="s">
        <v>2135</v>
      </c>
      <c r="E132" s="2114" t="s">
        <v>2136</v>
      </c>
      <c r="F132" s="2114">
        <v>133981873</v>
      </c>
    </row>
    <row r="133" spans="3:6" x14ac:dyDescent="0.2">
      <c r="C133" s="2113" t="s">
        <v>1764</v>
      </c>
      <c r="D133" s="2114" t="s">
        <v>1082</v>
      </c>
      <c r="E133" s="2114" t="s">
        <v>2137</v>
      </c>
      <c r="F133" s="2114">
        <v>10384965500</v>
      </c>
    </row>
    <row r="134" spans="3:6" x14ac:dyDescent="0.2">
      <c r="C134" s="2113" t="s">
        <v>2138</v>
      </c>
      <c r="D134" s="2114" t="s">
        <v>1077</v>
      </c>
      <c r="E134" s="2114" t="s">
        <v>2139</v>
      </c>
      <c r="F134" s="2114">
        <v>52756000</v>
      </c>
    </row>
    <row r="135" spans="3:6" x14ac:dyDescent="0.2">
      <c r="C135" s="2113" t="s">
        <v>2140</v>
      </c>
      <c r="D135" s="2114" t="s">
        <v>2141</v>
      </c>
      <c r="E135" s="2113" t="s">
        <v>1884</v>
      </c>
      <c r="F135" s="2114">
        <v>510650273881</v>
      </c>
    </row>
    <row r="136" spans="3:6" x14ac:dyDescent="0.2">
      <c r="C136" s="2113" t="s">
        <v>2145</v>
      </c>
      <c r="D136" s="2114" t="s">
        <v>2030</v>
      </c>
      <c r="E136" s="2114" t="s">
        <v>2146</v>
      </c>
      <c r="F136" s="2114">
        <v>118176828</v>
      </c>
    </row>
    <row r="137" spans="3:6" x14ac:dyDescent="0.2">
      <c r="C137" s="2113" t="s">
        <v>2147</v>
      </c>
      <c r="D137" s="2114" t="s">
        <v>2036</v>
      </c>
      <c r="E137" s="2114" t="s">
        <v>2148</v>
      </c>
      <c r="F137" s="2114">
        <v>8552952754</v>
      </c>
    </row>
  </sheetData>
  <mergeCells count="24">
    <mergeCell ref="B71:B82"/>
    <mergeCell ref="C82:D82"/>
    <mergeCell ref="A1:Q1"/>
    <mergeCell ref="A2:Q2"/>
    <mergeCell ref="A3:Q3"/>
    <mergeCell ref="B4:Q4"/>
    <mergeCell ref="B7:N7"/>
    <mergeCell ref="P7:Q8"/>
    <mergeCell ref="B87:Q87"/>
    <mergeCell ref="I9:I10"/>
    <mergeCell ref="Q9:Q10"/>
    <mergeCell ref="C70:D70"/>
    <mergeCell ref="D9:D10"/>
    <mergeCell ref="B9:B70"/>
    <mergeCell ref="B83:D83"/>
    <mergeCell ref="B86:Q86"/>
    <mergeCell ref="F9:F10"/>
    <mergeCell ref="E9:E10"/>
    <mergeCell ref="B85:Q85"/>
    <mergeCell ref="H9:H10"/>
    <mergeCell ref="C9:C10"/>
    <mergeCell ref="K9:K10"/>
    <mergeCell ref="C81:D81"/>
    <mergeCell ref="G9:G10"/>
  </mergeCells>
  <pageMargins left="0.74803149606299202" right="0.74803149606299202" top="0.39370078740157499" bottom="0" header="0.511811023622047" footer="0"/>
  <pageSetup scale="80" fitToWidth="0" fitToHeight="0"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2060"/>
  </sheetPr>
  <dimension ref="A1:W81"/>
  <sheetViews>
    <sheetView rightToLeft="1" view="pageBreakPreview" topLeftCell="A71" zoomScale="94" zoomScaleNormal="96" zoomScaleSheetLayoutView="94" workbookViewId="0">
      <selection activeCell="A81" sqref="A81"/>
    </sheetView>
  </sheetViews>
  <sheetFormatPr defaultColWidth="9.140625" defaultRowHeight="12" customHeight="1" x14ac:dyDescent="0.2"/>
  <cols>
    <col min="1" max="1" width="2.28515625" style="71" customWidth="1"/>
    <col min="2" max="2" width="2.7109375" style="1063" customWidth="1"/>
    <col min="3" max="3" width="12.28515625" style="1063" customWidth="1"/>
    <col min="4" max="4" width="28.7109375" style="197" customWidth="1"/>
    <col min="5" max="5" width="11.140625" style="73" customWidth="1"/>
    <col min="6" max="6" width="13.140625" style="73" hidden="1" customWidth="1"/>
    <col min="7" max="7" width="4.85546875" style="73" customWidth="1"/>
    <col min="8" max="8" width="12" style="73" customWidth="1"/>
    <col min="9" max="9" width="4.28515625" style="73" hidden="1" customWidth="1"/>
    <col min="10" max="10" width="9.7109375" style="73" hidden="1" customWidth="1"/>
    <col min="11" max="11" width="5.7109375" style="73" hidden="1" customWidth="1"/>
    <col min="12" max="12" width="8.5703125" style="73" customWidth="1"/>
    <col min="13" max="13" width="6.42578125" style="73" hidden="1" customWidth="1"/>
    <col min="14" max="14" width="9.5703125" style="74" hidden="1" customWidth="1"/>
    <col min="15" max="15" width="11.85546875" style="73" customWidth="1"/>
    <col min="16" max="16" width="2.85546875" style="71" customWidth="1"/>
    <col min="17" max="19" width="9.140625" style="71"/>
    <col min="20" max="20" width="15.42578125" style="71" customWidth="1"/>
    <col min="21" max="21" width="21.42578125" style="71" customWidth="1"/>
    <col min="22" max="22" width="9.140625" style="71"/>
    <col min="23" max="23" width="20.28515625" style="71" customWidth="1"/>
    <col min="24" max="16384" width="9.140625" style="71"/>
  </cols>
  <sheetData>
    <row r="1" spans="2:20" ht="20.45" customHeight="1" x14ac:dyDescent="0.2">
      <c r="B1" s="3431" t="s">
        <v>295</v>
      </c>
      <c r="C1" s="3431"/>
      <c r="D1" s="3431"/>
      <c r="E1" s="3431"/>
      <c r="F1" s="3431"/>
      <c r="G1" s="3431"/>
      <c r="H1" s="3431"/>
      <c r="I1" s="3431"/>
      <c r="J1" s="3431"/>
      <c r="K1" s="3431"/>
      <c r="L1" s="3431"/>
      <c r="M1" s="3431"/>
      <c r="N1" s="3431"/>
      <c r="O1" s="3431"/>
    </row>
    <row r="2" spans="2:20" ht="20.45" customHeight="1" x14ac:dyDescent="0.2">
      <c r="B2" s="3431" t="s">
        <v>45</v>
      </c>
      <c r="C2" s="3431"/>
      <c r="D2" s="3431"/>
      <c r="E2" s="3431"/>
      <c r="F2" s="3431"/>
      <c r="G2" s="3431"/>
      <c r="H2" s="3431"/>
      <c r="I2" s="3431"/>
      <c r="J2" s="3431"/>
      <c r="K2" s="3431"/>
      <c r="L2" s="3431"/>
      <c r="M2" s="3431"/>
      <c r="N2" s="3431"/>
      <c r="O2" s="3431"/>
    </row>
    <row r="3" spans="2:20" ht="20.45" customHeight="1" x14ac:dyDescent="0.2">
      <c r="B3" s="3431" t="s">
        <v>46</v>
      </c>
      <c r="C3" s="3431"/>
      <c r="D3" s="3431"/>
      <c r="E3" s="3431"/>
      <c r="F3" s="3431"/>
      <c r="G3" s="3431"/>
      <c r="H3" s="3431"/>
      <c r="I3" s="3431"/>
      <c r="J3" s="3431"/>
      <c r="K3" s="3431"/>
      <c r="L3" s="3431"/>
      <c r="M3" s="3431"/>
      <c r="N3" s="3431"/>
      <c r="O3" s="3431"/>
    </row>
    <row r="4" spans="2:20" ht="20.45" customHeight="1" x14ac:dyDescent="0.2">
      <c r="B4" s="3057" t="s">
        <v>1988</v>
      </c>
      <c r="C4" s="3057"/>
      <c r="D4" s="3057"/>
      <c r="E4" s="3057"/>
      <c r="F4" s="3057"/>
      <c r="G4" s="3057"/>
      <c r="H4" s="3057"/>
      <c r="I4" s="3057"/>
      <c r="J4" s="3057"/>
      <c r="K4" s="3057"/>
      <c r="L4" s="3057"/>
      <c r="M4" s="3057"/>
      <c r="N4" s="3057"/>
      <c r="O4" s="3057"/>
    </row>
    <row r="5" spans="2:20" ht="15.6" customHeight="1" x14ac:dyDescent="0.2">
      <c r="B5" s="717"/>
      <c r="C5" s="717"/>
      <c r="D5" s="717"/>
      <c r="E5" s="717"/>
      <c r="F5" s="717"/>
      <c r="G5" s="717"/>
      <c r="H5" s="717"/>
      <c r="I5" s="717"/>
      <c r="J5" s="717"/>
      <c r="K5" s="717"/>
      <c r="L5" s="717"/>
      <c r="M5" s="717"/>
      <c r="N5" s="717"/>
      <c r="O5" s="717"/>
    </row>
    <row r="6" spans="2:20" ht="15.6" customHeight="1" x14ac:dyDescent="0.2">
      <c r="B6" s="717"/>
      <c r="C6" s="717"/>
      <c r="D6" s="717"/>
      <c r="E6" s="717"/>
      <c r="F6" s="717"/>
      <c r="G6" s="717"/>
      <c r="H6" s="717"/>
      <c r="I6" s="717"/>
      <c r="J6" s="717"/>
      <c r="K6" s="717"/>
      <c r="L6" s="717"/>
      <c r="M6" s="717"/>
      <c r="N6" s="717"/>
      <c r="O6" s="717"/>
    </row>
    <row r="7" spans="2:20" ht="15.6" customHeight="1" x14ac:dyDescent="0.2">
      <c r="B7" s="717"/>
      <c r="C7" s="717"/>
      <c r="D7" s="717"/>
      <c r="E7" s="717"/>
      <c r="F7" s="717"/>
      <c r="G7" s="717"/>
      <c r="H7" s="717"/>
      <c r="I7" s="717"/>
      <c r="J7" s="717"/>
      <c r="K7" s="717"/>
      <c r="L7" s="717"/>
      <c r="M7" s="717"/>
      <c r="N7" s="717"/>
      <c r="O7" s="717"/>
    </row>
    <row r="8" spans="2:20" ht="6.6" customHeight="1" x14ac:dyDescent="0.2">
      <c r="B8" s="717"/>
      <c r="C8" s="717"/>
      <c r="D8" s="717"/>
      <c r="E8" s="717"/>
      <c r="F8" s="717"/>
      <c r="G8" s="717"/>
      <c r="H8" s="717"/>
      <c r="I8" s="717"/>
      <c r="J8" s="717"/>
      <c r="K8" s="717"/>
      <c r="L8" s="717"/>
      <c r="M8" s="717"/>
      <c r="N8" s="717"/>
      <c r="O8" s="717"/>
    </row>
    <row r="9" spans="2:20" ht="6.6" customHeight="1" x14ac:dyDescent="0.2">
      <c r="B9" s="717"/>
      <c r="C9" s="717"/>
      <c r="D9" s="717"/>
      <c r="E9" s="717"/>
      <c r="F9" s="717"/>
      <c r="G9" s="717"/>
      <c r="H9" s="717"/>
      <c r="I9" s="717"/>
      <c r="J9" s="717"/>
      <c r="K9" s="717"/>
      <c r="L9" s="717"/>
      <c r="M9" s="717"/>
      <c r="N9" s="717"/>
      <c r="O9" s="717"/>
    </row>
    <row r="10" spans="2:20" ht="15.6" customHeight="1" x14ac:dyDescent="0.2">
      <c r="B10" s="3485" t="s">
        <v>309</v>
      </c>
      <c r="C10" s="3485"/>
      <c r="D10" s="3485"/>
      <c r="E10" s="69"/>
      <c r="F10" s="69"/>
      <c r="G10" s="69"/>
      <c r="H10" s="69"/>
      <c r="I10" s="69"/>
      <c r="J10" s="69"/>
      <c r="K10" s="69"/>
      <c r="L10" s="3489" t="s">
        <v>194</v>
      </c>
      <c r="M10" s="3489"/>
      <c r="N10" s="3489"/>
      <c r="O10" s="3489"/>
    </row>
    <row r="11" spans="2:20" ht="4.9000000000000004" customHeight="1" x14ac:dyDescent="0.2">
      <c r="B11" s="1039"/>
      <c r="C11" s="1039"/>
      <c r="D11" s="1039"/>
      <c r="E11" s="69"/>
      <c r="F11" s="69"/>
      <c r="G11" s="69"/>
      <c r="H11" s="69"/>
      <c r="I11" s="69"/>
      <c r="J11" s="69"/>
      <c r="K11" s="69"/>
      <c r="L11" s="69"/>
      <c r="M11" s="72"/>
      <c r="N11" s="971"/>
      <c r="O11" s="937"/>
    </row>
    <row r="12" spans="2:20" ht="21" customHeight="1" x14ac:dyDescent="0.5">
      <c r="B12" s="1040"/>
      <c r="C12" s="1041"/>
      <c r="E12" s="1042" t="s">
        <v>9</v>
      </c>
      <c r="F12" s="1043"/>
      <c r="H12" s="3484" t="s">
        <v>1980</v>
      </c>
      <c r="I12" s="3484"/>
      <c r="J12" s="1043"/>
      <c r="K12" s="1043"/>
      <c r="M12" s="3495" t="s">
        <v>1380</v>
      </c>
      <c r="N12" s="3495"/>
      <c r="O12" s="3495"/>
    </row>
    <row r="13" spans="2:20" ht="10.15" customHeight="1" x14ac:dyDescent="0.2">
      <c r="B13" s="1040"/>
      <c r="C13" s="1041"/>
      <c r="E13" s="1044"/>
      <c r="F13" s="196"/>
      <c r="H13" s="3486"/>
      <c r="I13" s="3486"/>
      <c r="J13" s="1045"/>
      <c r="K13" s="1045"/>
      <c r="M13" s="3497"/>
      <c r="N13" s="3497"/>
      <c r="T13" s="71">
        <v>3687377090812</v>
      </c>
    </row>
    <row r="14" spans="2:20" ht="21" customHeight="1" x14ac:dyDescent="0.2">
      <c r="B14" s="3490" t="s">
        <v>912</v>
      </c>
      <c r="C14" s="3490"/>
      <c r="D14" s="3490"/>
      <c r="E14" s="1045" t="s">
        <v>310</v>
      </c>
      <c r="F14" s="196"/>
      <c r="H14" s="3429">
        <f>O35</f>
        <v>54573354408</v>
      </c>
      <c r="I14" s="3429"/>
      <c r="J14" s="1045"/>
      <c r="K14" s="1045"/>
      <c r="M14" s="3429">
        <f>H35</f>
        <v>192865946085</v>
      </c>
      <c r="N14" s="3429"/>
      <c r="O14" s="3429"/>
    </row>
    <row r="15" spans="2:20" ht="21" customHeight="1" x14ac:dyDescent="0.2">
      <c r="B15" s="3490" t="s">
        <v>589</v>
      </c>
      <c r="C15" s="3490"/>
      <c r="D15" s="3490"/>
      <c r="E15" s="1045" t="s">
        <v>311</v>
      </c>
      <c r="F15" s="196"/>
      <c r="H15" s="3429">
        <f>O65</f>
        <v>261378186706</v>
      </c>
      <c r="I15" s="3429"/>
      <c r="J15" s="1045"/>
      <c r="K15" s="1045"/>
      <c r="M15" s="3429">
        <f>E65</f>
        <v>392070186706</v>
      </c>
      <c r="N15" s="3429"/>
      <c r="O15" s="3429"/>
      <c r="T15" s="71">
        <f>H16+H15</f>
        <v>4091895634184</v>
      </c>
    </row>
    <row r="16" spans="2:20" ht="21" customHeight="1" x14ac:dyDescent="0.2">
      <c r="B16" s="3490" t="s">
        <v>990</v>
      </c>
      <c r="C16" s="3490"/>
      <c r="D16" s="3490"/>
      <c r="E16" s="1045" t="s">
        <v>590</v>
      </c>
      <c r="F16" s="196"/>
      <c r="H16" s="3429">
        <f>'پيش پرداخت سرمايه اي يادداشت 6'!Q132</f>
        <v>3830517447478</v>
      </c>
      <c r="I16" s="3429"/>
      <c r="J16" s="196"/>
      <c r="K16" s="196"/>
      <c r="M16" s="3429">
        <f>'پيش پرداخت سرمايه اي يادداشت 6'!E132</f>
        <v>3145490387011</v>
      </c>
      <c r="N16" s="3429"/>
      <c r="O16" s="3429"/>
    </row>
    <row r="17" spans="2:20" ht="21" customHeight="1" thickBot="1" x14ac:dyDescent="0.25">
      <c r="B17" s="1040"/>
      <c r="C17" s="69"/>
      <c r="D17" s="1046"/>
      <c r="E17" s="918"/>
      <c r="F17" s="1047">
        <f>SUM(F14:F16)</f>
        <v>0</v>
      </c>
      <c r="H17" s="3491">
        <f>SUM(H14:I16)-1000000</f>
        <v>4146467988592</v>
      </c>
      <c r="I17" s="3491"/>
      <c r="J17" s="1047"/>
      <c r="K17" s="1047"/>
      <c r="M17" s="3492">
        <f>SUM(M14:N16)-1000000</f>
        <v>3730425519802</v>
      </c>
      <c r="N17" s="3492"/>
      <c r="O17" s="3492"/>
      <c r="Q17" s="71">
        <f>M16+M15+M14-1000000</f>
        <v>3730425519802</v>
      </c>
      <c r="T17" s="71">
        <v>4949384951711</v>
      </c>
    </row>
    <row r="18" spans="2:20" ht="9" customHeight="1" thickTop="1" x14ac:dyDescent="0.2">
      <c r="B18" s="1040"/>
      <c r="C18" s="69"/>
      <c r="D18" s="1048"/>
      <c r="F18" s="70"/>
      <c r="G18" s="1049"/>
      <c r="H18" s="1049"/>
      <c r="I18" s="196"/>
      <c r="J18" s="196"/>
      <c r="K18" s="196"/>
      <c r="L18" s="918"/>
      <c r="M18" s="1049"/>
      <c r="N18" s="1049"/>
    </row>
    <row r="19" spans="2:20" ht="21" customHeight="1" x14ac:dyDescent="0.2">
      <c r="B19" s="1040"/>
      <c r="C19" s="69"/>
      <c r="D19" s="1048"/>
      <c r="F19" s="70"/>
      <c r="G19" s="1049"/>
      <c r="H19" s="1049"/>
      <c r="I19" s="196"/>
      <c r="J19" s="196"/>
      <c r="K19" s="196"/>
      <c r="L19" s="918"/>
      <c r="M19" s="1049"/>
      <c r="N19" s="1049"/>
      <c r="T19" s="71">
        <f>H16+H15</f>
        <v>4091895634184</v>
      </c>
    </row>
    <row r="20" spans="2:20" ht="15" customHeight="1" x14ac:dyDescent="0.2">
      <c r="B20" s="3496" t="s">
        <v>1333</v>
      </c>
      <c r="C20" s="3496"/>
      <c r="D20" s="3496"/>
      <c r="E20" s="3496"/>
      <c r="F20" s="3496"/>
      <c r="G20" s="3496"/>
      <c r="H20" s="3496"/>
      <c r="I20" s="3496"/>
      <c r="J20" s="3496"/>
      <c r="K20" s="3496"/>
      <c r="L20" s="3496"/>
      <c r="M20" s="3496"/>
      <c r="N20" s="71"/>
      <c r="O20" s="71"/>
      <c r="T20" s="71">
        <f>SUM(M14:N16)</f>
        <v>3730426519802</v>
      </c>
    </row>
    <row r="21" spans="2:20" ht="15" customHeight="1" x14ac:dyDescent="0.2">
      <c r="B21" s="1050"/>
      <c r="C21" s="973"/>
      <c r="D21" s="226"/>
      <c r="E21" s="226"/>
      <c r="F21" s="226"/>
      <c r="G21" s="226"/>
      <c r="H21" s="226"/>
      <c r="I21" s="226"/>
      <c r="J21" s="226"/>
      <c r="K21" s="226"/>
      <c r="L21" s="226"/>
      <c r="M21" s="226"/>
      <c r="N21" s="3450" t="s">
        <v>194</v>
      </c>
      <c r="O21" s="3450"/>
    </row>
    <row r="22" spans="2:20" ht="14.25" customHeight="1" x14ac:dyDescent="0.2">
      <c r="B22" s="3488" t="s">
        <v>419</v>
      </c>
      <c r="C22" s="3506" t="s">
        <v>53</v>
      </c>
      <c r="D22" s="3446" t="s">
        <v>197</v>
      </c>
      <c r="E22" s="3446"/>
      <c r="F22" s="3446"/>
      <c r="G22" s="3446"/>
      <c r="H22" s="3446" t="s">
        <v>1392</v>
      </c>
      <c r="I22" s="1051" t="s">
        <v>312</v>
      </c>
      <c r="J22" s="1051"/>
      <c r="K22" s="1051"/>
      <c r="L22" s="3500" t="s">
        <v>2160</v>
      </c>
      <c r="M22" s="3501" t="s">
        <v>1855</v>
      </c>
      <c r="N22" s="3500" t="s">
        <v>898</v>
      </c>
      <c r="O22" s="3446" t="s">
        <v>1987</v>
      </c>
    </row>
    <row r="23" spans="2:20" ht="97.9" customHeight="1" x14ac:dyDescent="0.2">
      <c r="B23" s="3488"/>
      <c r="C23" s="3506"/>
      <c r="D23" s="3446"/>
      <c r="E23" s="3446"/>
      <c r="F23" s="3446"/>
      <c r="G23" s="3446"/>
      <c r="H23" s="3446"/>
      <c r="I23" s="1051"/>
      <c r="J23" s="1051"/>
      <c r="K23" s="1051"/>
      <c r="L23" s="3500"/>
      <c r="M23" s="3501"/>
      <c r="N23" s="3500"/>
      <c r="O23" s="3446"/>
    </row>
    <row r="24" spans="2:20" ht="19.149999999999999" customHeight="1" x14ac:dyDescent="0.2">
      <c r="B24" s="3477" t="s">
        <v>180</v>
      </c>
      <c r="C24" s="912">
        <v>1307002010</v>
      </c>
      <c r="D24" s="3511" t="s">
        <v>224</v>
      </c>
      <c r="E24" s="3511"/>
      <c r="F24" s="3511"/>
      <c r="G24" s="3511"/>
      <c r="H24" s="988">
        <v>20864176713</v>
      </c>
      <c r="I24" s="913"/>
      <c r="J24" s="913"/>
      <c r="K24" s="913"/>
      <c r="L24" s="914">
        <v>-20864176713</v>
      </c>
      <c r="M24" s="914"/>
      <c r="N24" s="915"/>
      <c r="O24" s="412">
        <f>L24+H24</f>
        <v>0</v>
      </c>
      <c r="R24" s="71">
        <f t="shared" ref="R24:R29" si="0">SUM(H24:N24)</f>
        <v>0</v>
      </c>
      <c r="T24" s="71">
        <v>-26725437607</v>
      </c>
    </row>
    <row r="25" spans="2:20" ht="21" customHeight="1" x14ac:dyDescent="0.2">
      <c r="B25" s="3478"/>
      <c r="C25" s="916">
        <v>1307002080</v>
      </c>
      <c r="D25" s="3511" t="s">
        <v>323</v>
      </c>
      <c r="E25" s="3511"/>
      <c r="F25" s="3511"/>
      <c r="G25" s="3511"/>
      <c r="H25" s="988">
        <v>42202960945</v>
      </c>
      <c r="I25" s="913"/>
      <c r="J25" s="913"/>
      <c r="K25" s="913"/>
      <c r="L25" s="914">
        <v>-32202960945</v>
      </c>
      <c r="M25" s="914"/>
      <c r="N25" s="448"/>
      <c r="O25" s="412">
        <f t="shared" ref="O25:O29" si="1">L25+H25</f>
        <v>10000000000</v>
      </c>
      <c r="R25" s="71">
        <f>SUM(H25:N25)</f>
        <v>10000000000</v>
      </c>
      <c r="S25" s="71">
        <f>O25-H25</f>
        <v>-32202960945</v>
      </c>
      <c r="T25" s="71">
        <f>O25-R25</f>
        <v>0</v>
      </c>
    </row>
    <row r="26" spans="2:20" ht="26.25" customHeight="1" x14ac:dyDescent="0.2">
      <c r="B26" s="3478"/>
      <c r="C26" s="734" t="s">
        <v>608</v>
      </c>
      <c r="D26" s="3510" t="s">
        <v>1145</v>
      </c>
      <c r="E26" s="3510"/>
      <c r="F26" s="3510"/>
      <c r="G26" s="3510"/>
      <c r="H26" s="988">
        <v>3000000000</v>
      </c>
      <c r="I26" s="913"/>
      <c r="J26" s="913"/>
      <c r="K26" s="913"/>
      <c r="L26" s="917">
        <v>-3000000000</v>
      </c>
      <c r="M26" s="71"/>
      <c r="N26" s="915"/>
      <c r="O26" s="412">
        <f t="shared" si="1"/>
        <v>0</v>
      </c>
      <c r="R26" s="71">
        <f>SUM(H26:N26)</f>
        <v>0</v>
      </c>
    </row>
    <row r="27" spans="2:20" ht="21" customHeight="1" x14ac:dyDescent="0.2">
      <c r="B27" s="3478"/>
      <c r="C27" s="734" t="s">
        <v>633</v>
      </c>
      <c r="D27" s="3512" t="s">
        <v>632</v>
      </c>
      <c r="E27" s="3513"/>
      <c r="F27" s="3513"/>
      <c r="G27" s="3514"/>
      <c r="H27" s="988">
        <v>49907418964</v>
      </c>
      <c r="I27" s="913"/>
      <c r="J27" s="913"/>
      <c r="K27" s="913"/>
      <c r="L27" s="448">
        <v>-49907418964</v>
      </c>
      <c r="M27" s="914"/>
      <c r="N27" s="915"/>
      <c r="O27" s="412">
        <f t="shared" si="1"/>
        <v>0</v>
      </c>
      <c r="R27" s="71">
        <f t="shared" si="0"/>
        <v>0</v>
      </c>
    </row>
    <row r="28" spans="2:20" ht="22.9" customHeight="1" x14ac:dyDescent="0.2">
      <c r="B28" s="3478"/>
      <c r="C28" s="734" t="s">
        <v>677</v>
      </c>
      <c r="D28" s="3507" t="s">
        <v>676</v>
      </c>
      <c r="E28" s="3508"/>
      <c r="F28" s="3508"/>
      <c r="G28" s="3509"/>
      <c r="H28" s="988">
        <v>44573354408</v>
      </c>
      <c r="I28" s="913"/>
      <c r="J28" s="913"/>
      <c r="K28" s="913"/>
      <c r="L28" s="448"/>
      <c r="M28" s="914"/>
      <c r="N28" s="918"/>
      <c r="O28" s="412">
        <f t="shared" si="1"/>
        <v>44573354408</v>
      </c>
      <c r="R28" s="71">
        <f t="shared" si="0"/>
        <v>44573354408</v>
      </c>
      <c r="S28" s="71">
        <f>O28-H28</f>
        <v>0</v>
      </c>
    </row>
    <row r="29" spans="2:20" ht="22.9" customHeight="1" x14ac:dyDescent="0.2">
      <c r="B29" s="3479"/>
      <c r="C29" s="734" t="s">
        <v>626</v>
      </c>
      <c r="D29" s="3530" t="s">
        <v>602</v>
      </c>
      <c r="E29" s="3531"/>
      <c r="F29" s="3531"/>
      <c r="G29" s="3532"/>
      <c r="H29" s="988">
        <v>6318035055</v>
      </c>
      <c r="I29" s="913"/>
      <c r="J29" s="913"/>
      <c r="K29" s="913"/>
      <c r="L29" s="448">
        <v>-6318035055</v>
      </c>
      <c r="M29" s="914"/>
      <c r="N29" s="412"/>
      <c r="O29" s="412">
        <f t="shared" si="1"/>
        <v>0</v>
      </c>
      <c r="R29" s="71">
        <f t="shared" si="0"/>
        <v>0</v>
      </c>
      <c r="S29" s="71">
        <f t="shared" ref="S29:S36" si="2">O29-H29</f>
        <v>-6318035055</v>
      </c>
    </row>
    <row r="30" spans="2:20" ht="31.9" customHeight="1" x14ac:dyDescent="0.2">
      <c r="B30" s="3505" t="s">
        <v>931</v>
      </c>
      <c r="C30" s="3505"/>
      <c r="D30" s="3505"/>
      <c r="E30" s="3505"/>
      <c r="F30" s="3505"/>
      <c r="G30" s="3505"/>
      <c r="H30" s="988">
        <v>166865946085</v>
      </c>
      <c r="I30" s="988">
        <f>SUM(I24:I28)</f>
        <v>0</v>
      </c>
      <c r="J30" s="988">
        <f>SUM(J24:J28)</f>
        <v>0</v>
      </c>
      <c r="K30" s="988">
        <f>SUM(K24:K28)</f>
        <v>0</v>
      </c>
      <c r="L30" s="988">
        <f>SUM(L24:L29)</f>
        <v>-112292591677</v>
      </c>
      <c r="M30" s="988">
        <f>SUM(M24:M28)</f>
        <v>0</v>
      </c>
      <c r="N30" s="988">
        <f>SUM(N24:N29)</f>
        <v>0</v>
      </c>
      <c r="O30" s="988">
        <f>SUM(O24:O29)</f>
        <v>54573354408</v>
      </c>
      <c r="R30" s="71">
        <f t="shared" ref="R30:R35" si="3">SUM(H30:N30)</f>
        <v>54573354408</v>
      </c>
      <c r="S30" s="71">
        <f t="shared" si="2"/>
        <v>-112292591677</v>
      </c>
    </row>
    <row r="31" spans="2:20" ht="23.45" hidden="1" customHeight="1" x14ac:dyDescent="0.2">
      <c r="B31" s="3488" t="s">
        <v>421</v>
      </c>
      <c r="C31" s="734" t="s">
        <v>677</v>
      </c>
      <c r="D31" s="3502" t="s">
        <v>676</v>
      </c>
      <c r="E31" s="3503"/>
      <c r="F31" s="3503"/>
      <c r="G31" s="3504"/>
      <c r="H31" s="988"/>
      <c r="I31" s="913"/>
      <c r="J31" s="913"/>
      <c r="K31" s="913"/>
      <c r="L31" s="914"/>
      <c r="M31" s="988"/>
      <c r="N31" s="915"/>
      <c r="O31" s="412"/>
      <c r="R31" s="71">
        <f t="shared" si="3"/>
        <v>0</v>
      </c>
      <c r="S31" s="71">
        <f>O31-H31</f>
        <v>0</v>
      </c>
    </row>
    <row r="32" spans="2:20" ht="23.45" hidden="1" customHeight="1" x14ac:dyDescent="0.2">
      <c r="B32" s="3488"/>
      <c r="C32" s="916">
        <v>1307002080</v>
      </c>
      <c r="D32" s="3494" t="s">
        <v>323</v>
      </c>
      <c r="E32" s="3494"/>
      <c r="F32" s="3494"/>
      <c r="G32" s="3494"/>
      <c r="H32" s="988"/>
      <c r="I32" s="913"/>
      <c r="J32" s="913"/>
      <c r="K32" s="913"/>
      <c r="L32" s="914"/>
      <c r="M32" s="988"/>
      <c r="N32" s="915"/>
      <c r="O32" s="412"/>
      <c r="R32" s="71">
        <f t="shared" si="3"/>
        <v>0</v>
      </c>
      <c r="S32" s="71">
        <f t="shared" si="2"/>
        <v>0</v>
      </c>
    </row>
    <row r="33" spans="1:23" ht="23.45" customHeight="1" x14ac:dyDescent="0.2">
      <c r="B33" s="3488"/>
      <c r="C33" s="734" t="s">
        <v>608</v>
      </c>
      <c r="D33" s="3430" t="s">
        <v>1145</v>
      </c>
      <c r="E33" s="3430"/>
      <c r="F33" s="3430"/>
      <c r="G33" s="3430"/>
      <c r="H33" s="988">
        <v>26000000000</v>
      </c>
      <c r="I33" s="913"/>
      <c r="J33" s="913"/>
      <c r="K33" s="913"/>
      <c r="L33" s="914">
        <v>-26000000000</v>
      </c>
      <c r="M33" s="914"/>
      <c r="N33" s="915"/>
      <c r="O33" s="412">
        <f>H33+L33</f>
        <v>0</v>
      </c>
      <c r="R33" s="71">
        <f t="shared" si="3"/>
        <v>0</v>
      </c>
      <c r="S33" s="71">
        <f t="shared" si="2"/>
        <v>-26000000000</v>
      </c>
      <c r="T33" s="71">
        <v>-14000000000</v>
      </c>
      <c r="U33" s="71">
        <f>H33-O33</f>
        <v>26000000000</v>
      </c>
    </row>
    <row r="34" spans="1:23" ht="26.45" customHeight="1" x14ac:dyDescent="0.2">
      <c r="B34" s="3488"/>
      <c r="C34" s="3534" t="s">
        <v>932</v>
      </c>
      <c r="D34" s="3534"/>
      <c r="E34" s="3534"/>
      <c r="F34" s="3534"/>
      <c r="G34" s="3534"/>
      <c r="H34" s="988">
        <v>26000000000</v>
      </c>
      <c r="I34" s="988">
        <f>SUM(I31:I31)</f>
        <v>0</v>
      </c>
      <c r="J34" s="988">
        <f>SUM(J31:J31)</f>
        <v>0</v>
      </c>
      <c r="K34" s="988">
        <f>SUM(K31:K31)</f>
        <v>0</v>
      </c>
      <c r="L34" s="988">
        <f>SUM(L31:L33)</f>
        <v>-26000000000</v>
      </c>
      <c r="M34" s="988">
        <f>SUM(M31:M33)</f>
        <v>0</v>
      </c>
      <c r="N34" s="988">
        <f>SUM(N31:N33)</f>
        <v>0</v>
      </c>
      <c r="O34" s="988">
        <f>SUM(O31:O33)</f>
        <v>0</v>
      </c>
      <c r="R34" s="71">
        <f t="shared" si="3"/>
        <v>0</v>
      </c>
      <c r="S34" s="71">
        <f t="shared" si="2"/>
        <v>-26000000000</v>
      </c>
    </row>
    <row r="35" spans="1:23" ht="26.45" customHeight="1" thickBot="1" x14ac:dyDescent="0.25">
      <c r="B35" s="3535" t="s">
        <v>195</v>
      </c>
      <c r="C35" s="3535"/>
      <c r="D35" s="3535"/>
      <c r="E35" s="3535"/>
      <c r="F35" s="3535"/>
      <c r="G35" s="3535"/>
      <c r="H35" s="919">
        <f>H34+H30</f>
        <v>192865946085</v>
      </c>
      <c r="I35" s="3533">
        <f>L30+L34</f>
        <v>-138292591677</v>
      </c>
      <c r="J35" s="3533">
        <f>J34+J30</f>
        <v>0</v>
      </c>
      <c r="K35" s="3533">
        <f>K34+K30</f>
        <v>0</v>
      </c>
      <c r="L35" s="3533">
        <f>L34+L30</f>
        <v>-138292591677</v>
      </c>
      <c r="M35" s="920">
        <f>M30+M34</f>
        <v>0</v>
      </c>
      <c r="N35" s="406">
        <f>N30+N34</f>
        <v>0</v>
      </c>
      <c r="O35" s="406">
        <f>O30+O34</f>
        <v>54573354408</v>
      </c>
      <c r="R35" s="71">
        <f t="shared" si="3"/>
        <v>-83719237269</v>
      </c>
      <c r="S35" s="71">
        <f t="shared" si="2"/>
        <v>-138292591677</v>
      </c>
    </row>
    <row r="36" spans="1:23" ht="21" customHeight="1" thickTop="1" x14ac:dyDescent="0.2">
      <c r="B36" s="1052"/>
      <c r="C36" s="1052"/>
      <c r="D36" s="1052"/>
      <c r="E36" s="1052"/>
      <c r="F36" s="1052"/>
      <c r="G36" s="1052"/>
      <c r="H36" s="1053"/>
      <c r="I36" s="704"/>
      <c r="J36" s="704"/>
      <c r="K36" s="704"/>
      <c r="L36" s="971" t="s">
        <v>1117</v>
      </c>
      <c r="M36" s="971" t="s">
        <v>1889</v>
      </c>
      <c r="N36" s="971"/>
      <c r="O36" s="345"/>
      <c r="R36" s="71">
        <f>R35-O35</f>
        <v>-138292591677</v>
      </c>
      <c r="S36" s="71">
        <f t="shared" si="2"/>
        <v>0</v>
      </c>
    </row>
    <row r="37" spans="1:23" ht="33" customHeight="1" x14ac:dyDescent="0.2">
      <c r="B37" s="3497" t="s">
        <v>1947</v>
      </c>
      <c r="C37" s="3497"/>
      <c r="D37" s="3497"/>
      <c r="E37" s="3497"/>
      <c r="F37" s="3497"/>
      <c r="G37" s="3497"/>
      <c r="H37" s="3497"/>
      <c r="I37" s="3497"/>
      <c r="J37" s="3497"/>
      <c r="K37" s="3497"/>
      <c r="L37" s="3497"/>
      <c r="M37" s="3497"/>
      <c r="N37" s="3497"/>
      <c r="O37" s="3497"/>
    </row>
    <row r="38" spans="1:23" ht="15" customHeight="1" x14ac:dyDescent="0.2">
      <c r="A38" s="3432" t="s">
        <v>1818</v>
      </c>
      <c r="B38" s="3432"/>
      <c r="C38" s="3432"/>
      <c r="D38" s="3432"/>
      <c r="E38" s="3432"/>
      <c r="F38" s="3432"/>
      <c r="G38" s="3432"/>
      <c r="H38" s="3432"/>
      <c r="I38" s="3432"/>
      <c r="J38" s="3432"/>
      <c r="K38" s="3432"/>
      <c r="L38" s="3432"/>
      <c r="M38" s="3432"/>
      <c r="N38" s="3432"/>
      <c r="O38" s="3432"/>
      <c r="R38" s="71">
        <f>M35+'پيش پرداخت سرمايه اي يادداشت 6'!P132</f>
        <v>-70263526109</v>
      </c>
      <c r="T38" s="71">
        <f>H35+M35+I35</f>
        <v>54573354408</v>
      </c>
    </row>
    <row r="39" spans="1:23" ht="16.899999999999999" customHeight="1" x14ac:dyDescent="0.2">
      <c r="A39" s="863"/>
      <c r="B39" s="3431" t="s">
        <v>295</v>
      </c>
      <c r="C39" s="3431"/>
      <c r="D39" s="3431"/>
      <c r="E39" s="3431"/>
      <c r="F39" s="3431"/>
      <c r="G39" s="3431"/>
      <c r="H39" s="3431"/>
      <c r="I39" s="3431"/>
      <c r="J39" s="3431"/>
      <c r="K39" s="3431"/>
      <c r="L39" s="3431"/>
      <c r="M39" s="3431"/>
      <c r="N39" s="3431"/>
      <c r="O39" s="3431"/>
      <c r="R39" s="71">
        <f>'يادداشت 1-1-10 حسابهاي پرداخخخ '!P212</f>
        <v>-70263526109</v>
      </c>
    </row>
    <row r="40" spans="1:23" ht="16.899999999999999" customHeight="1" x14ac:dyDescent="0.2">
      <c r="A40" s="863"/>
      <c r="B40" s="3431" t="s">
        <v>45</v>
      </c>
      <c r="C40" s="3431"/>
      <c r="D40" s="3431"/>
      <c r="E40" s="3431"/>
      <c r="F40" s="3431"/>
      <c r="G40" s="3431"/>
      <c r="H40" s="3431"/>
      <c r="I40" s="3431"/>
      <c r="J40" s="3431"/>
      <c r="K40" s="3431"/>
      <c r="L40" s="3431"/>
      <c r="M40" s="3431"/>
      <c r="N40" s="3431"/>
      <c r="O40" s="3431"/>
      <c r="R40" s="71">
        <f>R39-R38</f>
        <v>0</v>
      </c>
    </row>
    <row r="41" spans="1:23" ht="16.899999999999999" customHeight="1" x14ac:dyDescent="0.2">
      <c r="A41" s="863"/>
      <c r="B41" s="3431" t="s">
        <v>46</v>
      </c>
      <c r="C41" s="3431"/>
      <c r="D41" s="3431"/>
      <c r="E41" s="3431"/>
      <c r="F41" s="3431"/>
      <c r="G41" s="3431"/>
      <c r="H41" s="3431"/>
      <c r="I41" s="3431"/>
      <c r="J41" s="3431"/>
      <c r="K41" s="3431"/>
      <c r="L41" s="3431"/>
      <c r="M41" s="3431"/>
      <c r="N41" s="3431"/>
      <c r="O41" s="3431"/>
    </row>
    <row r="42" spans="1:23" ht="16.899999999999999" customHeight="1" x14ac:dyDescent="0.2">
      <c r="A42" s="863"/>
      <c r="B42" s="3057" t="s">
        <v>1988</v>
      </c>
      <c r="C42" s="3057"/>
      <c r="D42" s="3057"/>
      <c r="E42" s="3057"/>
      <c r="F42" s="3057"/>
      <c r="G42" s="3057"/>
      <c r="H42" s="3057"/>
      <c r="I42" s="3057"/>
      <c r="J42" s="3057"/>
      <c r="K42" s="3057"/>
      <c r="L42" s="3057"/>
      <c r="M42" s="3057"/>
      <c r="N42" s="3057"/>
      <c r="O42" s="3057"/>
    </row>
    <row r="43" spans="1:23" ht="11.45" customHeight="1" x14ac:dyDescent="0.2">
      <c r="A43" s="863"/>
      <c r="B43" s="863"/>
      <c r="C43" s="863"/>
      <c r="D43" s="863"/>
      <c r="E43" s="863"/>
      <c r="F43" s="863"/>
      <c r="G43" s="863"/>
      <c r="H43" s="863"/>
      <c r="I43" s="863"/>
      <c r="J43" s="863"/>
      <c r="K43" s="863"/>
      <c r="L43" s="863"/>
      <c r="M43" s="863"/>
      <c r="N43" s="863"/>
      <c r="O43" s="863"/>
    </row>
    <row r="44" spans="1:23" ht="19.899999999999999" customHeight="1" x14ac:dyDescent="0.2">
      <c r="A44" s="863"/>
      <c r="B44" s="3540" t="s">
        <v>1954</v>
      </c>
      <c r="C44" s="3540"/>
      <c r="D44" s="3540"/>
      <c r="E44" s="3540"/>
      <c r="F44" s="3540"/>
      <c r="G44" s="3540"/>
      <c r="H44" s="3540"/>
      <c r="I44" s="3540"/>
      <c r="J44" s="3540"/>
      <c r="K44" s="3540"/>
      <c r="L44" s="3540"/>
      <c r="M44" s="3540"/>
      <c r="N44" s="3540"/>
      <c r="O44" s="3540"/>
    </row>
    <row r="45" spans="1:23" ht="15.6" customHeight="1" x14ac:dyDescent="0.35">
      <c r="A45" s="863"/>
      <c r="B45" s="918"/>
      <c r="C45" s="918"/>
      <c r="D45" s="918"/>
      <c r="E45" s="918"/>
      <c r="F45" s="918"/>
      <c r="G45" s="918"/>
      <c r="H45" s="918"/>
      <c r="I45" s="918"/>
      <c r="J45" s="918"/>
      <c r="K45" s="918"/>
      <c r="L45" s="3515" t="s">
        <v>194</v>
      </c>
      <c r="M45" s="3515"/>
      <c r="N45" s="3515"/>
      <c r="O45" s="3515"/>
    </row>
    <row r="46" spans="1:23" ht="19.899999999999999" customHeight="1" x14ac:dyDescent="0.4">
      <c r="A46" s="863"/>
      <c r="B46" s="1054" t="s">
        <v>419</v>
      </c>
      <c r="C46" s="1054" t="s">
        <v>196</v>
      </c>
      <c r="D46" s="1054" t="s">
        <v>452</v>
      </c>
      <c r="E46" s="1054" t="s">
        <v>1211</v>
      </c>
      <c r="F46" s="1054"/>
      <c r="G46" s="3541" t="s">
        <v>1980</v>
      </c>
      <c r="H46" s="3542"/>
      <c r="I46" s="1054"/>
      <c r="J46" s="1054"/>
      <c r="K46" s="1054"/>
      <c r="L46" s="3543" t="s">
        <v>1380</v>
      </c>
      <c r="M46" s="3543"/>
      <c r="N46" s="3543"/>
      <c r="O46" s="3543"/>
      <c r="T46" s="1055" t="s">
        <v>1410</v>
      </c>
      <c r="U46" s="1056" t="s">
        <v>1214</v>
      </c>
      <c r="V46" s="1055" t="s">
        <v>1410</v>
      </c>
      <c r="W46" s="1056">
        <v>2069369553</v>
      </c>
    </row>
    <row r="47" spans="1:23" ht="15.6" hidden="1" customHeight="1" x14ac:dyDescent="0.4">
      <c r="A47" s="863"/>
      <c r="B47" s="3536" t="s">
        <v>420</v>
      </c>
      <c r="C47" s="734" t="s">
        <v>677</v>
      </c>
      <c r="D47" s="917" t="s">
        <v>1218</v>
      </c>
      <c r="E47" s="917" t="s">
        <v>1216</v>
      </c>
      <c r="F47" s="917"/>
      <c r="G47" s="3487"/>
      <c r="H47" s="3487"/>
      <c r="I47" s="911"/>
      <c r="J47" s="911"/>
      <c r="K47" s="911"/>
      <c r="L47" s="3520"/>
      <c r="M47" s="3521"/>
      <c r="N47" s="3521"/>
      <c r="O47" s="3522"/>
      <c r="T47" s="1055" t="s">
        <v>1421</v>
      </c>
      <c r="U47" s="1056" t="s">
        <v>394</v>
      </c>
      <c r="V47" s="1055" t="s">
        <v>1421</v>
      </c>
      <c r="W47" s="1056">
        <v>52520996000</v>
      </c>
    </row>
    <row r="48" spans="1:23" ht="15.6" hidden="1" customHeight="1" x14ac:dyDescent="0.4">
      <c r="A48" s="863"/>
      <c r="B48" s="3537"/>
      <c r="C48" s="734" t="s">
        <v>608</v>
      </c>
      <c r="D48" s="917" t="s">
        <v>1213</v>
      </c>
      <c r="E48" s="917" t="s">
        <v>1217</v>
      </c>
      <c r="F48" s="917"/>
      <c r="G48" s="3487"/>
      <c r="H48" s="3487"/>
      <c r="I48" s="911"/>
      <c r="J48" s="911"/>
      <c r="K48" s="911"/>
      <c r="L48" s="3520"/>
      <c r="M48" s="3521"/>
      <c r="N48" s="3521"/>
      <c r="O48" s="3522"/>
      <c r="T48" s="1055" t="s">
        <v>1420</v>
      </c>
      <c r="U48" s="1056" t="s">
        <v>1092</v>
      </c>
      <c r="V48" s="1055" t="s">
        <v>1420</v>
      </c>
      <c r="W48" s="1056">
        <v>54573354408</v>
      </c>
    </row>
    <row r="49" spans="1:23" ht="15.6" hidden="1" customHeight="1" x14ac:dyDescent="0.4">
      <c r="A49" s="863"/>
      <c r="B49" s="3537"/>
      <c r="C49" s="734" t="s">
        <v>633</v>
      </c>
      <c r="D49" s="917" t="s">
        <v>1097</v>
      </c>
      <c r="E49" s="917" t="s">
        <v>1215</v>
      </c>
      <c r="F49" s="917"/>
      <c r="G49" s="3487"/>
      <c r="H49" s="3487"/>
      <c r="I49" s="911"/>
      <c r="J49" s="911"/>
      <c r="K49" s="911"/>
      <c r="L49" s="3527"/>
      <c r="M49" s="3528"/>
      <c r="N49" s="3528"/>
      <c r="O49" s="3529"/>
      <c r="T49" s="1055" t="s">
        <v>1483</v>
      </c>
      <c r="U49" s="1056" t="s">
        <v>1097</v>
      </c>
      <c r="V49" s="1055" t="s">
        <v>1483</v>
      </c>
      <c r="W49" s="1056">
        <v>64907418964</v>
      </c>
    </row>
    <row r="50" spans="1:23" ht="15.6" hidden="1" customHeight="1" x14ac:dyDescent="0.2">
      <c r="A50" s="863"/>
      <c r="B50" s="3537"/>
      <c r="C50" s="912">
        <v>1307002010</v>
      </c>
      <c r="D50" s="917" t="s">
        <v>1214</v>
      </c>
      <c r="E50" s="917" t="s">
        <v>1216</v>
      </c>
      <c r="F50" s="917"/>
      <c r="G50" s="3487"/>
      <c r="H50" s="3487"/>
      <c r="I50" s="911"/>
      <c r="J50" s="911"/>
      <c r="K50" s="911"/>
      <c r="L50" s="3527"/>
      <c r="M50" s="3528"/>
      <c r="N50" s="3528"/>
      <c r="O50" s="3529"/>
      <c r="S50" s="71">
        <f>G47+G52+G53</f>
        <v>0</v>
      </c>
    </row>
    <row r="51" spans="1:23" ht="31.9" customHeight="1" x14ac:dyDescent="0.2">
      <c r="A51" s="863"/>
      <c r="B51" s="3538"/>
      <c r="C51" s="734" t="s">
        <v>608</v>
      </c>
      <c r="D51" s="917" t="s">
        <v>1092</v>
      </c>
      <c r="E51" s="917" t="s">
        <v>1217</v>
      </c>
      <c r="F51" s="917"/>
      <c r="G51" s="3487">
        <v>54573354408</v>
      </c>
      <c r="H51" s="3487"/>
      <c r="I51" s="911"/>
      <c r="J51" s="911"/>
      <c r="K51" s="911"/>
      <c r="L51" s="3527">
        <v>54573354408</v>
      </c>
      <c r="M51" s="3528"/>
      <c r="N51" s="3528"/>
      <c r="O51" s="3529"/>
    </row>
    <row r="52" spans="1:23" ht="15.6" hidden="1" customHeight="1" x14ac:dyDescent="0.2">
      <c r="A52" s="863"/>
      <c r="B52" s="1057"/>
      <c r="C52" s="916">
        <v>1307002080</v>
      </c>
      <c r="D52" s="3519" t="s">
        <v>1793</v>
      </c>
      <c r="E52" s="917" t="s">
        <v>1215</v>
      </c>
      <c r="F52" s="917"/>
      <c r="G52" s="3487"/>
      <c r="H52" s="3487"/>
      <c r="I52" s="911"/>
      <c r="J52" s="911"/>
      <c r="K52" s="911"/>
      <c r="L52" s="3527"/>
      <c r="M52" s="3528"/>
      <c r="N52" s="3528"/>
      <c r="O52" s="3529"/>
    </row>
    <row r="53" spans="1:23" ht="15.6" hidden="1" customHeight="1" x14ac:dyDescent="0.2">
      <c r="A53" s="863"/>
      <c r="B53" s="1057"/>
      <c r="C53" s="734" t="s">
        <v>608</v>
      </c>
      <c r="D53" s="3519"/>
      <c r="E53" s="917" t="s">
        <v>1216</v>
      </c>
      <c r="F53" s="917"/>
      <c r="G53" s="3487"/>
      <c r="H53" s="3487"/>
      <c r="I53" s="911"/>
      <c r="J53" s="911"/>
      <c r="K53" s="911"/>
      <c r="L53" s="3527"/>
      <c r="M53" s="3528"/>
      <c r="N53" s="3528"/>
      <c r="O53" s="3529"/>
      <c r="T53" s="71">
        <f>G52-G56</f>
        <v>0</v>
      </c>
    </row>
    <row r="54" spans="1:23" ht="15.6" hidden="1" customHeight="1" x14ac:dyDescent="0.2">
      <c r="A54" s="863"/>
      <c r="B54" s="3505" t="s">
        <v>931</v>
      </c>
      <c r="C54" s="3505"/>
      <c r="D54" s="3505"/>
      <c r="E54" s="3505"/>
      <c r="F54" s="1058"/>
      <c r="G54" s="3523">
        <f>SUM(G47:H53)</f>
        <v>54573354408</v>
      </c>
      <c r="H54" s="3523"/>
      <c r="I54" s="1085"/>
      <c r="J54" s="1085"/>
      <c r="K54" s="1085"/>
      <c r="L54" s="3524">
        <f>SUM(L47:O53)-1000000</f>
        <v>54572354408</v>
      </c>
      <c r="M54" s="3525"/>
      <c r="N54" s="3525"/>
      <c r="O54" s="3526"/>
    </row>
    <row r="55" spans="1:23" ht="15.6" hidden="1" customHeight="1" x14ac:dyDescent="0.2">
      <c r="A55" s="863"/>
      <c r="B55" s="3517"/>
      <c r="C55" s="734" t="s">
        <v>608</v>
      </c>
      <c r="D55" s="917" t="s">
        <v>1097</v>
      </c>
      <c r="E55" s="917" t="s">
        <v>1216</v>
      </c>
      <c r="F55" s="917"/>
      <c r="G55" s="3487"/>
      <c r="H55" s="3487"/>
      <c r="I55" s="911"/>
      <c r="J55" s="911"/>
      <c r="K55" s="911"/>
      <c r="L55" s="3527"/>
      <c r="M55" s="3528"/>
      <c r="N55" s="3528"/>
      <c r="O55" s="3529"/>
      <c r="S55" s="71">
        <f>G55+G49</f>
        <v>0</v>
      </c>
    </row>
    <row r="56" spans="1:23" ht="15.6" hidden="1" customHeight="1" x14ac:dyDescent="0.2">
      <c r="A56" s="863"/>
      <c r="B56" s="3517"/>
      <c r="C56" s="916">
        <v>1307002080</v>
      </c>
      <c r="D56" s="917" t="s">
        <v>1793</v>
      </c>
      <c r="E56" s="917" t="s">
        <v>1215</v>
      </c>
      <c r="F56" s="917"/>
      <c r="G56" s="3527"/>
      <c r="H56" s="3529"/>
      <c r="I56" s="911"/>
      <c r="J56" s="911"/>
      <c r="K56" s="911"/>
      <c r="L56" s="3527"/>
      <c r="M56" s="3528"/>
      <c r="N56" s="3528"/>
      <c r="O56" s="3529"/>
    </row>
    <row r="57" spans="1:23" ht="15.6" hidden="1" customHeight="1" x14ac:dyDescent="0.2">
      <c r="A57" s="863"/>
      <c r="B57" s="3517"/>
      <c r="C57" s="3544" t="s">
        <v>1127</v>
      </c>
      <c r="D57" s="3545"/>
      <c r="E57" s="3546"/>
      <c r="F57" s="917"/>
      <c r="G57" s="3527"/>
      <c r="H57" s="3529"/>
      <c r="I57" s="911"/>
      <c r="J57" s="911"/>
      <c r="K57" s="911"/>
      <c r="L57" s="3520"/>
      <c r="M57" s="3521"/>
      <c r="N57" s="3521"/>
      <c r="O57" s="3522"/>
    </row>
    <row r="58" spans="1:23" ht="15.6" hidden="1" customHeight="1" x14ac:dyDescent="0.2">
      <c r="A58" s="863"/>
      <c r="B58" s="3518"/>
      <c r="C58" s="3516" t="s">
        <v>932</v>
      </c>
      <c r="D58" s="3516"/>
      <c r="E58" s="3516"/>
      <c r="F58" s="1336"/>
      <c r="G58" s="3493">
        <f>SUM(G55:H56)</f>
        <v>0</v>
      </c>
      <c r="H58" s="3493"/>
      <c r="I58" s="1085"/>
      <c r="J58" s="1085"/>
      <c r="K58" s="1085"/>
      <c r="L58" s="3524">
        <f>SUM(L55:O57)</f>
        <v>0</v>
      </c>
      <c r="M58" s="3525"/>
      <c r="N58" s="3525"/>
      <c r="O58" s="3526"/>
      <c r="S58" s="71">
        <f>G49+G55</f>
        <v>0</v>
      </c>
    </row>
    <row r="59" spans="1:23" ht="15.6" hidden="1" customHeight="1" x14ac:dyDescent="0.2">
      <c r="A59" s="863"/>
      <c r="B59" s="1054"/>
      <c r="C59" s="3539" t="s">
        <v>195</v>
      </c>
      <c r="D59" s="3539"/>
      <c r="E59" s="3539"/>
      <c r="F59" s="1337"/>
      <c r="G59" s="3493">
        <f>G58+G54</f>
        <v>54573354408</v>
      </c>
      <c r="H59" s="3493"/>
      <c r="I59" s="1085"/>
      <c r="J59" s="1085"/>
      <c r="K59" s="1085"/>
      <c r="L59" s="3524">
        <f>L54+L58</f>
        <v>54572354408</v>
      </c>
      <c r="M59" s="3525"/>
      <c r="N59" s="3525"/>
      <c r="O59" s="3526"/>
    </row>
    <row r="60" spans="1:23" ht="19.899999999999999" customHeight="1" x14ac:dyDescent="0.2">
      <c r="A60" s="863"/>
      <c r="B60" s="863"/>
      <c r="C60" s="863"/>
      <c r="D60" s="863"/>
      <c r="E60" s="863"/>
      <c r="F60" s="863"/>
      <c r="G60" s="863"/>
      <c r="H60" s="863"/>
      <c r="I60" s="863"/>
      <c r="J60" s="863"/>
      <c r="K60" s="863"/>
      <c r="L60" s="863"/>
      <c r="M60" s="863"/>
      <c r="N60" s="863"/>
      <c r="O60" s="863"/>
    </row>
    <row r="61" spans="1:23" ht="17.25" customHeight="1" x14ac:dyDescent="0.2">
      <c r="B61" s="3434" t="s">
        <v>1128</v>
      </c>
      <c r="C61" s="3434"/>
      <c r="D61" s="3434"/>
      <c r="E61" s="3434"/>
      <c r="F61" s="3434"/>
      <c r="G61" s="3434"/>
      <c r="H61" s="3434"/>
      <c r="I61" s="3434"/>
      <c r="J61" s="3434"/>
      <c r="K61" s="3434"/>
      <c r="L61" s="3434"/>
      <c r="M61" s="3434"/>
      <c r="N61" s="3434"/>
      <c r="O61" s="3434"/>
    </row>
    <row r="62" spans="1:23" ht="17.25" customHeight="1" x14ac:dyDescent="0.35">
      <c r="B62" s="1059"/>
      <c r="C62" s="1059"/>
      <c r="D62" s="1059"/>
      <c r="E62" s="1059"/>
      <c r="F62" s="1059"/>
      <c r="G62" s="1059"/>
      <c r="H62" s="71"/>
      <c r="I62" s="71"/>
      <c r="J62" s="71"/>
      <c r="K62" s="71"/>
      <c r="L62" s="71"/>
      <c r="M62" s="655"/>
      <c r="N62" s="655"/>
      <c r="O62" s="655" t="s">
        <v>194</v>
      </c>
    </row>
    <row r="63" spans="1:23" ht="10.9" customHeight="1" x14ac:dyDescent="0.2">
      <c r="B63" s="3435" t="s">
        <v>591</v>
      </c>
      <c r="C63" s="3498" t="s">
        <v>53</v>
      </c>
      <c r="D63" s="3444" t="s">
        <v>197</v>
      </c>
      <c r="E63" s="3437" t="s">
        <v>1392</v>
      </c>
      <c r="F63" s="3438"/>
      <c r="G63" s="3438"/>
      <c r="H63" s="3439"/>
      <c r="I63" s="1060"/>
      <c r="J63" s="1060"/>
      <c r="K63" s="1060"/>
      <c r="L63" s="3437" t="s">
        <v>1890</v>
      </c>
      <c r="M63" s="3438"/>
      <c r="N63" s="3439"/>
      <c r="O63" s="3446" t="s">
        <v>1987</v>
      </c>
    </row>
    <row r="64" spans="1:23" s="1061" customFormat="1" ht="22.9" customHeight="1" x14ac:dyDescent="0.2">
      <c r="B64" s="3436"/>
      <c r="C64" s="3499"/>
      <c r="D64" s="3445"/>
      <c r="E64" s="3440"/>
      <c r="F64" s="3441"/>
      <c r="G64" s="3441"/>
      <c r="H64" s="3442"/>
      <c r="I64" s="1062"/>
      <c r="J64" s="1062"/>
      <c r="K64" s="1062"/>
      <c r="L64" s="3440"/>
      <c r="M64" s="3441"/>
      <c r="N64" s="3442"/>
      <c r="O64" s="3446"/>
    </row>
    <row r="65" spans="1:16" ht="6.6" customHeight="1" x14ac:dyDescent="0.2">
      <c r="B65" s="3460" t="s">
        <v>180</v>
      </c>
      <c r="C65" s="3482">
        <v>1307003025</v>
      </c>
      <c r="D65" s="3458" t="s">
        <v>1377</v>
      </c>
      <c r="E65" s="3462">
        <v>392070186706</v>
      </c>
      <c r="F65" s="3463"/>
      <c r="G65" s="3463"/>
      <c r="H65" s="3464"/>
      <c r="I65" s="249"/>
      <c r="J65" s="249"/>
      <c r="K65" s="249"/>
      <c r="L65" s="3468">
        <f>-(E65-O65)-H65</f>
        <v>-130692000000</v>
      </c>
      <c r="M65" s="3469"/>
      <c r="N65" s="3470"/>
      <c r="O65" s="3480">
        <v>261378186706</v>
      </c>
    </row>
    <row r="66" spans="1:16" ht="20.45" customHeight="1" thickBot="1" x14ac:dyDescent="0.25">
      <c r="B66" s="3461"/>
      <c r="C66" s="3483"/>
      <c r="D66" s="3459"/>
      <c r="E66" s="3465"/>
      <c r="F66" s="3466"/>
      <c r="G66" s="3466"/>
      <c r="H66" s="3467"/>
      <c r="I66" s="413"/>
      <c r="J66" s="413"/>
      <c r="K66" s="413"/>
      <c r="L66" s="3471"/>
      <c r="M66" s="3472"/>
      <c r="N66" s="3473"/>
      <c r="O66" s="3481"/>
    </row>
    <row r="67" spans="1:16" ht="16.899999999999999" customHeight="1" thickTop="1" x14ac:dyDescent="0.2">
      <c r="C67" s="81"/>
      <c r="E67" s="3449"/>
      <c r="F67" s="3449"/>
      <c r="G67" s="3449"/>
      <c r="H67" s="3449"/>
      <c r="I67" s="1064"/>
      <c r="J67" s="1064"/>
      <c r="K67" s="1064"/>
      <c r="L67" s="3450" t="s">
        <v>1891</v>
      </c>
      <c r="M67" s="3450"/>
      <c r="N67" s="3450"/>
    </row>
    <row r="68" spans="1:16" ht="17.25" customHeight="1" x14ac:dyDescent="0.2">
      <c r="C68" s="81"/>
      <c r="H68" s="971"/>
      <c r="I68" s="1064"/>
      <c r="J68" s="1064"/>
      <c r="K68" s="1064"/>
      <c r="L68" s="972"/>
      <c r="M68" s="972"/>
    </row>
    <row r="69" spans="1:16" ht="17.25" customHeight="1" x14ac:dyDescent="0.2">
      <c r="B69" s="3433" t="s">
        <v>1970</v>
      </c>
      <c r="C69" s="3433"/>
      <c r="D69" s="3433"/>
      <c r="E69" s="3433"/>
      <c r="F69" s="3433"/>
      <c r="G69" s="3433"/>
      <c r="H69" s="3433"/>
      <c r="I69" s="3433"/>
      <c r="J69" s="3433"/>
      <c r="K69" s="3433"/>
      <c r="L69" s="3433"/>
      <c r="M69" s="3433"/>
      <c r="N69" s="3433"/>
      <c r="O69" s="3433"/>
    </row>
    <row r="70" spans="1:16" ht="33.75" customHeight="1" x14ac:dyDescent="0.2">
      <c r="B70" s="3433"/>
      <c r="C70" s="3433"/>
      <c r="D70" s="3433"/>
      <c r="E70" s="3433"/>
      <c r="F70" s="3433"/>
      <c r="G70" s="3433"/>
      <c r="H70" s="3433"/>
      <c r="I70" s="3433"/>
      <c r="J70" s="3433"/>
      <c r="K70" s="3433"/>
      <c r="L70" s="3433"/>
      <c r="M70" s="3433"/>
      <c r="N70" s="3433"/>
      <c r="O70" s="3433"/>
    </row>
    <row r="71" spans="1:16" ht="6" customHeight="1" x14ac:dyDescent="0.2">
      <c r="B71" s="71"/>
      <c r="C71" s="71"/>
      <c r="H71" s="971"/>
      <c r="I71" s="971"/>
      <c r="J71" s="971"/>
      <c r="K71" s="971"/>
      <c r="L71" s="971"/>
    </row>
    <row r="72" spans="1:16" ht="8.4499999999999993" customHeight="1" x14ac:dyDescent="0.2">
      <c r="B72" s="3457" t="s">
        <v>1132</v>
      </c>
      <c r="C72" s="3457"/>
      <c r="D72" s="3457"/>
      <c r="E72" s="3457"/>
      <c r="F72" s="3457"/>
      <c r="G72" s="3457"/>
      <c r="H72" s="3457"/>
      <c r="I72" s="3457"/>
      <c r="J72" s="3457"/>
      <c r="K72" s="3457"/>
      <c r="L72" s="3457"/>
      <c r="M72" s="3457"/>
      <c r="N72" s="3457"/>
      <c r="O72" s="3457"/>
      <c r="P72" s="1065"/>
    </row>
    <row r="73" spans="1:16" ht="8.4499999999999993" customHeight="1" x14ac:dyDescent="0.2">
      <c r="B73" s="3457"/>
      <c r="C73" s="3457"/>
      <c r="D73" s="3457"/>
      <c r="E73" s="3457"/>
      <c r="F73" s="3457"/>
      <c r="G73" s="3457"/>
      <c r="H73" s="3457"/>
      <c r="I73" s="3457"/>
      <c r="J73" s="3457"/>
      <c r="K73" s="3457"/>
      <c r="L73" s="3457"/>
      <c r="M73" s="3457"/>
      <c r="N73" s="3457"/>
      <c r="O73" s="3457"/>
      <c r="P73" s="1065"/>
    </row>
    <row r="74" spans="1:16" ht="19.899999999999999" customHeight="1" x14ac:dyDescent="0.35">
      <c r="B74" s="1066"/>
      <c r="C74" s="1066"/>
      <c r="D74" s="1066"/>
      <c r="E74" s="1066"/>
      <c r="F74" s="1066"/>
      <c r="G74" s="1066"/>
      <c r="H74" s="1066"/>
      <c r="I74" s="1066"/>
      <c r="J74" s="1066"/>
      <c r="K74" s="1066"/>
      <c r="L74" s="655"/>
      <c r="M74" s="655"/>
      <c r="N74" s="655"/>
      <c r="O74" s="655" t="s">
        <v>194</v>
      </c>
      <c r="P74" s="1065"/>
    </row>
    <row r="75" spans="1:16" ht="24.6" customHeight="1" x14ac:dyDescent="0.45">
      <c r="B75" s="3474" t="s">
        <v>1087</v>
      </c>
      <c r="C75" s="3475"/>
      <c r="D75" s="3476"/>
      <c r="E75" s="3454" t="s">
        <v>1989</v>
      </c>
      <c r="F75" s="3455"/>
      <c r="G75" s="3455"/>
      <c r="H75" s="3456"/>
      <c r="I75" s="544"/>
      <c r="J75" s="544"/>
      <c r="K75" s="544"/>
      <c r="L75" s="3454" t="s">
        <v>1393</v>
      </c>
      <c r="M75" s="3455"/>
      <c r="N75" s="3455"/>
      <c r="O75" s="3456"/>
      <c r="P75" s="1065"/>
    </row>
    <row r="76" spans="1:16" ht="19.899999999999999" customHeight="1" x14ac:dyDescent="0.2">
      <c r="B76" s="3448" t="s">
        <v>1115</v>
      </c>
      <c r="C76" s="3448"/>
      <c r="D76" s="3448"/>
      <c r="E76" s="3451">
        <f>O65</f>
        <v>261378186706</v>
      </c>
      <c r="F76" s="3452"/>
      <c r="G76" s="3452"/>
      <c r="H76" s="3453"/>
      <c r="I76" s="3443">
        <f>E65</f>
        <v>392070186706</v>
      </c>
      <c r="J76" s="3443"/>
      <c r="K76" s="3443"/>
      <c r="L76" s="3443"/>
      <c r="M76" s="3443"/>
      <c r="N76" s="3443"/>
      <c r="O76" s="3443"/>
      <c r="P76" s="1065"/>
    </row>
    <row r="77" spans="1:16" ht="19.899999999999999" customHeight="1" x14ac:dyDescent="0.2">
      <c r="B77" s="1066"/>
      <c r="C77" s="1066"/>
      <c r="D77" s="1066"/>
      <c r="E77" s="1066"/>
      <c r="F77" s="1066"/>
      <c r="G77" s="1066"/>
      <c r="H77" s="1066"/>
      <c r="I77" s="1066"/>
      <c r="J77" s="1066"/>
      <c r="K77" s="1066"/>
      <c r="L77" s="1066"/>
      <c r="M77" s="1066"/>
      <c r="N77" s="1066"/>
      <c r="O77" s="1066"/>
      <c r="P77" s="1065"/>
    </row>
    <row r="78" spans="1:16" ht="127.5" customHeight="1" x14ac:dyDescent="0.2">
      <c r="B78" s="3447" t="s">
        <v>2161</v>
      </c>
      <c r="C78" s="3447"/>
      <c r="D78" s="3447"/>
      <c r="E78" s="3447"/>
      <c r="F78" s="3447"/>
      <c r="G78" s="3447"/>
      <c r="H78" s="3447"/>
      <c r="I78" s="3447"/>
      <c r="J78" s="3447"/>
      <c r="K78" s="3447"/>
      <c r="L78" s="3447"/>
      <c r="M78" s="3447"/>
      <c r="N78" s="3447"/>
      <c r="O78" s="3447"/>
      <c r="P78" s="1065"/>
    </row>
    <row r="79" spans="1:16" ht="12.75" customHeight="1" x14ac:dyDescent="0.2">
      <c r="B79" s="1066"/>
      <c r="C79" s="1066"/>
      <c r="D79" s="1066"/>
      <c r="E79" s="1066"/>
      <c r="F79" s="1066"/>
      <c r="G79" s="1066"/>
      <c r="H79" s="1066"/>
      <c r="I79" s="1066"/>
      <c r="J79" s="1066"/>
      <c r="K79" s="1066"/>
      <c r="L79" s="1066"/>
      <c r="M79" s="1066"/>
      <c r="N79" s="1066"/>
      <c r="O79" s="1066"/>
      <c r="P79" s="1065"/>
    </row>
    <row r="80" spans="1:16" ht="16.5" customHeight="1" x14ac:dyDescent="0.2">
      <c r="A80" s="3432" t="s">
        <v>2267</v>
      </c>
      <c r="B80" s="3432"/>
      <c r="C80" s="3432"/>
      <c r="D80" s="3432"/>
      <c r="E80" s="3432"/>
      <c r="F80" s="3432"/>
      <c r="G80" s="3432"/>
      <c r="H80" s="3432"/>
      <c r="I80" s="3432"/>
      <c r="J80" s="3432"/>
      <c r="K80" s="3432"/>
      <c r="L80" s="3432"/>
      <c r="M80" s="3432"/>
      <c r="N80" s="3432"/>
      <c r="O80" s="3432"/>
    </row>
    <row r="81" spans="1:15" ht="16.5" customHeight="1" x14ac:dyDescent="0.2">
      <c r="A81" s="863"/>
      <c r="B81" s="863"/>
      <c r="C81" s="863"/>
      <c r="D81" s="863"/>
      <c r="E81" s="863"/>
      <c r="F81" s="863"/>
      <c r="G81" s="863"/>
      <c r="H81" s="863"/>
      <c r="I81" s="863"/>
      <c r="J81" s="863"/>
      <c r="K81" s="863"/>
      <c r="L81" s="863"/>
      <c r="M81" s="863"/>
      <c r="N81" s="863"/>
      <c r="O81" s="863"/>
    </row>
  </sheetData>
  <mergeCells count="114">
    <mergeCell ref="B37:O37"/>
    <mergeCell ref="B47:B51"/>
    <mergeCell ref="G50:H50"/>
    <mergeCell ref="G49:H49"/>
    <mergeCell ref="L51:O51"/>
    <mergeCell ref="G51:H51"/>
    <mergeCell ref="L59:O59"/>
    <mergeCell ref="L55:O55"/>
    <mergeCell ref="L53:O53"/>
    <mergeCell ref="C59:E59"/>
    <mergeCell ref="B44:O44"/>
    <mergeCell ref="G46:H46"/>
    <mergeCell ref="L46:O46"/>
    <mergeCell ref="C57:E57"/>
    <mergeCell ref="G57:H57"/>
    <mergeCell ref="L57:O57"/>
    <mergeCell ref="G56:H56"/>
    <mergeCell ref="L56:O56"/>
    <mergeCell ref="H16:I16"/>
    <mergeCell ref="B14:D14"/>
    <mergeCell ref="C58:E58"/>
    <mergeCell ref="B55:B58"/>
    <mergeCell ref="G58:H58"/>
    <mergeCell ref="G55:H55"/>
    <mergeCell ref="D52:D53"/>
    <mergeCell ref="L47:O47"/>
    <mergeCell ref="G52:H52"/>
    <mergeCell ref="G47:H47"/>
    <mergeCell ref="G54:H54"/>
    <mergeCell ref="L54:O54"/>
    <mergeCell ref="G53:H53"/>
    <mergeCell ref="L49:O49"/>
    <mergeCell ref="L52:O52"/>
    <mergeCell ref="L50:O50"/>
    <mergeCell ref="L48:O48"/>
    <mergeCell ref="D29:G29"/>
    <mergeCell ref="B54:E54"/>
    <mergeCell ref="B31:B34"/>
    <mergeCell ref="I35:L35"/>
    <mergeCell ref="C34:G34"/>
    <mergeCell ref="L58:O58"/>
    <mergeCell ref="B35:G35"/>
    <mergeCell ref="E75:H75"/>
    <mergeCell ref="M12:O12"/>
    <mergeCell ref="B20:M20"/>
    <mergeCell ref="M15:O15"/>
    <mergeCell ref="N21:O21"/>
    <mergeCell ref="M13:N13"/>
    <mergeCell ref="C63:C64"/>
    <mergeCell ref="N22:N23"/>
    <mergeCell ref="M22:M23"/>
    <mergeCell ref="L22:L23"/>
    <mergeCell ref="A38:O38"/>
    <mergeCell ref="L63:N64"/>
    <mergeCell ref="D31:G31"/>
    <mergeCell ref="B30:G30"/>
    <mergeCell ref="C22:C23"/>
    <mergeCell ref="D22:G23"/>
    <mergeCell ref="O22:O23"/>
    <mergeCell ref="H22:H23"/>
    <mergeCell ref="D28:G28"/>
    <mergeCell ref="D26:G26"/>
    <mergeCell ref="D24:G24"/>
    <mergeCell ref="D25:G25"/>
    <mergeCell ref="D27:G27"/>
    <mergeCell ref="L45:O45"/>
    <mergeCell ref="B24:B29"/>
    <mergeCell ref="O65:O66"/>
    <mergeCell ref="C65:C66"/>
    <mergeCell ref="B1:O1"/>
    <mergeCell ref="B2:O2"/>
    <mergeCell ref="B3:O3"/>
    <mergeCell ref="B4:O4"/>
    <mergeCell ref="H12:I12"/>
    <mergeCell ref="B10:D10"/>
    <mergeCell ref="H13:I13"/>
    <mergeCell ref="G48:H48"/>
    <mergeCell ref="B22:B23"/>
    <mergeCell ref="L10:O10"/>
    <mergeCell ref="B39:O39"/>
    <mergeCell ref="B40:O40"/>
    <mergeCell ref="B16:D16"/>
    <mergeCell ref="H17:I17"/>
    <mergeCell ref="M16:O16"/>
    <mergeCell ref="M17:O17"/>
    <mergeCell ref="B15:D15"/>
    <mergeCell ref="H14:I14"/>
    <mergeCell ref="H15:I15"/>
    <mergeCell ref="G59:H59"/>
    <mergeCell ref="D32:G32"/>
    <mergeCell ref="M14:O14"/>
    <mergeCell ref="D33:G33"/>
    <mergeCell ref="B41:O41"/>
    <mergeCell ref="B42:O42"/>
    <mergeCell ref="A80:O80"/>
    <mergeCell ref="B69:O70"/>
    <mergeCell ref="B61:O61"/>
    <mergeCell ref="B63:B64"/>
    <mergeCell ref="E63:H64"/>
    <mergeCell ref="I76:O76"/>
    <mergeCell ref="D63:D64"/>
    <mergeCell ref="O63:O64"/>
    <mergeCell ref="B78:O78"/>
    <mergeCell ref="B76:D76"/>
    <mergeCell ref="E67:H67"/>
    <mergeCell ref="L67:N67"/>
    <mergeCell ref="E76:H76"/>
    <mergeCell ref="L75:O75"/>
    <mergeCell ref="B72:O73"/>
    <mergeCell ref="D65:D66"/>
    <mergeCell ref="B65:B66"/>
    <mergeCell ref="E65:H66"/>
    <mergeCell ref="L65:N66"/>
    <mergeCell ref="B75:D75"/>
  </mergeCells>
  <printOptions horizontalCentered="1"/>
  <pageMargins left="0.118110236220472" right="0.118110236220472" top="0.39370078740157499" bottom="0.39370078740157499" header="0.511811023622047" footer="0.39370078740157499"/>
  <pageSetup scale="94" fitToWidth="0" fitToHeight="0" orientation="portrait" r:id="rId1"/>
  <headerFooter alignWithMargins="0"/>
  <rowBreaks count="2" manualBreakCount="2">
    <brk id="38" max="15" man="1"/>
    <brk id="80" max="15"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2060"/>
  </sheetPr>
  <dimension ref="A1:Z172"/>
  <sheetViews>
    <sheetView rightToLeft="1" view="pageBreakPreview" topLeftCell="A148" zoomScale="76" zoomScaleNormal="132" zoomScaleSheetLayoutView="76" workbookViewId="0">
      <selection activeCell="A152" sqref="A152"/>
    </sheetView>
  </sheetViews>
  <sheetFormatPr defaultColWidth="9.140625" defaultRowHeight="15" x14ac:dyDescent="0.35"/>
  <cols>
    <col min="1" max="1" width="1.5703125" style="1526" customWidth="1"/>
    <col min="2" max="2" width="3.5703125" style="1526" customWidth="1"/>
    <col min="3" max="3" width="11.28515625" style="1526" customWidth="1"/>
    <col min="4" max="4" width="38.42578125" style="2115" customWidth="1"/>
    <col min="5" max="5" width="11.140625" style="1526" customWidth="1"/>
    <col min="6" max="6" width="5" style="1526" hidden="1" customWidth="1"/>
    <col min="7" max="7" width="0.140625" style="1526" customWidth="1"/>
    <col min="8" max="8" width="8.7109375" style="1526" customWidth="1"/>
    <col min="9" max="9" width="13.5703125" style="1526" customWidth="1"/>
    <col min="10" max="10" width="7.5703125" style="1526" hidden="1" customWidth="1"/>
    <col min="11" max="13" width="14.28515625" style="1526" hidden="1" customWidth="1"/>
    <col min="14" max="14" width="8.28515625" style="1526" customWidth="1"/>
    <col min="15" max="15" width="7.28515625" style="1526" customWidth="1"/>
    <col min="16" max="16" width="13.7109375" style="1526" customWidth="1"/>
    <col min="17" max="17" width="12.85546875" style="1526" customWidth="1"/>
    <col min="18" max="18" width="0.7109375" style="1526" customWidth="1"/>
    <col min="19" max="19" width="6.5703125" style="1526" customWidth="1"/>
    <col min="20" max="20" width="14.140625" style="1526" bestFit="1" customWidth="1"/>
    <col min="21" max="16384" width="9.140625" style="1526"/>
  </cols>
  <sheetData>
    <row r="1" spans="1:21" ht="22.5" x14ac:dyDescent="0.35">
      <c r="A1" s="3574" t="s">
        <v>295</v>
      </c>
      <c r="B1" s="3574"/>
      <c r="C1" s="3574"/>
      <c r="D1" s="3574"/>
      <c r="E1" s="3574"/>
      <c r="F1" s="3574"/>
      <c r="G1" s="3574"/>
      <c r="H1" s="3574"/>
      <c r="I1" s="3574"/>
      <c r="J1" s="3574"/>
      <c r="K1" s="3574"/>
      <c r="L1" s="3574"/>
      <c r="M1" s="3574"/>
      <c r="N1" s="3574"/>
      <c r="O1" s="3574"/>
      <c r="P1" s="3574"/>
    </row>
    <row r="2" spans="1:21" ht="22.5" x14ac:dyDescent="0.35">
      <c r="A2" s="3574" t="s">
        <v>45</v>
      </c>
      <c r="B2" s="3574"/>
      <c r="C2" s="3574"/>
      <c r="D2" s="3574"/>
      <c r="E2" s="3574"/>
      <c r="F2" s="3574"/>
      <c r="G2" s="3574"/>
      <c r="H2" s="3574"/>
      <c r="I2" s="3574"/>
      <c r="J2" s="3574"/>
      <c r="K2" s="3574"/>
      <c r="L2" s="3574"/>
      <c r="M2" s="3574"/>
      <c r="N2" s="3574"/>
      <c r="O2" s="3574"/>
      <c r="P2" s="3574"/>
    </row>
    <row r="3" spans="1:21" ht="22.5" x14ac:dyDescent="0.35">
      <c r="A3" s="3574" t="s">
        <v>46</v>
      </c>
      <c r="B3" s="3574"/>
      <c r="C3" s="3574"/>
      <c r="D3" s="3574"/>
      <c r="E3" s="3574"/>
      <c r="F3" s="3574"/>
      <c r="G3" s="3574"/>
      <c r="H3" s="3574"/>
      <c r="I3" s="3574"/>
      <c r="J3" s="3574"/>
      <c r="K3" s="3574"/>
      <c r="L3" s="3574"/>
      <c r="M3" s="3574"/>
      <c r="N3" s="3574"/>
      <c r="O3" s="3574"/>
      <c r="P3" s="3574"/>
    </row>
    <row r="4" spans="1:21" ht="22.5" x14ac:dyDescent="0.35">
      <c r="A4" s="3572" t="s">
        <v>1988</v>
      </c>
      <c r="B4" s="3572"/>
      <c r="C4" s="3572"/>
      <c r="D4" s="3572"/>
      <c r="E4" s="3572"/>
      <c r="F4" s="3572"/>
      <c r="G4" s="3572"/>
      <c r="H4" s="3572"/>
      <c r="I4" s="3572"/>
      <c r="J4" s="3572"/>
      <c r="K4" s="3572"/>
      <c r="L4" s="3572"/>
      <c r="M4" s="3572"/>
      <c r="N4" s="3572"/>
      <c r="O4" s="3572"/>
      <c r="P4" s="3572"/>
    </row>
    <row r="5" spans="1:21" x14ac:dyDescent="0.35">
      <c r="T5" s="2116">
        <f>H11-T7</f>
        <v>-352989178850</v>
      </c>
    </row>
    <row r="6" spans="1:21" ht="22.5" x14ac:dyDescent="0.35">
      <c r="A6" s="1719"/>
      <c r="B6" s="3575" t="s">
        <v>1146</v>
      </c>
      <c r="C6" s="3576"/>
      <c r="D6" s="3576"/>
      <c r="E6" s="3576"/>
      <c r="F6" s="3576"/>
      <c r="G6" s="3575"/>
      <c r="H6" s="3576"/>
      <c r="I6" s="2117"/>
      <c r="J6" s="2117"/>
      <c r="K6" s="2118"/>
      <c r="L6" s="1831"/>
      <c r="M6" s="1831"/>
      <c r="N6" s="1831"/>
      <c r="O6" s="1831"/>
      <c r="P6" s="3550" t="s">
        <v>194</v>
      </c>
      <c r="Q6" s="3551"/>
      <c r="T6" s="2119">
        <f>T7+H11</f>
        <v>352989178850</v>
      </c>
    </row>
    <row r="7" spans="1:21" ht="35.450000000000003" customHeight="1" x14ac:dyDescent="0.35">
      <c r="A7" s="1719"/>
      <c r="B7" s="3552" t="s">
        <v>419</v>
      </c>
      <c r="C7" s="3554" t="s">
        <v>53</v>
      </c>
      <c r="D7" s="3556" t="s">
        <v>54</v>
      </c>
      <c r="E7" s="3558" t="s">
        <v>1391</v>
      </c>
      <c r="F7" s="2120"/>
      <c r="G7" s="3559" t="s">
        <v>898</v>
      </c>
      <c r="H7" s="3561" t="s">
        <v>989</v>
      </c>
      <c r="I7" s="3562" t="s">
        <v>615</v>
      </c>
      <c r="J7" s="3562"/>
      <c r="K7" s="3562"/>
      <c r="L7" s="3562"/>
      <c r="M7" s="3562"/>
      <c r="N7" s="3562"/>
      <c r="O7" s="3563" t="s">
        <v>313</v>
      </c>
      <c r="P7" s="3562" t="s">
        <v>1129</v>
      </c>
      <c r="Q7" s="3558" t="s">
        <v>1986</v>
      </c>
      <c r="T7" s="446">
        <v>352989178850</v>
      </c>
      <c r="U7" s="2116">
        <f>Q11-T7</f>
        <v>-282489317906</v>
      </c>
    </row>
    <row r="8" spans="1:21" ht="52.9" customHeight="1" x14ac:dyDescent="0.35">
      <c r="A8" s="1719"/>
      <c r="B8" s="3552"/>
      <c r="C8" s="3554"/>
      <c r="D8" s="3556"/>
      <c r="E8" s="3558"/>
      <c r="F8" s="2121"/>
      <c r="G8" s="3560"/>
      <c r="H8" s="3561"/>
      <c r="I8" s="2122" t="s">
        <v>20</v>
      </c>
      <c r="J8" s="2122" t="s">
        <v>314</v>
      </c>
      <c r="K8" s="2123"/>
      <c r="L8" s="2123"/>
      <c r="M8" s="2123"/>
      <c r="N8" s="2122" t="s">
        <v>315</v>
      </c>
      <c r="O8" s="3564"/>
      <c r="P8" s="3562"/>
      <c r="Q8" s="3558"/>
    </row>
    <row r="9" spans="1:21" ht="16.149999999999999" customHeight="1" x14ac:dyDescent="0.35">
      <c r="A9" s="1719"/>
      <c r="B9" s="3568" t="s">
        <v>296</v>
      </c>
      <c r="C9" s="2124">
        <v>1503002046</v>
      </c>
      <c r="D9" s="2125" t="s">
        <v>223</v>
      </c>
      <c r="E9" s="2126">
        <v>96573185251</v>
      </c>
      <c r="F9" s="267"/>
      <c r="G9" s="82"/>
      <c r="H9" s="2126">
        <v>54969107987</v>
      </c>
      <c r="I9" s="82">
        <f>Q9-H9-N9-M9-J9-P9-E9-G9-O9</f>
        <v>-40958082411</v>
      </c>
      <c r="J9" s="82"/>
      <c r="K9" s="250"/>
      <c r="L9" s="251"/>
      <c r="M9" s="251"/>
      <c r="N9" s="251">
        <v>-1582060020</v>
      </c>
      <c r="O9" s="251">
        <v>949209253</v>
      </c>
      <c r="P9" s="82"/>
      <c r="Q9" s="2127">
        <f>111815377381-Q121</f>
        <v>109951360060</v>
      </c>
      <c r="T9" s="2116">
        <f>E9+H9+I9+J9+G9+N9+O9+P9</f>
        <v>109951360060</v>
      </c>
      <c r="U9" s="2116">
        <f>Q9-T9</f>
        <v>0</v>
      </c>
    </row>
    <row r="10" spans="1:21" ht="16.149999999999999" customHeight="1" x14ac:dyDescent="0.35">
      <c r="A10" s="1719"/>
      <c r="B10" s="3569"/>
      <c r="C10" s="2124">
        <v>1503002096</v>
      </c>
      <c r="D10" s="2125" t="s">
        <v>316</v>
      </c>
      <c r="E10" s="2126">
        <v>8512907715</v>
      </c>
      <c r="F10" s="267"/>
      <c r="G10" s="267"/>
      <c r="H10" s="2128"/>
      <c r="I10" s="82">
        <f>Q10-H10-N10-M10-J10-P10-E10-G10-O10</f>
        <v>-476809205</v>
      </c>
      <c r="J10" s="267"/>
      <c r="K10" s="76"/>
      <c r="L10" s="77"/>
      <c r="M10" s="77"/>
      <c r="N10" s="77"/>
      <c r="O10" s="77"/>
      <c r="P10" s="267">
        <f>-7985520510</f>
        <v>-7985520510</v>
      </c>
      <c r="Q10" s="2127">
        <v>50578000</v>
      </c>
      <c r="T10" s="2116">
        <f t="shared" ref="T10:T29" si="0">E10+H10+I10+J10+G10+N10+O10+P10</f>
        <v>50578000</v>
      </c>
      <c r="U10" s="2116">
        <f>Q10-T10</f>
        <v>0</v>
      </c>
    </row>
    <row r="11" spans="1:21" ht="16.149999999999999" customHeight="1" x14ac:dyDescent="0.35">
      <c r="A11" s="1719"/>
      <c r="B11" s="3569"/>
      <c r="C11" s="2124">
        <v>1503002173</v>
      </c>
      <c r="D11" s="2125" t="s">
        <v>317</v>
      </c>
      <c r="E11" s="2126">
        <v>88937799232</v>
      </c>
      <c r="F11" s="267"/>
      <c r="G11" s="267"/>
      <c r="H11" s="2128"/>
      <c r="I11" s="82">
        <f>Q11-H11-N11-M11-J11-P11-E11-G11</f>
        <v>-18437938288</v>
      </c>
      <c r="J11" s="267"/>
      <c r="K11" s="76"/>
      <c r="L11" s="77"/>
      <c r="M11" s="77"/>
      <c r="N11" s="77"/>
      <c r="O11" s="77"/>
      <c r="P11" s="267"/>
      <c r="Q11" s="2127">
        <v>70499860944</v>
      </c>
      <c r="T11" s="2116">
        <f t="shared" si="0"/>
        <v>70499860944</v>
      </c>
      <c r="U11" s="2116">
        <f>Q11-T11</f>
        <v>0</v>
      </c>
    </row>
    <row r="12" spans="1:21" ht="16.149999999999999" customHeight="1" x14ac:dyDescent="0.35">
      <c r="A12" s="1719"/>
      <c r="B12" s="3569"/>
      <c r="C12" s="2124">
        <v>1307002010</v>
      </c>
      <c r="D12" s="2125" t="s">
        <v>224</v>
      </c>
      <c r="E12" s="2126">
        <v>156904359002</v>
      </c>
      <c r="F12" s="267"/>
      <c r="G12" s="267"/>
      <c r="H12" s="2128">
        <v>10100200222</v>
      </c>
      <c r="I12" s="82">
        <f>Q12-H12-N12-M12-J12-P12-E12-G12</f>
        <v>-58642426295</v>
      </c>
      <c r="J12" s="267"/>
      <c r="K12" s="76"/>
      <c r="L12" s="77"/>
      <c r="M12" s="77"/>
      <c r="N12" s="77"/>
      <c r="O12" s="77"/>
      <c r="P12" s="267"/>
      <c r="Q12" s="2127">
        <f>135790403427-Q123</f>
        <v>108362132929</v>
      </c>
      <c r="T12" s="2116">
        <f t="shared" si="0"/>
        <v>108362132929</v>
      </c>
      <c r="U12" s="2116">
        <f t="shared" ref="U12:U28" si="1">Q12-T12</f>
        <v>0</v>
      </c>
    </row>
    <row r="13" spans="1:21" ht="16.149999999999999" customHeight="1" x14ac:dyDescent="0.35">
      <c r="A13" s="1719"/>
      <c r="B13" s="3569"/>
      <c r="C13" s="2124" t="s">
        <v>90</v>
      </c>
      <c r="D13" s="2125" t="s">
        <v>191</v>
      </c>
      <c r="E13" s="2126">
        <v>234983953</v>
      </c>
      <c r="F13" s="267"/>
      <c r="G13" s="267"/>
      <c r="H13" s="2128"/>
      <c r="I13" s="82">
        <f>Q13-H13-N13-M13-J13-P13-E13-G13-O13</f>
        <v>0</v>
      </c>
      <c r="J13" s="267"/>
      <c r="K13" s="76"/>
      <c r="L13" s="77"/>
      <c r="M13" s="77"/>
      <c r="N13" s="77"/>
      <c r="O13" s="77"/>
      <c r="P13" s="267"/>
      <c r="Q13" s="2127">
        <v>234983953</v>
      </c>
      <c r="T13" s="2116">
        <f t="shared" si="0"/>
        <v>234983953</v>
      </c>
      <c r="U13" s="2116">
        <f t="shared" si="1"/>
        <v>0</v>
      </c>
    </row>
    <row r="14" spans="1:21" ht="16.149999999999999" customHeight="1" x14ac:dyDescent="0.35">
      <c r="A14" s="1719"/>
      <c r="B14" s="3569"/>
      <c r="C14" s="2124">
        <v>1503002067</v>
      </c>
      <c r="D14" s="2125" t="s">
        <v>318</v>
      </c>
      <c r="E14" s="2126">
        <v>4181785476</v>
      </c>
      <c r="F14" s="267"/>
      <c r="G14" s="267"/>
      <c r="H14" s="2128"/>
      <c r="I14" s="82">
        <f t="shared" ref="I14:I29" si="2">Q14-H14-N14-M14-J14-P14-E14-G14-O14</f>
        <v>0</v>
      </c>
      <c r="J14" s="2127"/>
      <c r="K14" s="76"/>
      <c r="L14" s="77"/>
      <c r="M14" s="77"/>
      <c r="N14" s="77"/>
      <c r="O14" s="77"/>
      <c r="P14" s="267"/>
      <c r="Q14" s="2127">
        <v>4181785476</v>
      </c>
      <c r="T14" s="2116">
        <f t="shared" si="0"/>
        <v>4181785476</v>
      </c>
      <c r="U14" s="2116">
        <f t="shared" si="1"/>
        <v>0</v>
      </c>
    </row>
    <row r="15" spans="1:21" ht="16.149999999999999" customHeight="1" x14ac:dyDescent="0.35">
      <c r="A15" s="1719"/>
      <c r="B15" s="3569"/>
      <c r="C15" s="2129" t="s">
        <v>215</v>
      </c>
      <c r="D15" s="2130" t="s">
        <v>216</v>
      </c>
      <c r="E15" s="2131">
        <v>137845276</v>
      </c>
      <c r="F15" s="267"/>
      <c r="G15" s="267"/>
      <c r="H15" s="2128"/>
      <c r="I15" s="82">
        <f t="shared" si="2"/>
        <v>0</v>
      </c>
      <c r="J15" s="267"/>
      <c r="K15" s="76"/>
      <c r="L15" s="77"/>
      <c r="M15" s="77"/>
      <c r="N15" s="77"/>
      <c r="O15" s="77"/>
      <c r="P15" s="267"/>
      <c r="Q15" s="2128">
        <f>126500000+11345276</f>
        <v>137845276</v>
      </c>
      <c r="T15" s="2116">
        <f t="shared" si="0"/>
        <v>137845276</v>
      </c>
      <c r="U15" s="2116">
        <f t="shared" si="1"/>
        <v>0</v>
      </c>
    </row>
    <row r="16" spans="1:21" ht="16.149999999999999" customHeight="1" x14ac:dyDescent="0.35">
      <c r="A16" s="1719"/>
      <c r="B16" s="3569"/>
      <c r="C16" s="2129" t="s">
        <v>266</v>
      </c>
      <c r="D16" s="2130" t="s">
        <v>267</v>
      </c>
      <c r="E16" s="2131">
        <v>732395790</v>
      </c>
      <c r="F16" s="267"/>
      <c r="G16" s="267"/>
      <c r="H16" s="2128"/>
      <c r="I16" s="82">
        <f t="shared" si="2"/>
        <v>0</v>
      </c>
      <c r="J16" s="267"/>
      <c r="K16" s="76"/>
      <c r="L16" s="77"/>
      <c r="M16" s="77"/>
      <c r="N16" s="77"/>
      <c r="O16" s="77"/>
      <c r="P16" s="267"/>
      <c r="Q16" s="2128">
        <v>732395790</v>
      </c>
      <c r="T16" s="2116">
        <f t="shared" si="0"/>
        <v>732395790</v>
      </c>
      <c r="U16" s="2116">
        <f t="shared" si="1"/>
        <v>0</v>
      </c>
    </row>
    <row r="17" spans="1:22" ht="16.149999999999999" customHeight="1" x14ac:dyDescent="0.35">
      <c r="A17" s="1719"/>
      <c r="B17" s="3569"/>
      <c r="C17" s="2129" t="s">
        <v>187</v>
      </c>
      <c r="D17" s="2130" t="s">
        <v>319</v>
      </c>
      <c r="E17" s="2131">
        <v>1755994</v>
      </c>
      <c r="F17" s="267"/>
      <c r="G17" s="267"/>
      <c r="H17" s="2128"/>
      <c r="I17" s="82">
        <f t="shared" si="2"/>
        <v>0</v>
      </c>
      <c r="J17" s="267"/>
      <c r="K17" s="76"/>
      <c r="L17" s="77"/>
      <c r="M17" s="77"/>
      <c r="N17" s="77"/>
      <c r="O17" s="77"/>
      <c r="P17" s="267"/>
      <c r="Q17" s="2128">
        <v>1755994</v>
      </c>
      <c r="T17" s="2116">
        <f t="shared" si="0"/>
        <v>1755994</v>
      </c>
      <c r="U17" s="2116">
        <f t="shared" si="1"/>
        <v>0</v>
      </c>
    </row>
    <row r="18" spans="1:22" ht="16.149999999999999" customHeight="1" x14ac:dyDescent="0.35">
      <c r="A18" s="1719"/>
      <c r="B18" s="3569"/>
      <c r="C18" s="2129" t="s">
        <v>269</v>
      </c>
      <c r="D18" s="2130" t="s">
        <v>270</v>
      </c>
      <c r="E18" s="2131">
        <v>63683778</v>
      </c>
      <c r="F18" s="267"/>
      <c r="G18" s="267"/>
      <c r="H18" s="2128"/>
      <c r="I18" s="82">
        <f t="shared" si="2"/>
        <v>0</v>
      </c>
      <c r="J18" s="267"/>
      <c r="K18" s="76"/>
      <c r="L18" s="77"/>
      <c r="M18" s="77"/>
      <c r="N18" s="77"/>
      <c r="O18" s="77"/>
      <c r="P18" s="267"/>
      <c r="Q18" s="2128">
        <v>63683778</v>
      </c>
      <c r="T18" s="2116">
        <f t="shared" si="0"/>
        <v>63683778</v>
      </c>
      <c r="U18" s="2116">
        <f t="shared" si="1"/>
        <v>0</v>
      </c>
    </row>
    <row r="19" spans="1:22" ht="16.149999999999999" customHeight="1" x14ac:dyDescent="0.35">
      <c r="A19" s="1719"/>
      <c r="B19" s="3569"/>
      <c r="C19" s="2129" t="s">
        <v>63</v>
      </c>
      <c r="D19" s="2130" t="s">
        <v>320</v>
      </c>
      <c r="E19" s="2131">
        <v>156702521</v>
      </c>
      <c r="F19" s="267"/>
      <c r="G19" s="267"/>
      <c r="H19" s="2128"/>
      <c r="I19" s="82">
        <f t="shared" si="2"/>
        <v>0</v>
      </c>
      <c r="J19" s="267"/>
      <c r="K19" s="3566"/>
      <c r="L19" s="3566"/>
      <c r="M19" s="77"/>
      <c r="N19" s="77"/>
      <c r="O19" s="77"/>
      <c r="P19" s="267"/>
      <c r="Q19" s="2128">
        <v>156702521</v>
      </c>
      <c r="T19" s="2116">
        <f t="shared" si="0"/>
        <v>156702521</v>
      </c>
      <c r="U19" s="2116">
        <f t="shared" si="1"/>
        <v>0</v>
      </c>
    </row>
    <row r="20" spans="1:22" ht="16.149999999999999" customHeight="1" x14ac:dyDescent="0.35">
      <c r="A20" s="1719"/>
      <c r="B20" s="3569"/>
      <c r="C20" s="561">
        <v>1307006001</v>
      </c>
      <c r="D20" s="2039" t="s">
        <v>87</v>
      </c>
      <c r="E20" s="2131"/>
      <c r="F20" s="267"/>
      <c r="G20" s="267"/>
      <c r="H20" s="2128">
        <v>33454825950</v>
      </c>
      <c r="I20" s="82">
        <f t="shared" si="2"/>
        <v>0</v>
      </c>
      <c r="J20" s="267"/>
      <c r="K20" s="2132"/>
      <c r="L20" s="2133"/>
      <c r="M20" s="77"/>
      <c r="N20" s="77"/>
      <c r="O20" s="77"/>
      <c r="P20" s="267"/>
      <c r="Q20" s="2128">
        <v>33454825950</v>
      </c>
      <c r="T20" s="2116">
        <f t="shared" si="0"/>
        <v>33454825950</v>
      </c>
      <c r="U20" s="2116">
        <f t="shared" si="1"/>
        <v>0</v>
      </c>
    </row>
    <row r="21" spans="1:22" ht="15" customHeight="1" x14ac:dyDescent="0.35">
      <c r="A21" s="1719"/>
      <c r="B21" s="3569"/>
      <c r="C21" s="2129" t="s">
        <v>275</v>
      </c>
      <c r="D21" s="2130" t="s">
        <v>276</v>
      </c>
      <c r="E21" s="2131">
        <v>135700845</v>
      </c>
      <c r="F21" s="267"/>
      <c r="G21" s="267"/>
      <c r="H21" s="2128"/>
      <c r="I21" s="82">
        <f t="shared" si="2"/>
        <v>0</v>
      </c>
      <c r="J21" s="267"/>
      <c r="K21" s="76"/>
      <c r="L21" s="77"/>
      <c r="M21" s="77"/>
      <c r="N21" s="77"/>
      <c r="O21" s="77"/>
      <c r="P21" s="267"/>
      <c r="Q21" s="2128">
        <v>135700845</v>
      </c>
      <c r="T21" s="2116">
        <f t="shared" si="0"/>
        <v>135700845</v>
      </c>
      <c r="U21" s="2116">
        <f t="shared" si="1"/>
        <v>0</v>
      </c>
    </row>
    <row r="22" spans="1:22" ht="16.149999999999999" hidden="1" customHeight="1" x14ac:dyDescent="0.35">
      <c r="A22" s="1719"/>
      <c r="B22" s="3569"/>
      <c r="C22" s="2129" t="s">
        <v>92</v>
      </c>
      <c r="D22" s="2130" t="s">
        <v>321</v>
      </c>
      <c r="E22" s="2131"/>
      <c r="F22" s="267"/>
      <c r="G22" s="267"/>
      <c r="H22" s="2128"/>
      <c r="I22" s="82">
        <f t="shared" si="2"/>
        <v>0</v>
      </c>
      <c r="J22" s="267"/>
      <c r="K22" s="76"/>
      <c r="L22" s="77"/>
      <c r="M22" s="77"/>
      <c r="N22" s="77"/>
      <c r="O22" s="77"/>
      <c r="P22" s="267"/>
      <c r="Q22" s="2131"/>
      <c r="T22" s="2116">
        <f t="shared" si="0"/>
        <v>0</v>
      </c>
      <c r="U22" s="2116">
        <f t="shared" si="1"/>
        <v>0</v>
      </c>
    </row>
    <row r="23" spans="1:22" ht="16.149999999999999" customHeight="1" x14ac:dyDescent="0.35">
      <c r="A23" s="1719"/>
      <c r="B23" s="3569"/>
      <c r="C23" s="2129" t="s">
        <v>96</v>
      </c>
      <c r="D23" s="2130" t="s">
        <v>243</v>
      </c>
      <c r="E23" s="2131">
        <v>273480175</v>
      </c>
      <c r="F23" s="267"/>
      <c r="G23" s="267"/>
      <c r="H23" s="2128"/>
      <c r="I23" s="82">
        <f t="shared" si="2"/>
        <v>0</v>
      </c>
      <c r="J23" s="267"/>
      <c r="K23" s="76"/>
      <c r="L23" s="77"/>
      <c r="M23" s="77"/>
      <c r="N23" s="77"/>
      <c r="O23" s="77"/>
      <c r="P23" s="267"/>
      <c r="Q23" s="2131">
        <v>273480175</v>
      </c>
      <c r="T23" s="2116">
        <f t="shared" si="0"/>
        <v>273480175</v>
      </c>
      <c r="U23" s="2116">
        <f t="shared" si="1"/>
        <v>0</v>
      </c>
    </row>
    <row r="24" spans="1:22" ht="16.149999999999999" customHeight="1" x14ac:dyDescent="0.35">
      <c r="A24" s="1719"/>
      <c r="B24" s="3569"/>
      <c r="C24" s="2129" t="s">
        <v>281</v>
      </c>
      <c r="D24" s="2130" t="s">
        <v>227</v>
      </c>
      <c r="E24" s="2131">
        <v>169654109</v>
      </c>
      <c r="F24" s="267"/>
      <c r="G24" s="267"/>
      <c r="H24" s="2128"/>
      <c r="I24" s="82">
        <f t="shared" si="2"/>
        <v>0</v>
      </c>
      <c r="J24" s="267"/>
      <c r="K24" s="76"/>
      <c r="L24" s="77"/>
      <c r="M24" s="77"/>
      <c r="N24" s="77"/>
      <c r="O24" s="77"/>
      <c r="P24" s="267"/>
      <c r="Q24" s="2131">
        <v>169654109</v>
      </c>
      <c r="T24" s="2116">
        <f t="shared" si="0"/>
        <v>169654109</v>
      </c>
      <c r="U24" s="2116">
        <f t="shared" si="1"/>
        <v>0</v>
      </c>
    </row>
    <row r="25" spans="1:22" ht="16.149999999999999" customHeight="1" x14ac:dyDescent="0.35">
      <c r="A25" s="1719"/>
      <c r="B25" s="3569"/>
      <c r="C25" s="2129" t="s">
        <v>213</v>
      </c>
      <c r="D25" s="2130" t="s">
        <v>322</v>
      </c>
      <c r="E25" s="2131">
        <v>776453011</v>
      </c>
      <c r="F25" s="267"/>
      <c r="G25" s="77"/>
      <c r="H25" s="2128"/>
      <c r="I25" s="82">
        <f t="shared" si="2"/>
        <v>0</v>
      </c>
      <c r="J25" s="267"/>
      <c r="K25" s="76"/>
      <c r="L25" s="77"/>
      <c r="M25" s="77"/>
      <c r="N25" s="77"/>
      <c r="O25" s="77"/>
      <c r="P25" s="77"/>
      <c r="Q25" s="2131">
        <v>776453011</v>
      </c>
      <c r="T25" s="2116">
        <f t="shared" si="0"/>
        <v>776453011</v>
      </c>
      <c r="U25" s="2116">
        <f t="shared" si="1"/>
        <v>0</v>
      </c>
    </row>
    <row r="26" spans="1:22" ht="13.15" hidden="1" customHeight="1" x14ac:dyDescent="0.35">
      <c r="A26" s="1719"/>
      <c r="B26" s="3569"/>
      <c r="C26" s="2129" t="s">
        <v>244</v>
      </c>
      <c r="D26" s="2130" t="s">
        <v>245</v>
      </c>
      <c r="E26" s="2131"/>
      <c r="F26" s="267"/>
      <c r="G26" s="267"/>
      <c r="H26" s="2128"/>
      <c r="I26" s="82">
        <f t="shared" si="2"/>
        <v>0</v>
      </c>
      <c r="J26" s="267"/>
      <c r="K26" s="76"/>
      <c r="L26" s="77"/>
      <c r="M26" s="77"/>
      <c r="N26" s="77"/>
      <c r="O26" s="77"/>
      <c r="P26" s="267"/>
      <c r="Q26" s="2131"/>
      <c r="T26" s="2116">
        <f t="shared" si="0"/>
        <v>0</v>
      </c>
      <c r="U26" s="2116">
        <f t="shared" si="1"/>
        <v>0</v>
      </c>
    </row>
    <row r="27" spans="1:22" ht="16.149999999999999" customHeight="1" x14ac:dyDescent="0.35">
      <c r="A27" s="1719"/>
      <c r="B27" s="3569"/>
      <c r="C27" s="2129">
        <v>1307002080</v>
      </c>
      <c r="D27" s="2130" t="s">
        <v>323</v>
      </c>
      <c r="E27" s="2131">
        <v>618843593251</v>
      </c>
      <c r="F27" s="267"/>
      <c r="G27" s="267"/>
      <c r="H27" s="2128">
        <v>824305573909</v>
      </c>
      <c r="I27" s="82">
        <f t="shared" si="2"/>
        <v>-118760184410</v>
      </c>
      <c r="J27" s="267"/>
      <c r="K27" s="76"/>
      <c r="L27" s="77"/>
      <c r="M27" s="77"/>
      <c r="N27" s="77"/>
      <c r="O27" s="77">
        <f>31592802721-21779308701</f>
        <v>9813494020</v>
      </c>
      <c r="P27" s="267">
        <f>-3956350512-14348483923</f>
        <v>-18304834435</v>
      </c>
      <c r="Q27" s="2128">
        <f>1592281745666-Q130</f>
        <v>1315897642335</v>
      </c>
      <c r="T27" s="2116">
        <f t="shared" si="0"/>
        <v>1315897642335</v>
      </c>
      <c r="U27" s="2116">
        <f t="shared" si="1"/>
        <v>0</v>
      </c>
      <c r="V27" s="2116">
        <f>Q27+Q130</f>
        <v>1592281745666</v>
      </c>
    </row>
    <row r="28" spans="1:22" ht="15.6" customHeight="1" x14ac:dyDescent="0.35">
      <c r="A28" s="1719"/>
      <c r="B28" s="3569"/>
      <c r="C28" s="2129" t="s">
        <v>217</v>
      </c>
      <c r="D28" s="2130" t="s">
        <v>218</v>
      </c>
      <c r="E28" s="2131">
        <v>6634739</v>
      </c>
      <c r="F28" s="267"/>
      <c r="G28" s="267"/>
      <c r="H28" s="2128"/>
      <c r="I28" s="82">
        <f t="shared" si="2"/>
        <v>0</v>
      </c>
      <c r="J28" s="267"/>
      <c r="K28" s="76"/>
      <c r="L28" s="77"/>
      <c r="M28" s="77"/>
      <c r="N28" s="77"/>
      <c r="O28" s="77"/>
      <c r="P28" s="267"/>
      <c r="Q28" s="2131">
        <v>6634739</v>
      </c>
      <c r="T28" s="2116">
        <f t="shared" si="0"/>
        <v>6634739</v>
      </c>
      <c r="U28" s="2116">
        <f t="shared" si="1"/>
        <v>0</v>
      </c>
    </row>
    <row r="29" spans="1:22" ht="16.149999999999999" hidden="1" customHeight="1" x14ac:dyDescent="0.35">
      <c r="A29" s="1719"/>
      <c r="B29" s="3569"/>
      <c r="C29" s="2129" t="s">
        <v>324</v>
      </c>
      <c r="D29" s="2130" t="s">
        <v>325</v>
      </c>
      <c r="E29" s="2131"/>
      <c r="F29" s="267"/>
      <c r="G29" s="267"/>
      <c r="H29" s="2128"/>
      <c r="I29" s="82">
        <f t="shared" si="2"/>
        <v>0</v>
      </c>
      <c r="J29" s="267"/>
      <c r="K29" s="76"/>
      <c r="L29" s="77"/>
      <c r="M29" s="77"/>
      <c r="N29" s="77"/>
      <c r="O29" s="77"/>
      <c r="P29" s="267"/>
      <c r="Q29" s="2128"/>
      <c r="T29" s="2116">
        <f t="shared" si="0"/>
        <v>0</v>
      </c>
      <c r="U29" s="2116">
        <f t="shared" ref="U29:U74" si="3">Q29-T29</f>
        <v>0</v>
      </c>
    </row>
    <row r="30" spans="1:22" ht="16.149999999999999" customHeight="1" x14ac:dyDescent="0.35">
      <c r="A30" s="1719"/>
      <c r="B30" s="3570"/>
      <c r="C30" s="3567" t="s">
        <v>94</v>
      </c>
      <c r="D30" s="3567"/>
      <c r="E30" s="2127">
        <f>SUM(E9:E29)</f>
        <v>976642920118</v>
      </c>
      <c r="F30" s="2127">
        <f t="shared" ref="F30:Q30" si="4">SUM(F9:F29)</f>
        <v>0</v>
      </c>
      <c r="G30" s="2127">
        <f t="shared" si="4"/>
        <v>0</v>
      </c>
      <c r="H30" s="2127">
        <f>SUM(H9:H29)</f>
        <v>922829708068</v>
      </c>
      <c r="I30" s="2127">
        <f t="shared" si="4"/>
        <v>-237275440609</v>
      </c>
      <c r="J30" s="2127">
        <f t="shared" si="4"/>
        <v>0</v>
      </c>
      <c r="K30" s="2127">
        <f t="shared" si="4"/>
        <v>0</v>
      </c>
      <c r="L30" s="2127">
        <f t="shared" si="4"/>
        <v>0</v>
      </c>
      <c r="M30" s="2127">
        <f t="shared" si="4"/>
        <v>0</v>
      </c>
      <c r="N30" s="2127">
        <f t="shared" si="4"/>
        <v>-1582060020</v>
      </c>
      <c r="O30" s="2127">
        <f t="shared" si="4"/>
        <v>10762703273</v>
      </c>
      <c r="P30" s="2127">
        <f t="shared" si="4"/>
        <v>-26290354945</v>
      </c>
      <c r="Q30" s="2127">
        <f t="shared" si="4"/>
        <v>1645087475885</v>
      </c>
      <c r="T30" s="2116">
        <f t="shared" ref="T30:T78" si="5">E30+H30+I30+J30+G30+N30+O30+P30</f>
        <v>1645087475885</v>
      </c>
      <c r="U30" s="2116">
        <f>Q30-T30</f>
        <v>0</v>
      </c>
    </row>
    <row r="31" spans="1:22" ht="18" customHeight="1" x14ac:dyDescent="0.35">
      <c r="A31" s="1719"/>
      <c r="B31" s="1710"/>
      <c r="C31" s="2134"/>
      <c r="D31" s="2134"/>
      <c r="E31" s="2135"/>
      <c r="F31" s="2135"/>
      <c r="G31" s="2135"/>
      <c r="H31" s="2135"/>
      <c r="I31" s="2135"/>
      <c r="J31" s="2135"/>
      <c r="K31" s="2135"/>
      <c r="L31" s="2135"/>
      <c r="M31" s="2135"/>
      <c r="N31" s="2135"/>
      <c r="O31" s="2135"/>
      <c r="P31" s="2135"/>
      <c r="Q31" s="2135"/>
      <c r="T31" s="2116">
        <f t="shared" si="5"/>
        <v>0</v>
      </c>
      <c r="U31" s="2116">
        <f t="shared" si="3"/>
        <v>0</v>
      </c>
    </row>
    <row r="32" spans="1:22" ht="18" customHeight="1" x14ac:dyDescent="0.35">
      <c r="A32" s="1719"/>
      <c r="B32" s="1710"/>
      <c r="C32" s="2134"/>
      <c r="D32" s="2134"/>
      <c r="E32" s="2135"/>
      <c r="F32" s="2135"/>
      <c r="G32" s="2135"/>
      <c r="H32" s="2135"/>
      <c r="I32" s="2135"/>
      <c r="J32" s="2135"/>
      <c r="K32" s="2135"/>
      <c r="L32" s="2135"/>
      <c r="M32" s="2135"/>
      <c r="N32" s="2135"/>
      <c r="O32" s="2135"/>
      <c r="P32" s="2135"/>
      <c r="Q32" s="2135"/>
      <c r="T32" s="2116">
        <f t="shared" si="5"/>
        <v>0</v>
      </c>
      <c r="U32" s="2116">
        <f t="shared" si="3"/>
        <v>0</v>
      </c>
    </row>
    <row r="33" spans="1:21" ht="18" customHeight="1" x14ac:dyDescent="0.35">
      <c r="A33" s="1719"/>
      <c r="B33" s="3571">
        <v>32</v>
      </c>
      <c r="C33" s="3571"/>
      <c r="D33" s="3571"/>
      <c r="E33" s="3571"/>
      <c r="F33" s="3571"/>
      <c r="G33" s="3571"/>
      <c r="H33" s="3571"/>
      <c r="I33" s="3571"/>
      <c r="J33" s="3571"/>
      <c r="K33" s="3571"/>
      <c r="L33" s="3571"/>
      <c r="M33" s="3571"/>
      <c r="N33" s="3571"/>
      <c r="O33" s="3571"/>
      <c r="P33" s="3571"/>
      <c r="Q33" s="3571"/>
      <c r="T33" s="2116">
        <f t="shared" si="5"/>
        <v>0</v>
      </c>
      <c r="U33" s="2116">
        <f t="shared" si="3"/>
        <v>0</v>
      </c>
    </row>
    <row r="34" spans="1:21" ht="17.45" customHeight="1" x14ac:dyDescent="0.35">
      <c r="A34" s="1719"/>
      <c r="B34" s="3565" t="s">
        <v>295</v>
      </c>
      <c r="C34" s="3565"/>
      <c r="D34" s="3565"/>
      <c r="E34" s="3565"/>
      <c r="F34" s="3565"/>
      <c r="G34" s="3565"/>
      <c r="H34" s="3565"/>
      <c r="I34" s="3565"/>
      <c r="J34" s="3565"/>
      <c r="K34" s="3565"/>
      <c r="L34" s="3565"/>
      <c r="M34" s="3565"/>
      <c r="N34" s="3565"/>
      <c r="O34" s="3565"/>
      <c r="P34" s="3565"/>
      <c r="Q34" s="3565"/>
      <c r="T34" s="2116">
        <f t="shared" si="5"/>
        <v>0</v>
      </c>
      <c r="U34" s="2116">
        <f t="shared" si="3"/>
        <v>0</v>
      </c>
    </row>
    <row r="35" spans="1:21" ht="17.45" customHeight="1" x14ac:dyDescent="0.35">
      <c r="A35" s="1719"/>
      <c r="B35" s="3565" t="s">
        <v>45</v>
      </c>
      <c r="C35" s="3565"/>
      <c r="D35" s="3565"/>
      <c r="E35" s="3565"/>
      <c r="F35" s="3565"/>
      <c r="G35" s="3565"/>
      <c r="H35" s="3565"/>
      <c r="I35" s="3565"/>
      <c r="J35" s="3565"/>
      <c r="K35" s="3565"/>
      <c r="L35" s="3565"/>
      <c r="M35" s="3565"/>
      <c r="N35" s="3565"/>
      <c r="O35" s="3565"/>
      <c r="P35" s="3565"/>
      <c r="Q35" s="3565"/>
      <c r="T35" s="2116">
        <f t="shared" si="5"/>
        <v>0</v>
      </c>
      <c r="U35" s="2116">
        <f t="shared" si="3"/>
        <v>0</v>
      </c>
    </row>
    <row r="36" spans="1:21" ht="17.45" customHeight="1" x14ac:dyDescent="0.35">
      <c r="A36" s="1719"/>
      <c r="B36" s="3565" t="s">
        <v>46</v>
      </c>
      <c r="C36" s="3565"/>
      <c r="D36" s="3565"/>
      <c r="E36" s="3565"/>
      <c r="F36" s="3565"/>
      <c r="G36" s="3565"/>
      <c r="H36" s="3565"/>
      <c r="I36" s="3565"/>
      <c r="J36" s="3565"/>
      <c r="K36" s="3565"/>
      <c r="L36" s="3565"/>
      <c r="M36" s="3565"/>
      <c r="N36" s="3565"/>
      <c r="O36" s="3565"/>
      <c r="P36" s="3565"/>
      <c r="Q36" s="3565"/>
      <c r="T36" s="2116">
        <f t="shared" si="5"/>
        <v>0</v>
      </c>
      <c r="U36" s="2116">
        <f t="shared" si="3"/>
        <v>0</v>
      </c>
    </row>
    <row r="37" spans="1:21" ht="17.45" customHeight="1" x14ac:dyDescent="0.35">
      <c r="A37" s="1719"/>
      <c r="B37" s="3572" t="s">
        <v>1988</v>
      </c>
      <c r="C37" s="3572"/>
      <c r="D37" s="3572"/>
      <c r="E37" s="3572"/>
      <c r="F37" s="3572"/>
      <c r="G37" s="3572"/>
      <c r="H37" s="3572"/>
      <c r="I37" s="3572"/>
      <c r="J37" s="3572"/>
      <c r="K37" s="3572"/>
      <c r="L37" s="3572"/>
      <c r="M37" s="3572"/>
      <c r="N37" s="3572"/>
      <c r="O37" s="3572"/>
      <c r="P37" s="3572"/>
      <c r="Q37" s="3572"/>
      <c r="T37" s="2116">
        <f t="shared" si="5"/>
        <v>0</v>
      </c>
      <c r="U37" s="2116">
        <f t="shared" si="3"/>
        <v>0</v>
      </c>
    </row>
    <row r="38" spans="1:21" ht="15" customHeight="1" x14ac:dyDescent="0.35">
      <c r="A38" s="1719"/>
      <c r="B38" s="3549" t="s">
        <v>1147</v>
      </c>
      <c r="C38" s="3549"/>
      <c r="D38" s="3549"/>
      <c r="E38" s="2136"/>
      <c r="F38" s="2136"/>
      <c r="G38" s="2136"/>
      <c r="H38" s="2136"/>
      <c r="I38" s="2136"/>
      <c r="J38" s="2136"/>
      <c r="K38" s="2136"/>
      <c r="L38" s="2136"/>
      <c r="M38" s="2136"/>
      <c r="N38" s="2136"/>
      <c r="O38" s="2136"/>
      <c r="P38" s="3573" t="s">
        <v>194</v>
      </c>
      <c r="Q38" s="3573"/>
      <c r="T38" s="2116" t="e">
        <f t="shared" si="5"/>
        <v>#VALUE!</v>
      </c>
      <c r="U38" s="2116" t="e">
        <f t="shared" si="3"/>
        <v>#VALUE!</v>
      </c>
    </row>
    <row r="39" spans="1:21" ht="9" customHeight="1" x14ac:dyDescent="0.35">
      <c r="A39" s="2137"/>
      <c r="B39" s="2138"/>
      <c r="C39" s="2138"/>
      <c r="D39" s="2118"/>
      <c r="E39" s="2136"/>
      <c r="F39" s="2136"/>
      <c r="G39" s="2136"/>
      <c r="H39" s="2136"/>
      <c r="I39" s="2139"/>
      <c r="J39" s="2139"/>
      <c r="K39" s="2139"/>
      <c r="L39" s="2139"/>
      <c r="M39" s="2139"/>
      <c r="N39" s="2139"/>
      <c r="O39" s="2139"/>
      <c r="P39" s="78"/>
      <c r="Q39" s="2140"/>
      <c r="T39" s="2116">
        <f t="shared" si="5"/>
        <v>0</v>
      </c>
      <c r="U39" s="2116">
        <f t="shared" si="3"/>
        <v>0</v>
      </c>
    </row>
    <row r="40" spans="1:21" ht="30" customHeight="1" x14ac:dyDescent="0.35">
      <c r="A40" s="2137"/>
      <c r="B40" s="3552" t="s">
        <v>419</v>
      </c>
      <c r="C40" s="3554" t="s">
        <v>53</v>
      </c>
      <c r="D40" s="3556" t="s">
        <v>54</v>
      </c>
      <c r="E40" s="3558" t="s">
        <v>1391</v>
      </c>
      <c r="F40" s="2120"/>
      <c r="G40" s="3559" t="s">
        <v>898</v>
      </c>
      <c r="H40" s="3561" t="s">
        <v>989</v>
      </c>
      <c r="I40" s="3562" t="s">
        <v>615</v>
      </c>
      <c r="J40" s="3562"/>
      <c r="K40" s="3562"/>
      <c r="L40" s="3562"/>
      <c r="M40" s="3562"/>
      <c r="N40" s="3562"/>
      <c r="O40" s="3563" t="s">
        <v>313</v>
      </c>
      <c r="P40" s="3562" t="s">
        <v>1129</v>
      </c>
      <c r="Q40" s="3558" t="s">
        <v>1986</v>
      </c>
      <c r="T40" s="2116" t="e">
        <f t="shared" si="5"/>
        <v>#VALUE!</v>
      </c>
      <c r="U40" s="2116" t="e">
        <f t="shared" si="3"/>
        <v>#VALUE!</v>
      </c>
    </row>
    <row r="41" spans="1:21" ht="43.9" customHeight="1" x14ac:dyDescent="0.35">
      <c r="A41" s="1719"/>
      <c r="B41" s="3552"/>
      <c r="C41" s="3554"/>
      <c r="D41" s="3556"/>
      <c r="E41" s="3558"/>
      <c r="F41" s="2121"/>
      <c r="G41" s="3560"/>
      <c r="H41" s="3561"/>
      <c r="I41" s="2122" t="s">
        <v>20</v>
      </c>
      <c r="J41" s="2122" t="s">
        <v>314</v>
      </c>
      <c r="K41" s="2123"/>
      <c r="L41" s="2123"/>
      <c r="M41" s="2123"/>
      <c r="N41" s="2122" t="s">
        <v>315</v>
      </c>
      <c r="O41" s="3564"/>
      <c r="P41" s="3562"/>
      <c r="Q41" s="3558"/>
      <c r="T41" s="2116" t="e">
        <f t="shared" si="5"/>
        <v>#VALUE!</v>
      </c>
      <c r="U41" s="2116" t="e">
        <f t="shared" si="3"/>
        <v>#VALUE!</v>
      </c>
    </row>
    <row r="42" spans="1:21" ht="17.45" customHeight="1" x14ac:dyDescent="0.35">
      <c r="A42" s="1719"/>
      <c r="B42" s="3548" t="s">
        <v>296</v>
      </c>
      <c r="C42" s="3579" t="s">
        <v>181</v>
      </c>
      <c r="D42" s="3556"/>
      <c r="E42" s="2141">
        <f>E30</f>
        <v>976642920118</v>
      </c>
      <c r="F42" s="2141">
        <f t="shared" ref="F42:H42" si="6">F30</f>
        <v>0</v>
      </c>
      <c r="G42" s="2141">
        <f t="shared" si="6"/>
        <v>0</v>
      </c>
      <c r="H42" s="2141">
        <f t="shared" si="6"/>
        <v>922829708068</v>
      </c>
      <c r="I42" s="1771">
        <f>I30</f>
        <v>-237275440609</v>
      </c>
      <c r="J42" s="2142"/>
      <c r="K42" s="3577"/>
      <c r="L42" s="3577"/>
      <c r="M42" s="2143"/>
      <c r="N42" s="2143">
        <f>N30</f>
        <v>-1582060020</v>
      </c>
      <c r="O42" s="2143">
        <f>O30</f>
        <v>10762703273</v>
      </c>
      <c r="P42" s="2127">
        <f>P30</f>
        <v>-26290354945</v>
      </c>
      <c r="Q42" s="2127">
        <f>Q30</f>
        <v>1645087475885</v>
      </c>
      <c r="T42" s="2116">
        <f>E42+H42+I42+J42+G42+N42+O42+P42</f>
        <v>1645087475885</v>
      </c>
      <c r="U42" s="2116">
        <f>Q42-T42</f>
        <v>0</v>
      </c>
    </row>
    <row r="43" spans="1:21" ht="18" customHeight="1" x14ac:dyDescent="0.35">
      <c r="A43" s="1719"/>
      <c r="B43" s="3548"/>
      <c r="C43" s="2144" t="s">
        <v>246</v>
      </c>
      <c r="D43" s="2145" t="s">
        <v>247</v>
      </c>
      <c r="E43" s="2146">
        <v>866511758</v>
      </c>
      <c r="F43" s="267"/>
      <c r="G43" s="267"/>
      <c r="H43" s="2147"/>
      <c r="I43" s="82">
        <f>Q43-H43-N43-M43-J43-P43-E43-G43</f>
        <v>0</v>
      </c>
      <c r="J43" s="77"/>
      <c r="K43" s="2148"/>
      <c r="L43" s="2148"/>
      <c r="M43" s="77"/>
      <c r="N43" s="410"/>
      <c r="O43" s="410"/>
      <c r="P43" s="267"/>
      <c r="Q43" s="2149">
        <v>866511758</v>
      </c>
      <c r="T43" s="2116">
        <f t="shared" ref="T43:T67" si="7">E43+H43+I43+J43+G43+N43+O43+P43</f>
        <v>866511758</v>
      </c>
      <c r="U43" s="2116">
        <f t="shared" ref="U43:U67" si="8">Q43-T43</f>
        <v>0</v>
      </c>
    </row>
    <row r="44" spans="1:21" ht="18" customHeight="1" x14ac:dyDescent="0.4">
      <c r="A44" s="1719"/>
      <c r="B44" s="3548"/>
      <c r="C44" s="2144" t="s">
        <v>98</v>
      </c>
      <c r="D44" s="2145" t="s">
        <v>326</v>
      </c>
      <c r="E44" s="2146">
        <v>91923074</v>
      </c>
      <c r="F44" s="267"/>
      <c r="G44" s="267"/>
      <c r="H44" s="2147"/>
      <c r="I44" s="82">
        <f t="shared" ref="I44:I60" si="9">Q44-H44-N44-M44-J44-P44-E44-G44</f>
        <v>0</v>
      </c>
      <c r="J44" s="77"/>
      <c r="K44" s="2148"/>
      <c r="L44" s="2148"/>
      <c r="M44" s="407"/>
      <c r="N44" s="1771"/>
      <c r="O44" s="1771"/>
      <c r="P44" s="407"/>
      <c r="Q44" s="2150">
        <f>183673074-Q124</f>
        <v>91923074</v>
      </c>
      <c r="T44" s="2116">
        <f t="shared" si="7"/>
        <v>91923074</v>
      </c>
      <c r="U44" s="2116">
        <f t="shared" si="8"/>
        <v>0</v>
      </c>
    </row>
    <row r="45" spans="1:21" ht="18" customHeight="1" x14ac:dyDescent="0.35">
      <c r="A45" s="1719"/>
      <c r="B45" s="3548"/>
      <c r="C45" s="2144" t="s">
        <v>285</v>
      </c>
      <c r="D45" s="2145" t="s">
        <v>286</v>
      </c>
      <c r="E45" s="2146">
        <v>138150433</v>
      </c>
      <c r="F45" s="267"/>
      <c r="G45" s="267"/>
      <c r="H45" s="2128"/>
      <c r="I45" s="82">
        <f t="shared" si="9"/>
        <v>0</v>
      </c>
      <c r="J45" s="267"/>
      <c r="K45" s="76"/>
      <c r="L45" s="77"/>
      <c r="M45" s="407"/>
      <c r="N45" s="1694"/>
      <c r="O45" s="1694"/>
      <c r="P45" s="407"/>
      <c r="Q45" s="2151">
        <v>138150433</v>
      </c>
      <c r="T45" s="2116">
        <f t="shared" si="7"/>
        <v>138150433</v>
      </c>
      <c r="U45" s="2116">
        <f t="shared" si="8"/>
        <v>0</v>
      </c>
    </row>
    <row r="46" spans="1:21" ht="18" customHeight="1" x14ac:dyDescent="0.35">
      <c r="A46" s="1719"/>
      <c r="B46" s="3548"/>
      <c r="C46" s="2144" t="s">
        <v>101</v>
      </c>
      <c r="D46" s="2145" t="s">
        <v>327</v>
      </c>
      <c r="E46" s="2146">
        <v>5413616</v>
      </c>
      <c r="F46" s="267"/>
      <c r="G46" s="267"/>
      <c r="H46" s="2128"/>
      <c r="I46" s="82">
        <f t="shared" si="9"/>
        <v>0</v>
      </c>
      <c r="J46" s="267"/>
      <c r="K46" s="76"/>
      <c r="L46" s="77"/>
      <c r="M46" s="77"/>
      <c r="N46" s="251"/>
      <c r="O46" s="251"/>
      <c r="P46" s="267"/>
      <c r="Q46" s="2152">
        <v>5413616</v>
      </c>
      <c r="T46" s="2116">
        <f t="shared" si="7"/>
        <v>5413616</v>
      </c>
      <c r="U46" s="2116">
        <f t="shared" si="8"/>
        <v>0</v>
      </c>
    </row>
    <row r="47" spans="1:21" ht="18" customHeight="1" x14ac:dyDescent="0.35">
      <c r="A47" s="1719"/>
      <c r="B47" s="3548"/>
      <c r="C47" s="2144" t="s">
        <v>206</v>
      </c>
      <c r="D47" s="2145" t="s">
        <v>328</v>
      </c>
      <c r="E47" s="2146">
        <v>223007304</v>
      </c>
      <c r="F47" s="267"/>
      <c r="G47" s="267"/>
      <c r="H47" s="2128"/>
      <c r="I47" s="82">
        <f t="shared" si="9"/>
        <v>0</v>
      </c>
      <c r="J47" s="267"/>
      <c r="K47" s="76"/>
      <c r="L47" s="77"/>
      <c r="M47" s="77"/>
      <c r="N47" s="77"/>
      <c r="O47" s="77"/>
      <c r="P47" s="267"/>
      <c r="Q47" s="2146">
        <v>223007304</v>
      </c>
      <c r="T47" s="2116">
        <f t="shared" si="7"/>
        <v>223007304</v>
      </c>
      <c r="U47" s="2116">
        <f t="shared" si="8"/>
        <v>0</v>
      </c>
    </row>
    <row r="48" spans="1:21" ht="18" customHeight="1" x14ac:dyDescent="0.35">
      <c r="A48" s="1719"/>
      <c r="B48" s="3548"/>
      <c r="C48" s="2144">
        <v>1502001005</v>
      </c>
      <c r="D48" s="2145" t="s">
        <v>230</v>
      </c>
      <c r="E48" s="2146">
        <v>14253579181</v>
      </c>
      <c r="F48" s="267"/>
      <c r="G48" s="267"/>
      <c r="H48" s="2128">
        <v>23249514986</v>
      </c>
      <c r="I48" s="82">
        <f t="shared" si="9"/>
        <v>-11120621186</v>
      </c>
      <c r="J48" s="267"/>
      <c r="K48" s="76"/>
      <c r="L48" s="77"/>
      <c r="M48" s="77"/>
      <c r="N48" s="267"/>
      <c r="O48" s="267"/>
      <c r="P48" s="267"/>
      <c r="Q48" s="2127">
        <v>26382472981</v>
      </c>
      <c r="T48" s="2116">
        <f t="shared" si="7"/>
        <v>26382472981</v>
      </c>
      <c r="U48" s="2116">
        <f t="shared" si="8"/>
        <v>0</v>
      </c>
    </row>
    <row r="49" spans="1:21" ht="17.45" customHeight="1" x14ac:dyDescent="0.35">
      <c r="A49" s="1719"/>
      <c r="B49" s="3548"/>
      <c r="C49" s="2144" t="s">
        <v>908</v>
      </c>
      <c r="D49" s="2145" t="s">
        <v>330</v>
      </c>
      <c r="E49" s="2146">
        <v>8967093556</v>
      </c>
      <c r="F49" s="76"/>
      <c r="G49" s="1694"/>
      <c r="H49" s="1697"/>
      <c r="I49" s="82">
        <f t="shared" si="9"/>
        <v>0</v>
      </c>
      <c r="J49" s="267"/>
      <c r="K49" s="76"/>
      <c r="L49" s="77"/>
      <c r="M49" s="77"/>
      <c r="N49" s="77"/>
      <c r="O49" s="77"/>
      <c r="P49" s="267"/>
      <c r="Q49" s="2127">
        <v>8967093556</v>
      </c>
      <c r="T49" s="2116">
        <f t="shared" si="7"/>
        <v>8967093556</v>
      </c>
      <c r="U49" s="2116">
        <f t="shared" si="8"/>
        <v>0</v>
      </c>
    </row>
    <row r="50" spans="1:21" ht="17.45" hidden="1" customHeight="1" x14ac:dyDescent="0.35">
      <c r="A50" s="1719"/>
      <c r="B50" s="3548"/>
      <c r="C50" s="2144" t="s">
        <v>104</v>
      </c>
      <c r="D50" s="2145" t="s">
        <v>331</v>
      </c>
      <c r="E50" s="2146"/>
      <c r="F50" s="76"/>
      <c r="G50" s="1694"/>
      <c r="H50" s="1697"/>
      <c r="I50" s="82">
        <f t="shared" si="9"/>
        <v>0</v>
      </c>
      <c r="J50" s="267"/>
      <c r="K50" s="76"/>
      <c r="L50" s="77"/>
      <c r="M50" s="77"/>
      <c r="N50" s="77"/>
      <c r="O50" s="77"/>
      <c r="P50" s="267"/>
      <c r="Q50" s="2127"/>
      <c r="T50" s="2116">
        <f t="shared" si="7"/>
        <v>0</v>
      </c>
      <c r="U50" s="2116">
        <f t="shared" si="8"/>
        <v>0</v>
      </c>
    </row>
    <row r="51" spans="1:21" ht="17.45" customHeight="1" x14ac:dyDescent="0.35">
      <c r="A51" s="1719"/>
      <c r="B51" s="3548"/>
      <c r="C51" s="2144" t="s">
        <v>231</v>
      </c>
      <c r="D51" s="2145" t="s">
        <v>332</v>
      </c>
      <c r="E51" s="2146">
        <v>4593627</v>
      </c>
      <c r="F51" s="76"/>
      <c r="G51" s="1694"/>
      <c r="H51" s="1697"/>
      <c r="I51" s="82">
        <f t="shared" si="9"/>
        <v>0</v>
      </c>
      <c r="J51" s="267"/>
      <c r="K51" s="76"/>
      <c r="L51" s="77"/>
      <c r="M51" s="77"/>
      <c r="N51" s="77"/>
      <c r="O51" s="77"/>
      <c r="P51" s="267"/>
      <c r="Q51" s="2127">
        <v>4593627</v>
      </c>
      <c r="T51" s="2116">
        <f t="shared" si="7"/>
        <v>4593627</v>
      </c>
      <c r="U51" s="2116">
        <f t="shared" si="8"/>
        <v>0</v>
      </c>
    </row>
    <row r="52" spans="1:21" ht="17.45" customHeight="1" x14ac:dyDescent="0.35">
      <c r="A52" s="1719"/>
      <c r="B52" s="3548"/>
      <c r="C52" s="2144" t="s">
        <v>68</v>
      </c>
      <c r="D52" s="2145" t="s">
        <v>333</v>
      </c>
      <c r="E52" s="2146">
        <v>1770684366</v>
      </c>
      <c r="F52" s="76"/>
      <c r="G52" s="1694"/>
      <c r="H52" s="1697"/>
      <c r="I52" s="82">
        <f t="shared" si="9"/>
        <v>0</v>
      </c>
      <c r="J52" s="267"/>
      <c r="K52" s="76"/>
      <c r="L52" s="77"/>
      <c r="M52" s="77"/>
      <c r="N52" s="77"/>
      <c r="O52" s="77"/>
      <c r="P52" s="267"/>
      <c r="Q52" s="2127">
        <v>1770684366</v>
      </c>
      <c r="T52" s="2116">
        <f t="shared" si="7"/>
        <v>1770684366</v>
      </c>
      <c r="U52" s="2116">
        <f t="shared" si="8"/>
        <v>0</v>
      </c>
    </row>
    <row r="53" spans="1:21" ht="17.45" hidden="1" customHeight="1" x14ac:dyDescent="0.35">
      <c r="A53" s="1719"/>
      <c r="B53" s="3548"/>
      <c r="C53" s="2144" t="s">
        <v>113</v>
      </c>
      <c r="D53" s="2145" t="s">
        <v>334</v>
      </c>
      <c r="E53" s="2146"/>
      <c r="F53" s="267"/>
      <c r="G53" s="267"/>
      <c r="H53" s="2128"/>
      <c r="I53" s="82">
        <f t="shared" si="9"/>
        <v>0</v>
      </c>
      <c r="J53" s="267"/>
      <c r="K53" s="76"/>
      <c r="L53" s="77"/>
      <c r="M53" s="77"/>
      <c r="N53" s="77"/>
      <c r="O53" s="77"/>
      <c r="P53" s="267"/>
      <c r="Q53" s="2127"/>
      <c r="T53" s="2116">
        <f t="shared" si="7"/>
        <v>0</v>
      </c>
      <c r="U53" s="2116">
        <f t="shared" si="8"/>
        <v>0</v>
      </c>
    </row>
    <row r="54" spans="1:21" ht="17.45" customHeight="1" x14ac:dyDescent="0.35">
      <c r="A54" s="1719"/>
      <c r="B54" s="3548"/>
      <c r="C54" s="2153" t="s">
        <v>158</v>
      </c>
      <c r="D54" s="1974" t="s">
        <v>134</v>
      </c>
      <c r="E54" s="2146">
        <v>74619264</v>
      </c>
      <c r="F54" s="267"/>
      <c r="G54" s="267"/>
      <c r="H54" s="2128"/>
      <c r="I54" s="82">
        <f t="shared" si="9"/>
        <v>0</v>
      </c>
      <c r="J54" s="267"/>
      <c r="K54" s="76"/>
      <c r="L54" s="77"/>
      <c r="M54" s="77"/>
      <c r="N54" s="77"/>
      <c r="O54" s="77"/>
      <c r="P54" s="267"/>
      <c r="Q54" s="2127">
        <f>57814400+16804864</f>
        <v>74619264</v>
      </c>
      <c r="T54" s="2116">
        <f t="shared" si="7"/>
        <v>74619264</v>
      </c>
      <c r="U54" s="2116">
        <f t="shared" si="8"/>
        <v>0</v>
      </c>
    </row>
    <row r="55" spans="1:21" ht="11.45" hidden="1" customHeight="1" x14ac:dyDescent="0.4">
      <c r="A55" s="1719"/>
      <c r="B55" s="3548"/>
      <c r="C55" s="2154" t="s">
        <v>96</v>
      </c>
      <c r="D55" s="2155" t="s">
        <v>97</v>
      </c>
      <c r="E55" s="2146"/>
      <c r="F55" s="267"/>
      <c r="G55" s="267"/>
      <c r="H55" s="2128"/>
      <c r="I55" s="82">
        <f t="shared" si="9"/>
        <v>0</v>
      </c>
      <c r="J55" s="267"/>
      <c r="K55" s="76"/>
      <c r="L55" s="77"/>
      <c r="M55" s="77"/>
      <c r="N55" s="77"/>
      <c r="O55" s="77"/>
      <c r="P55" s="267"/>
      <c r="Q55" s="2127"/>
      <c r="T55" s="2116">
        <f t="shared" si="7"/>
        <v>0</v>
      </c>
      <c r="U55" s="2116">
        <f t="shared" si="8"/>
        <v>0</v>
      </c>
    </row>
    <row r="56" spans="1:21" ht="41.25" customHeight="1" x14ac:dyDescent="0.35">
      <c r="A56" s="1719"/>
      <c r="B56" s="3548"/>
      <c r="C56" s="2156" t="s">
        <v>176</v>
      </c>
      <c r="D56" s="2157" t="s">
        <v>177</v>
      </c>
      <c r="E56" s="2146">
        <v>5421712456</v>
      </c>
      <c r="F56" s="267"/>
      <c r="G56" s="267"/>
      <c r="H56" s="2128"/>
      <c r="I56" s="82">
        <f t="shared" si="9"/>
        <v>0</v>
      </c>
      <c r="J56" s="267"/>
      <c r="K56" s="76"/>
      <c r="L56" s="77"/>
      <c r="M56" s="77"/>
      <c r="N56" s="77"/>
      <c r="O56" s="77"/>
      <c r="P56" s="267"/>
      <c r="Q56" s="2127">
        <v>5421712456</v>
      </c>
      <c r="T56" s="2116">
        <f t="shared" si="7"/>
        <v>5421712456</v>
      </c>
      <c r="U56" s="2116">
        <f t="shared" si="8"/>
        <v>0</v>
      </c>
    </row>
    <row r="57" spans="1:21" ht="18" customHeight="1" x14ac:dyDescent="0.35">
      <c r="A57" s="1719"/>
      <c r="B57" s="3548"/>
      <c r="C57" s="2156" t="s">
        <v>170</v>
      </c>
      <c r="D57" s="1940" t="s">
        <v>171</v>
      </c>
      <c r="E57" s="2146">
        <v>4086165738</v>
      </c>
      <c r="F57" s="267"/>
      <c r="G57" s="267"/>
      <c r="H57" s="2158"/>
      <c r="I57" s="82">
        <f t="shared" si="9"/>
        <v>0</v>
      </c>
      <c r="J57" s="267"/>
      <c r="K57" s="76"/>
      <c r="L57" s="77"/>
      <c r="M57" s="77"/>
      <c r="N57" s="77"/>
      <c r="O57" s="77"/>
      <c r="P57" s="267"/>
      <c r="Q57" s="2127">
        <v>4086165738</v>
      </c>
      <c r="T57" s="2116">
        <f t="shared" si="7"/>
        <v>4086165738</v>
      </c>
      <c r="U57" s="2116">
        <f t="shared" si="8"/>
        <v>0</v>
      </c>
    </row>
    <row r="58" spans="1:21" ht="24" customHeight="1" x14ac:dyDescent="0.35">
      <c r="A58" s="1719"/>
      <c r="B58" s="3548"/>
      <c r="C58" s="545" t="s">
        <v>540</v>
      </c>
      <c r="D58" s="2159" t="s">
        <v>541</v>
      </c>
      <c r="E58" s="2146">
        <v>13165162421</v>
      </c>
      <c r="F58" s="267"/>
      <c r="G58" s="76"/>
      <c r="H58" s="1697">
        <v>6472176931</v>
      </c>
      <c r="I58" s="251">
        <f t="shared" si="9"/>
        <v>-7309935554</v>
      </c>
      <c r="J58" s="267"/>
      <c r="K58" s="76"/>
      <c r="L58" s="77"/>
      <c r="M58" s="77"/>
      <c r="N58" s="77"/>
      <c r="O58" s="77"/>
      <c r="P58" s="267"/>
      <c r="Q58" s="2127">
        <v>12327403798</v>
      </c>
      <c r="T58" s="2116">
        <f t="shared" si="7"/>
        <v>12327403798</v>
      </c>
      <c r="U58" s="2116">
        <f t="shared" si="8"/>
        <v>0</v>
      </c>
    </row>
    <row r="59" spans="1:21" ht="14.45" customHeight="1" x14ac:dyDescent="0.35">
      <c r="A59" s="1719"/>
      <c r="B59" s="3548"/>
      <c r="C59" s="1913" t="s">
        <v>542</v>
      </c>
      <c r="D59" s="1989" t="s">
        <v>335</v>
      </c>
      <c r="E59" s="2146">
        <v>2405195226</v>
      </c>
      <c r="F59" s="267"/>
      <c r="G59" s="76"/>
      <c r="H59" s="1697">
        <v>6406732619</v>
      </c>
      <c r="I59" s="251">
        <f t="shared" si="9"/>
        <v>-2405195226</v>
      </c>
      <c r="J59" s="83"/>
      <c r="K59" s="265"/>
      <c r="L59" s="410"/>
      <c r="M59" s="410"/>
      <c r="N59" s="410"/>
      <c r="O59" s="410"/>
      <c r="P59" s="83"/>
      <c r="Q59" s="2160">
        <v>6406732619</v>
      </c>
      <c r="T59" s="2116">
        <f t="shared" si="7"/>
        <v>6406732619</v>
      </c>
      <c r="U59" s="2116">
        <f t="shared" si="8"/>
        <v>0</v>
      </c>
    </row>
    <row r="60" spans="1:21" ht="14.45" customHeight="1" x14ac:dyDescent="0.35">
      <c r="A60" s="1719"/>
      <c r="B60" s="3548"/>
      <c r="C60" s="2072" t="s">
        <v>546</v>
      </c>
      <c r="D60" s="2089" t="s">
        <v>545</v>
      </c>
      <c r="E60" s="2146"/>
      <c r="F60" s="267"/>
      <c r="G60" s="265"/>
      <c r="H60" s="1697">
        <v>27337784866</v>
      </c>
      <c r="I60" s="251">
        <f t="shared" si="9"/>
        <v>0</v>
      </c>
      <c r="J60" s="1694"/>
      <c r="K60" s="1694"/>
      <c r="L60" s="1694"/>
      <c r="M60" s="1694"/>
      <c r="N60" s="1694"/>
      <c r="O60" s="1694"/>
      <c r="P60" s="1694"/>
      <c r="Q60" s="1771">
        <v>27337784866</v>
      </c>
      <c r="T60" s="2116">
        <f t="shared" si="7"/>
        <v>27337784866</v>
      </c>
      <c r="U60" s="2116">
        <f t="shared" si="8"/>
        <v>0</v>
      </c>
    </row>
    <row r="61" spans="1:21" ht="14.45" customHeight="1" x14ac:dyDescent="0.35">
      <c r="A61" s="1719"/>
      <c r="B61" s="3548"/>
      <c r="C61" s="1762" t="s">
        <v>608</v>
      </c>
      <c r="D61" s="1993" t="s">
        <v>1290</v>
      </c>
      <c r="E61" s="2146">
        <v>184831955573</v>
      </c>
      <c r="F61" s="267"/>
      <c r="G61" s="265"/>
      <c r="H61" s="1697">
        <f>54765079676-H125</f>
        <v>45039274390</v>
      </c>
      <c r="I61" s="251">
        <f>Q61-H61-N61-M61-E61-P61-J61-G61-O61</f>
        <v>-116615072056</v>
      </c>
      <c r="J61" s="2161"/>
      <c r="K61" s="379"/>
      <c r="L61" s="379"/>
      <c r="M61" s="379"/>
      <c r="N61" s="2162"/>
      <c r="O61" s="379">
        <f>90108134</f>
        <v>90108134</v>
      </c>
      <c r="P61" s="379">
        <f>-3375025797-1066230489-157148082-996220991-407198191-1671578124</f>
        <v>-7673401674</v>
      </c>
      <c r="Q61" s="2142">
        <f>1189281481163-Q125</f>
        <v>105672864367</v>
      </c>
      <c r="T61" s="2116">
        <f t="shared" si="7"/>
        <v>105672864367</v>
      </c>
      <c r="U61" s="2116">
        <f t="shared" si="8"/>
        <v>0</v>
      </c>
    </row>
    <row r="62" spans="1:21" ht="14.45" customHeight="1" x14ac:dyDescent="0.4">
      <c r="A62" s="1719"/>
      <c r="B62" s="3548"/>
      <c r="C62" s="2010" t="s">
        <v>555</v>
      </c>
      <c r="D62" s="2009" t="s">
        <v>938</v>
      </c>
      <c r="E62" s="2146"/>
      <c r="F62" s="76"/>
      <c r="G62" s="1511"/>
      <c r="H62" s="2142">
        <v>54586336316</v>
      </c>
      <c r="I62" s="251">
        <f t="shared" ref="I62:I67" si="10">Q62-H62-N62-M62-E62-P62-J62-G62</f>
        <v>0</v>
      </c>
      <c r="J62" s="2161"/>
      <c r="K62" s="379"/>
      <c r="L62" s="379"/>
      <c r="M62" s="379"/>
      <c r="N62" s="2162"/>
      <c r="O62" s="379"/>
      <c r="P62" s="379"/>
      <c r="Q62" s="2142">
        <v>54586336316</v>
      </c>
      <c r="T62" s="2116">
        <f t="shared" si="7"/>
        <v>54586336316</v>
      </c>
      <c r="U62" s="2116">
        <f t="shared" si="8"/>
        <v>0</v>
      </c>
    </row>
    <row r="63" spans="1:21" ht="14.45" customHeight="1" x14ac:dyDescent="0.35">
      <c r="A63" s="1719"/>
      <c r="B63" s="3548"/>
      <c r="C63" s="1763" t="s">
        <v>609</v>
      </c>
      <c r="D63" s="2069" t="s">
        <v>607</v>
      </c>
      <c r="E63" s="2146">
        <v>101142941659</v>
      </c>
      <c r="F63" s="76"/>
      <c r="G63" s="614"/>
      <c r="H63" s="2163">
        <f>13695521220-H122</f>
        <v>13566680822</v>
      </c>
      <c r="I63" s="251">
        <f t="shared" si="10"/>
        <v>-51531503603</v>
      </c>
      <c r="J63" s="1694"/>
      <c r="K63" s="1694"/>
      <c r="L63" s="1694"/>
      <c r="M63" s="1694"/>
      <c r="N63" s="614"/>
      <c r="O63" s="1694"/>
      <c r="P63" s="1694">
        <f>-2447702732-1537998706-663862532</f>
        <v>-4649563970</v>
      </c>
      <c r="Q63" s="2143">
        <f>58657395306-Q122</f>
        <v>58528554908</v>
      </c>
      <c r="T63" s="2116">
        <f t="shared" si="7"/>
        <v>58528554908</v>
      </c>
      <c r="U63" s="2116">
        <f t="shared" si="8"/>
        <v>0</v>
      </c>
    </row>
    <row r="64" spans="1:21" ht="14.45" customHeight="1" x14ac:dyDescent="0.35">
      <c r="A64" s="1719"/>
      <c r="B64" s="3548"/>
      <c r="C64" s="1762" t="s">
        <v>610</v>
      </c>
      <c r="D64" s="1993" t="s">
        <v>596</v>
      </c>
      <c r="E64" s="2146">
        <v>466409500</v>
      </c>
      <c r="F64" s="76"/>
      <c r="G64" s="614"/>
      <c r="H64" s="1697"/>
      <c r="I64" s="251">
        <f t="shared" si="10"/>
        <v>-466409500</v>
      </c>
      <c r="J64" s="82"/>
      <c r="K64" s="250"/>
      <c r="L64" s="251"/>
      <c r="M64" s="251"/>
      <c r="N64" s="615"/>
      <c r="O64" s="1694"/>
      <c r="P64" s="1694"/>
      <c r="Q64" s="2143">
        <f>509405407-Q127</f>
        <v>0</v>
      </c>
      <c r="T64" s="2116">
        <f t="shared" si="7"/>
        <v>0</v>
      </c>
      <c r="U64" s="2116">
        <f t="shared" si="8"/>
        <v>0</v>
      </c>
    </row>
    <row r="65" spans="1:22" ht="14.45" customHeight="1" x14ac:dyDescent="0.35">
      <c r="A65" s="1719"/>
      <c r="B65" s="3548"/>
      <c r="C65" s="1762" t="s">
        <v>611</v>
      </c>
      <c r="D65" s="1993" t="s">
        <v>597</v>
      </c>
      <c r="E65" s="2164">
        <v>90684092</v>
      </c>
      <c r="F65" s="76"/>
      <c r="G65" s="1694"/>
      <c r="H65" s="1697"/>
      <c r="I65" s="82">
        <f t="shared" si="10"/>
        <v>0</v>
      </c>
      <c r="J65" s="267"/>
      <c r="K65" s="76"/>
      <c r="L65" s="77"/>
      <c r="M65" s="77"/>
      <c r="N65" s="407"/>
      <c r="O65" s="1694"/>
      <c r="P65" s="1694"/>
      <c r="Q65" s="2164">
        <v>90684092</v>
      </c>
      <c r="T65" s="2116">
        <f t="shared" si="7"/>
        <v>90684092</v>
      </c>
      <c r="U65" s="2116">
        <f t="shared" si="8"/>
        <v>0</v>
      </c>
    </row>
    <row r="66" spans="1:22" ht="14.45" customHeight="1" x14ac:dyDescent="0.35">
      <c r="A66" s="1719"/>
      <c r="B66" s="3548"/>
      <c r="C66" s="1763" t="s">
        <v>634</v>
      </c>
      <c r="D66" s="2070" t="s">
        <v>598</v>
      </c>
      <c r="E66" s="2143">
        <v>14201683169</v>
      </c>
      <c r="F66" s="76"/>
      <c r="G66" s="1694"/>
      <c r="H66" s="1697">
        <v>9814664278</v>
      </c>
      <c r="I66" s="82">
        <f t="shared" si="10"/>
        <v>-11438822698</v>
      </c>
      <c r="J66" s="267"/>
      <c r="K66" s="76"/>
      <c r="L66" s="77"/>
      <c r="M66" s="77"/>
      <c r="N66" s="407"/>
      <c r="O66" s="1694"/>
      <c r="P66" s="1694">
        <f>-576490458-150000000</f>
        <v>-726490458</v>
      </c>
      <c r="Q66" s="2143">
        <v>11851034291</v>
      </c>
      <c r="T66" s="2116">
        <f t="shared" si="7"/>
        <v>11851034291</v>
      </c>
      <c r="U66" s="2116">
        <f t="shared" si="8"/>
        <v>0</v>
      </c>
    </row>
    <row r="67" spans="1:22" ht="14.45" customHeight="1" x14ac:dyDescent="0.35">
      <c r="A67" s="1719"/>
      <c r="B67" s="3548"/>
      <c r="C67" s="1762" t="s">
        <v>641</v>
      </c>
      <c r="D67" s="1993" t="s">
        <v>640</v>
      </c>
      <c r="E67" s="2146">
        <v>9913949051</v>
      </c>
      <c r="F67" s="76"/>
      <c r="G67" s="1694"/>
      <c r="H67" s="1697">
        <v>19355098759</v>
      </c>
      <c r="I67" s="82">
        <f t="shared" si="10"/>
        <v>-7528601055</v>
      </c>
      <c r="J67" s="267"/>
      <c r="K67" s="76"/>
      <c r="L67" s="77"/>
      <c r="M67" s="77"/>
      <c r="N67" s="77"/>
      <c r="O67" s="251"/>
      <c r="P67" s="82">
        <f>-350000000</f>
        <v>-350000000</v>
      </c>
      <c r="Q67" s="2127">
        <v>21390446755</v>
      </c>
      <c r="T67" s="2116">
        <f t="shared" si="7"/>
        <v>21390446755</v>
      </c>
      <c r="U67" s="2116">
        <f t="shared" si="8"/>
        <v>0</v>
      </c>
    </row>
    <row r="68" spans="1:22" ht="16.5" customHeight="1" x14ac:dyDescent="0.35">
      <c r="A68" s="1719"/>
      <c r="B68" s="3548"/>
      <c r="C68" s="3578" t="s">
        <v>94</v>
      </c>
      <c r="D68" s="3567"/>
      <c r="E68" s="2127">
        <f t="shared" ref="E68:Q68" si="11">SUM(E42:E67)</f>
        <v>1338764355182</v>
      </c>
      <c r="F68" s="2127">
        <f t="shared" si="11"/>
        <v>0</v>
      </c>
      <c r="G68" s="2127">
        <f t="shared" si="11"/>
        <v>0</v>
      </c>
      <c r="H68" s="2127">
        <f t="shared" si="11"/>
        <v>1128657972035</v>
      </c>
      <c r="I68" s="2127">
        <f t="shared" si="11"/>
        <v>-445691601487</v>
      </c>
      <c r="J68" s="2127">
        <f t="shared" si="11"/>
        <v>0</v>
      </c>
      <c r="K68" s="2127">
        <f t="shared" si="11"/>
        <v>0</v>
      </c>
      <c r="L68" s="2127">
        <f t="shared" si="11"/>
        <v>0</v>
      </c>
      <c r="M68" s="2127">
        <f t="shared" si="11"/>
        <v>0</v>
      </c>
      <c r="N68" s="2127">
        <f t="shared" si="11"/>
        <v>-1582060020</v>
      </c>
      <c r="O68" s="2127">
        <f t="shared" si="11"/>
        <v>10852811407</v>
      </c>
      <c r="P68" s="2127">
        <f t="shared" si="11"/>
        <v>-39689811047</v>
      </c>
      <c r="Q68" s="2127">
        <f t="shared" si="11"/>
        <v>1991311666070</v>
      </c>
      <c r="T68" s="2116">
        <f t="shared" si="5"/>
        <v>1991311666070</v>
      </c>
      <c r="U68" s="2116">
        <f t="shared" si="3"/>
        <v>0</v>
      </c>
    </row>
    <row r="69" spans="1:22" ht="16.5" customHeight="1" x14ac:dyDescent="0.35">
      <c r="A69" s="1719"/>
      <c r="B69" s="1710"/>
      <c r="C69" s="2134"/>
      <c r="D69" s="2134"/>
      <c r="E69" s="2135"/>
      <c r="F69" s="2135"/>
      <c r="G69" s="2135"/>
      <c r="H69" s="2135"/>
      <c r="I69" s="2135"/>
      <c r="J69" s="2135"/>
      <c r="K69" s="2135"/>
      <c r="L69" s="2135"/>
      <c r="M69" s="2135"/>
      <c r="N69" s="2135"/>
      <c r="O69" s="2135"/>
      <c r="P69" s="2135"/>
      <c r="Q69" s="2135"/>
      <c r="T69" s="2116">
        <f t="shared" si="5"/>
        <v>0</v>
      </c>
      <c r="U69" s="2116">
        <f t="shared" si="3"/>
        <v>0</v>
      </c>
    </row>
    <row r="70" spans="1:22" ht="16.5" customHeight="1" x14ac:dyDescent="0.35">
      <c r="A70" s="1719"/>
      <c r="B70" s="3571">
        <v>33</v>
      </c>
      <c r="C70" s="3571"/>
      <c r="D70" s="3571"/>
      <c r="E70" s="3571"/>
      <c r="F70" s="3571"/>
      <c r="G70" s="3571"/>
      <c r="H70" s="3571"/>
      <c r="I70" s="3571"/>
      <c r="J70" s="3571"/>
      <c r="K70" s="3571"/>
      <c r="L70" s="3571"/>
      <c r="M70" s="3571"/>
      <c r="N70" s="3571"/>
      <c r="O70" s="3571"/>
      <c r="P70" s="3571"/>
      <c r="Q70" s="3571"/>
      <c r="T70" s="2116">
        <f t="shared" si="5"/>
        <v>0</v>
      </c>
      <c r="U70" s="2116">
        <f t="shared" si="3"/>
        <v>0</v>
      </c>
    </row>
    <row r="71" spans="1:22" ht="18" customHeight="1" x14ac:dyDescent="0.35">
      <c r="A71" s="1719"/>
      <c r="B71" s="3565" t="s">
        <v>295</v>
      </c>
      <c r="C71" s="3565"/>
      <c r="D71" s="3565"/>
      <c r="E71" s="3565"/>
      <c r="F71" s="3565"/>
      <c r="G71" s="3565"/>
      <c r="H71" s="3565"/>
      <c r="I71" s="3565"/>
      <c r="J71" s="3565"/>
      <c r="K71" s="3565"/>
      <c r="L71" s="3565"/>
      <c r="M71" s="3565"/>
      <c r="N71" s="3565"/>
      <c r="O71" s="3565"/>
      <c r="P71" s="3565"/>
      <c r="Q71" s="3565"/>
      <c r="T71" s="2116">
        <f t="shared" si="5"/>
        <v>0</v>
      </c>
      <c r="U71" s="2116">
        <f t="shared" si="3"/>
        <v>0</v>
      </c>
    </row>
    <row r="72" spans="1:22" ht="18" customHeight="1" x14ac:dyDescent="0.35">
      <c r="A72" s="1719"/>
      <c r="B72" s="3565" t="s">
        <v>45</v>
      </c>
      <c r="C72" s="3565"/>
      <c r="D72" s="3565"/>
      <c r="E72" s="3565"/>
      <c r="F72" s="3565"/>
      <c r="G72" s="3565"/>
      <c r="H72" s="3565"/>
      <c r="I72" s="3565"/>
      <c r="J72" s="3565"/>
      <c r="K72" s="3565"/>
      <c r="L72" s="3565"/>
      <c r="M72" s="3565"/>
      <c r="N72" s="3565"/>
      <c r="O72" s="3565"/>
      <c r="P72" s="3565"/>
      <c r="Q72" s="3565"/>
      <c r="T72" s="2116">
        <f t="shared" si="5"/>
        <v>0</v>
      </c>
      <c r="U72" s="2116">
        <f t="shared" si="3"/>
        <v>0</v>
      </c>
    </row>
    <row r="73" spans="1:22" ht="18" customHeight="1" x14ac:dyDescent="0.35">
      <c r="A73" s="1719"/>
      <c r="B73" s="3565" t="s">
        <v>46</v>
      </c>
      <c r="C73" s="3565"/>
      <c r="D73" s="3565"/>
      <c r="E73" s="3565"/>
      <c r="F73" s="3565"/>
      <c r="G73" s="3565"/>
      <c r="H73" s="3565"/>
      <c r="I73" s="3565"/>
      <c r="J73" s="3565"/>
      <c r="K73" s="3565"/>
      <c r="L73" s="3565"/>
      <c r="M73" s="3565"/>
      <c r="N73" s="3565"/>
      <c r="O73" s="3565"/>
      <c r="P73" s="3565"/>
      <c r="Q73" s="3565"/>
      <c r="T73" s="2116">
        <f t="shared" si="5"/>
        <v>0</v>
      </c>
      <c r="U73" s="2116">
        <f t="shared" si="3"/>
        <v>0</v>
      </c>
    </row>
    <row r="74" spans="1:22" ht="18" customHeight="1" x14ac:dyDescent="0.35">
      <c r="A74" s="1719"/>
      <c r="B74" s="3572" t="s">
        <v>1988</v>
      </c>
      <c r="C74" s="3572"/>
      <c r="D74" s="3572"/>
      <c r="E74" s="3572"/>
      <c r="F74" s="3572"/>
      <c r="G74" s="3572"/>
      <c r="H74" s="3572"/>
      <c r="I74" s="3572"/>
      <c r="J74" s="3572"/>
      <c r="K74" s="3572"/>
      <c r="L74" s="3572"/>
      <c r="M74" s="3572"/>
      <c r="N74" s="3572"/>
      <c r="O74" s="3572"/>
      <c r="P74" s="3572"/>
      <c r="Q74" s="3572"/>
      <c r="T74" s="2116">
        <f t="shared" si="5"/>
        <v>0</v>
      </c>
      <c r="U74" s="2116">
        <f t="shared" si="3"/>
        <v>0</v>
      </c>
    </row>
    <row r="75" spans="1:22" ht="15" customHeight="1" x14ac:dyDescent="0.35">
      <c r="A75" s="1719"/>
      <c r="B75" s="3549" t="s">
        <v>1147</v>
      </c>
      <c r="C75" s="3549"/>
      <c r="D75" s="3549"/>
      <c r="E75" s="2136"/>
      <c r="F75" s="2136"/>
      <c r="G75" s="2136"/>
      <c r="H75" s="2136"/>
      <c r="I75" s="2136"/>
      <c r="J75" s="2136"/>
      <c r="K75" s="2136"/>
      <c r="L75" s="2136"/>
      <c r="M75" s="2136"/>
      <c r="N75" s="2136"/>
      <c r="O75" s="2136"/>
      <c r="P75" s="3550" t="s">
        <v>194</v>
      </c>
      <c r="Q75" s="3551"/>
      <c r="T75" s="2116"/>
      <c r="U75" s="2116"/>
    </row>
    <row r="76" spans="1:22" ht="13.5" customHeight="1" x14ac:dyDescent="0.35">
      <c r="A76" s="2137"/>
      <c r="B76" s="3552" t="s">
        <v>419</v>
      </c>
      <c r="C76" s="3554" t="s">
        <v>53</v>
      </c>
      <c r="D76" s="3556" t="s">
        <v>54</v>
      </c>
      <c r="E76" s="3558" t="s">
        <v>1391</v>
      </c>
      <c r="F76" s="2120"/>
      <c r="G76" s="3559" t="s">
        <v>898</v>
      </c>
      <c r="H76" s="3561" t="s">
        <v>989</v>
      </c>
      <c r="I76" s="3562" t="s">
        <v>615</v>
      </c>
      <c r="J76" s="3562"/>
      <c r="K76" s="3562"/>
      <c r="L76" s="3562"/>
      <c r="M76" s="3562"/>
      <c r="N76" s="3562"/>
      <c r="O76" s="3563" t="s">
        <v>313</v>
      </c>
      <c r="P76" s="3562" t="s">
        <v>1129</v>
      </c>
      <c r="Q76" s="3558" t="s">
        <v>1986</v>
      </c>
      <c r="T76" s="2116"/>
      <c r="U76" s="2116"/>
    </row>
    <row r="77" spans="1:22" ht="33" customHeight="1" x14ac:dyDescent="0.35">
      <c r="A77" s="2137"/>
      <c r="B77" s="3552"/>
      <c r="C77" s="3554"/>
      <c r="D77" s="3556"/>
      <c r="E77" s="3558"/>
      <c r="F77" s="2121"/>
      <c r="G77" s="3560"/>
      <c r="H77" s="3561"/>
      <c r="I77" s="2122" t="s">
        <v>20</v>
      </c>
      <c r="J77" s="2122" t="s">
        <v>314</v>
      </c>
      <c r="K77" s="2123"/>
      <c r="L77" s="2123"/>
      <c r="M77" s="2123"/>
      <c r="N77" s="2122" t="s">
        <v>315</v>
      </c>
      <c r="O77" s="3564"/>
      <c r="P77" s="3562"/>
      <c r="Q77" s="3558"/>
      <c r="T77" s="2116"/>
      <c r="U77" s="2116"/>
    </row>
    <row r="78" spans="1:22" ht="12.6" customHeight="1" x14ac:dyDescent="0.35">
      <c r="A78" s="1719"/>
      <c r="B78" s="3586" t="s">
        <v>296</v>
      </c>
      <c r="C78" s="3556" t="s">
        <v>181</v>
      </c>
      <c r="D78" s="3556"/>
      <c r="E78" s="2141">
        <f>E68</f>
        <v>1338764355182</v>
      </c>
      <c r="F78" s="2141" t="e">
        <f>#N/A</f>
        <v>#N/A</v>
      </c>
      <c r="G78" s="2141">
        <f>G68</f>
        <v>0</v>
      </c>
      <c r="H78" s="2165">
        <f>H68</f>
        <v>1128657972035</v>
      </c>
      <c r="I78" s="2166">
        <f>I68</f>
        <v>-445691601487</v>
      </c>
      <c r="J78" s="2167">
        <f>J68</f>
        <v>0</v>
      </c>
      <c r="K78" s="3589">
        <v>0</v>
      </c>
      <c r="L78" s="3589"/>
      <c r="M78" s="2167">
        <f>M68</f>
        <v>0</v>
      </c>
      <c r="N78" s="2135">
        <f>N68</f>
        <v>-1582060020</v>
      </c>
      <c r="O78" s="1771">
        <f>O68</f>
        <v>10852811407</v>
      </c>
      <c r="P78" s="1771">
        <f>SUM(P68)</f>
        <v>-39689811047</v>
      </c>
      <c r="Q78" s="2143">
        <f>Q68</f>
        <v>1991311666070</v>
      </c>
      <c r="T78" s="2116">
        <f t="shared" si="5"/>
        <v>1991311666070</v>
      </c>
      <c r="U78" s="2116">
        <f>Q78-T78</f>
        <v>0</v>
      </c>
      <c r="V78" s="2116">
        <f>Q61+Q125</f>
        <v>1189281481163</v>
      </c>
    </row>
    <row r="79" spans="1:22" ht="16.899999999999999" customHeight="1" x14ac:dyDescent="0.35">
      <c r="A79" s="1719"/>
      <c r="B79" s="3587"/>
      <c r="C79" s="1763" t="s">
        <v>622</v>
      </c>
      <c r="D79" s="2071" t="s">
        <v>620</v>
      </c>
      <c r="E79" s="2146">
        <v>46737636031</v>
      </c>
      <c r="F79" s="76"/>
      <c r="G79" s="1694"/>
      <c r="H79" s="1697">
        <v>49884624063</v>
      </c>
      <c r="I79" s="82">
        <f>Q79-H79-N79-M79-E79-P79-J79-G79</f>
        <v>-28307191257</v>
      </c>
      <c r="J79" s="267"/>
      <c r="K79" s="76"/>
      <c r="L79" s="77"/>
      <c r="M79" s="77"/>
      <c r="N79" s="77"/>
      <c r="P79" s="267">
        <f>-1408776282</f>
        <v>-1408776282</v>
      </c>
      <c r="Q79" s="2127">
        <v>66906292555</v>
      </c>
      <c r="T79" s="2116">
        <f>E79+H79+I79+J79+G79+N79+O79+P79</f>
        <v>66906292555</v>
      </c>
      <c r="U79" s="2116">
        <f>Q79-T79</f>
        <v>0</v>
      </c>
    </row>
    <row r="80" spans="1:22" ht="16.899999999999999" customHeight="1" x14ac:dyDescent="0.35">
      <c r="A80" s="1719"/>
      <c r="B80" s="3587"/>
      <c r="C80" s="1763" t="s">
        <v>2191</v>
      </c>
      <c r="D80" s="2069" t="s">
        <v>631</v>
      </c>
      <c r="E80" s="2146">
        <v>5968540203</v>
      </c>
      <c r="F80" s="76"/>
      <c r="G80" s="1694"/>
      <c r="H80" s="1697">
        <v>35805266000</v>
      </c>
      <c r="I80" s="82">
        <f t="shared" ref="I80:I94" si="12">Q80-H80-N80-M80-E80-P80-J80-G80</f>
        <v>-1389285123</v>
      </c>
      <c r="J80" s="267"/>
      <c r="K80" s="76"/>
      <c r="L80" s="77"/>
      <c r="M80" s="77"/>
      <c r="N80" s="77"/>
      <c r="O80" s="77"/>
      <c r="P80" s="267">
        <f>-250000000</f>
        <v>-250000000</v>
      </c>
      <c r="Q80" s="2127">
        <v>40134521080</v>
      </c>
      <c r="T80" s="2116">
        <f t="shared" ref="T80:T130" si="13">E80+H80+I80+J80+G80+N80+O80+P80</f>
        <v>40134521080</v>
      </c>
      <c r="U80" s="2116">
        <f t="shared" ref="U80:U122" si="14">Q80-T80</f>
        <v>0</v>
      </c>
    </row>
    <row r="81" spans="1:21" ht="16.899999999999999" customHeight="1" x14ac:dyDescent="0.35">
      <c r="A81" s="1719"/>
      <c r="B81" s="3587"/>
      <c r="C81" s="1762" t="s">
        <v>623</v>
      </c>
      <c r="D81" s="1993" t="s">
        <v>599</v>
      </c>
      <c r="E81" s="2146">
        <v>3478389661</v>
      </c>
      <c r="F81" s="76"/>
      <c r="G81" s="1694"/>
      <c r="H81" s="1698"/>
      <c r="I81" s="82">
        <f t="shared" si="12"/>
        <v>-749396474</v>
      </c>
      <c r="J81" s="267"/>
      <c r="K81" s="76"/>
      <c r="L81" s="77"/>
      <c r="M81" s="77"/>
      <c r="N81" s="77"/>
      <c r="O81" s="77"/>
      <c r="P81" s="267">
        <f>-50000000</f>
        <v>-50000000</v>
      </c>
      <c r="Q81" s="2127">
        <v>2678993187</v>
      </c>
      <c r="T81" s="2116">
        <f t="shared" si="13"/>
        <v>2678993187</v>
      </c>
      <c r="U81" s="2116">
        <f t="shared" si="14"/>
        <v>0</v>
      </c>
    </row>
    <row r="82" spans="1:21" ht="16.899999999999999" customHeight="1" x14ac:dyDescent="0.35">
      <c r="A82" s="1719"/>
      <c r="B82" s="3587"/>
      <c r="C82" s="1762" t="s">
        <v>633</v>
      </c>
      <c r="D82" s="1993" t="s">
        <v>632</v>
      </c>
      <c r="E82" s="2149">
        <v>41697869364</v>
      </c>
      <c r="F82" s="265"/>
      <c r="G82" s="497"/>
      <c r="H82" s="2168">
        <v>47390521301</v>
      </c>
      <c r="I82" s="82">
        <f t="shared" si="12"/>
        <v>-22963374113</v>
      </c>
      <c r="J82" s="410"/>
      <c r="K82" s="265"/>
      <c r="L82" s="410"/>
      <c r="M82" s="410"/>
      <c r="N82" s="410"/>
      <c r="O82" s="410"/>
      <c r="P82" s="83">
        <f>-8126607416</f>
        <v>-8126607416</v>
      </c>
      <c r="Q82" s="2127">
        <v>57998409136</v>
      </c>
      <c r="T82" s="2116">
        <f t="shared" si="13"/>
        <v>57998409136</v>
      </c>
      <c r="U82" s="2116">
        <f t="shared" si="14"/>
        <v>0</v>
      </c>
    </row>
    <row r="83" spans="1:21" ht="16.899999999999999" customHeight="1" x14ac:dyDescent="0.35">
      <c r="A83" s="1719"/>
      <c r="B83" s="3587"/>
      <c r="C83" s="1762" t="s">
        <v>624</v>
      </c>
      <c r="D83" s="1993" t="s">
        <v>600</v>
      </c>
      <c r="E83" s="2151">
        <v>11009645831</v>
      </c>
      <c r="F83" s="1694"/>
      <c r="G83" s="497"/>
      <c r="H83" s="2169">
        <v>22442945523</v>
      </c>
      <c r="I83" s="82">
        <f t="shared" si="12"/>
        <v>-7112741512</v>
      </c>
      <c r="J83" s="1693"/>
      <c r="K83" s="497"/>
      <c r="L83" s="497"/>
      <c r="M83" s="497"/>
      <c r="N83" s="497"/>
      <c r="O83" s="497"/>
      <c r="P83" s="497">
        <f>-422230344</f>
        <v>-422230344</v>
      </c>
      <c r="Q83" s="2170">
        <f>25917619498-Q126</f>
        <v>25917619498</v>
      </c>
      <c r="T83" s="2116">
        <f t="shared" si="13"/>
        <v>25917619498</v>
      </c>
      <c r="U83" s="2116">
        <f t="shared" si="14"/>
        <v>0</v>
      </c>
    </row>
    <row r="84" spans="1:21" ht="16.899999999999999" customHeight="1" x14ac:dyDescent="0.35">
      <c r="A84" s="1719"/>
      <c r="B84" s="3587"/>
      <c r="C84" s="1763" t="s">
        <v>625</v>
      </c>
      <c r="D84" s="2070" t="s">
        <v>601</v>
      </c>
      <c r="E84" s="2151">
        <v>39737562479</v>
      </c>
      <c r="F84" s="1694"/>
      <c r="G84" s="1694"/>
      <c r="H84" s="1697"/>
      <c r="I84" s="82">
        <f t="shared" si="12"/>
        <v>-12477559973</v>
      </c>
      <c r="J84" s="616"/>
      <c r="K84" s="1694"/>
      <c r="L84" s="1694"/>
      <c r="M84" s="1694"/>
      <c r="N84" s="1694"/>
      <c r="O84" s="1694"/>
      <c r="P84" s="1694">
        <f>-712857255-300334034-18582909731-200000000</f>
        <v>-19796101020</v>
      </c>
      <c r="Q84" s="1771">
        <f>7463901486</f>
        <v>7463901486</v>
      </c>
      <c r="T84" s="2116">
        <f t="shared" si="13"/>
        <v>7463901486</v>
      </c>
      <c r="U84" s="2116">
        <f t="shared" si="14"/>
        <v>0</v>
      </c>
    </row>
    <row r="85" spans="1:21" ht="16.899999999999999" customHeight="1" x14ac:dyDescent="0.35">
      <c r="A85" s="1719"/>
      <c r="B85" s="3587"/>
      <c r="C85" s="1762" t="s">
        <v>677</v>
      </c>
      <c r="D85" s="1993" t="s">
        <v>676</v>
      </c>
      <c r="E85" s="2151">
        <v>1700000000</v>
      </c>
      <c r="F85" s="1694"/>
      <c r="G85" s="1694"/>
      <c r="H85" s="1697">
        <v>13738023729</v>
      </c>
      <c r="I85" s="82">
        <f t="shared" si="12"/>
        <v>-1700000000</v>
      </c>
      <c r="J85" s="616"/>
      <c r="K85" s="1694"/>
      <c r="L85" s="1694"/>
      <c r="M85" s="1694"/>
      <c r="N85" s="1694"/>
      <c r="O85" s="1694"/>
      <c r="P85" s="1694"/>
      <c r="Q85" s="1771">
        <v>13738023729</v>
      </c>
      <c r="T85" s="2116">
        <f t="shared" si="13"/>
        <v>13738023729</v>
      </c>
      <c r="U85" s="2116">
        <f t="shared" si="14"/>
        <v>0</v>
      </c>
    </row>
    <row r="86" spans="1:21" ht="16.899999999999999" customHeight="1" x14ac:dyDescent="0.35">
      <c r="A86" s="1719"/>
      <c r="B86" s="3587"/>
      <c r="C86" s="1762" t="s">
        <v>626</v>
      </c>
      <c r="D86" s="1993" t="s">
        <v>602</v>
      </c>
      <c r="E86" s="2151">
        <v>3449465037</v>
      </c>
      <c r="F86" s="1694"/>
      <c r="G86" s="1694"/>
      <c r="H86" s="1697"/>
      <c r="I86" s="82">
        <f t="shared" si="12"/>
        <v>-3449465037</v>
      </c>
      <c r="J86" s="616"/>
      <c r="K86" s="1694"/>
      <c r="L86" s="1694"/>
      <c r="M86" s="1694"/>
      <c r="N86" s="1694"/>
      <c r="O86" s="1694"/>
      <c r="P86" s="1694"/>
      <c r="Q86" s="1771"/>
      <c r="T86" s="2116">
        <f t="shared" si="13"/>
        <v>0</v>
      </c>
      <c r="U86" s="2116">
        <f t="shared" si="14"/>
        <v>0</v>
      </c>
    </row>
    <row r="87" spans="1:21" ht="16.899999999999999" customHeight="1" x14ac:dyDescent="0.35">
      <c r="A87" s="1719"/>
      <c r="B87" s="3587"/>
      <c r="C87" s="1762" t="s">
        <v>1083</v>
      </c>
      <c r="D87" s="2171" t="s">
        <v>1082</v>
      </c>
      <c r="E87" s="2151">
        <v>8651779875</v>
      </c>
      <c r="F87" s="1694"/>
      <c r="G87" s="1694"/>
      <c r="H87" s="1697">
        <f>61325054631-H128</f>
        <v>57780037642</v>
      </c>
      <c r="I87" s="82">
        <f t="shared" si="12"/>
        <v>-8203241790</v>
      </c>
      <c r="J87" s="616"/>
      <c r="K87" s="1694"/>
      <c r="L87" s="1694"/>
      <c r="M87" s="1694"/>
      <c r="N87" s="1694"/>
      <c r="O87" s="1694"/>
      <c r="P87" s="1694"/>
      <c r="Q87" s="1771">
        <f>62084240056-Q128</f>
        <v>58228575727</v>
      </c>
      <c r="T87" s="2116">
        <f t="shared" si="13"/>
        <v>58228575727</v>
      </c>
      <c r="U87" s="2116">
        <f t="shared" si="14"/>
        <v>0</v>
      </c>
    </row>
    <row r="88" spans="1:21" ht="16.899999999999999" customHeight="1" x14ac:dyDescent="0.35">
      <c r="A88" s="1719"/>
      <c r="B88" s="3587"/>
      <c r="C88" s="1762" t="s">
        <v>627</v>
      </c>
      <c r="D88" s="1993" t="s">
        <v>603</v>
      </c>
      <c r="E88" s="2172">
        <v>3183569349</v>
      </c>
      <c r="F88" s="1694"/>
      <c r="G88" s="1694"/>
      <c r="H88" s="1697"/>
      <c r="I88" s="82">
        <f t="shared" si="12"/>
        <v>-2983569349</v>
      </c>
      <c r="J88" s="616"/>
      <c r="K88" s="1694"/>
      <c r="L88" s="1694"/>
      <c r="M88" s="1694"/>
      <c r="N88" s="1694"/>
      <c r="O88" s="1694"/>
      <c r="P88" s="1694">
        <f>-200000000</f>
        <v>-200000000</v>
      </c>
      <c r="Q88" s="1697"/>
      <c r="T88" s="2116">
        <f t="shared" si="13"/>
        <v>0</v>
      </c>
      <c r="U88" s="2116">
        <f t="shared" si="14"/>
        <v>0</v>
      </c>
    </row>
    <row r="89" spans="1:21" ht="16.899999999999999" customHeight="1" x14ac:dyDescent="0.35">
      <c r="A89" s="1719"/>
      <c r="B89" s="3587"/>
      <c r="C89" s="1914" t="s">
        <v>810</v>
      </c>
      <c r="D89" s="2173" t="s">
        <v>1085</v>
      </c>
      <c r="E89" s="2174"/>
      <c r="F89" s="379"/>
      <c r="G89" s="1694"/>
      <c r="H89" s="1697"/>
      <c r="I89" s="82">
        <f t="shared" si="12"/>
        <v>0</v>
      </c>
      <c r="J89" s="616"/>
      <c r="K89" s="1694"/>
      <c r="L89" s="1694"/>
      <c r="M89" s="1694"/>
      <c r="N89" s="1694"/>
      <c r="O89" s="1694"/>
      <c r="P89" s="1694"/>
      <c r="Q89" s="1697"/>
      <c r="T89" s="2116">
        <f t="shared" si="13"/>
        <v>0</v>
      </c>
      <c r="U89" s="2116">
        <f t="shared" si="14"/>
        <v>0</v>
      </c>
    </row>
    <row r="90" spans="1:21" ht="16.899999999999999" customHeight="1" x14ac:dyDescent="0.35">
      <c r="A90" s="1719"/>
      <c r="B90" s="3587"/>
      <c r="C90" s="1763" t="s">
        <v>629</v>
      </c>
      <c r="D90" s="2069" t="s">
        <v>605</v>
      </c>
      <c r="E90" s="2174">
        <v>4577564272</v>
      </c>
      <c r="F90" s="379"/>
      <c r="G90" s="1694"/>
      <c r="H90" s="1697"/>
      <c r="I90" s="82">
        <f t="shared" si="12"/>
        <v>-3851169154</v>
      </c>
      <c r="J90" s="616"/>
      <c r="K90" s="1694"/>
      <c r="L90" s="1694"/>
      <c r="M90" s="1694"/>
      <c r="N90" s="1694"/>
      <c r="O90" s="1694"/>
      <c r="P90" s="1694">
        <f>-320000000</f>
        <v>-320000000</v>
      </c>
      <c r="Q90" s="1697">
        <v>406395118</v>
      </c>
      <c r="T90" s="2116">
        <f t="shared" si="13"/>
        <v>406395118</v>
      </c>
      <c r="U90" s="2116">
        <f t="shared" si="14"/>
        <v>0</v>
      </c>
    </row>
    <row r="91" spans="1:21" ht="16.899999999999999" customHeight="1" x14ac:dyDescent="0.35">
      <c r="A91" s="1719"/>
      <c r="B91" s="3587"/>
      <c r="C91" s="1762" t="s">
        <v>630</v>
      </c>
      <c r="D91" s="2175" t="s">
        <v>621</v>
      </c>
      <c r="E91" s="1694">
        <v>367000000</v>
      </c>
      <c r="F91" s="1694"/>
      <c r="G91" s="1694"/>
      <c r="H91" s="1694"/>
      <c r="I91" s="82">
        <f t="shared" si="12"/>
        <v>0</v>
      </c>
      <c r="J91" s="616"/>
      <c r="K91" s="1694"/>
      <c r="L91" s="1694"/>
      <c r="M91" s="1694"/>
      <c r="N91" s="1694"/>
      <c r="O91" s="1694"/>
      <c r="P91" s="1694"/>
      <c r="Q91" s="1694">
        <v>367000000</v>
      </c>
      <c r="T91" s="2116">
        <f t="shared" si="13"/>
        <v>367000000</v>
      </c>
      <c r="U91" s="2116">
        <f t="shared" si="14"/>
        <v>0</v>
      </c>
    </row>
    <row r="92" spans="1:21" ht="16.899999999999999" customHeight="1" x14ac:dyDescent="0.35">
      <c r="A92" s="1719"/>
      <c r="B92" s="3587"/>
      <c r="C92" s="1762" t="s">
        <v>664</v>
      </c>
      <c r="D92" s="2176" t="s">
        <v>667</v>
      </c>
      <c r="E92" s="1694">
        <v>331880451</v>
      </c>
      <c r="F92" s="1694"/>
      <c r="G92" s="1694"/>
      <c r="H92" s="1694"/>
      <c r="I92" s="82">
        <f t="shared" si="12"/>
        <v>0</v>
      </c>
      <c r="J92" s="616"/>
      <c r="K92" s="1694"/>
      <c r="L92" s="1694"/>
      <c r="M92" s="1694"/>
      <c r="N92" s="1694"/>
      <c r="O92" s="1694"/>
      <c r="P92" s="1694"/>
      <c r="Q92" s="1694">
        <v>331880451</v>
      </c>
      <c r="T92" s="2116">
        <f t="shared" si="13"/>
        <v>331880451</v>
      </c>
      <c r="U92" s="2116">
        <f t="shared" si="14"/>
        <v>0</v>
      </c>
    </row>
    <row r="93" spans="1:21" ht="16.899999999999999" customHeight="1" x14ac:dyDescent="0.35">
      <c r="A93" s="1719"/>
      <c r="B93" s="3587"/>
      <c r="C93" s="1985" t="s">
        <v>665</v>
      </c>
      <c r="D93" s="2177" t="s">
        <v>668</v>
      </c>
      <c r="E93" s="1694">
        <v>483293829</v>
      </c>
      <c r="F93" s="1694"/>
      <c r="G93" s="379"/>
      <c r="H93" s="379"/>
      <c r="I93" s="82">
        <f t="shared" si="12"/>
        <v>0</v>
      </c>
      <c r="J93" s="617"/>
      <c r="K93" s="379"/>
      <c r="L93" s="379"/>
      <c r="M93" s="379"/>
      <c r="N93" s="379"/>
      <c r="O93" s="379"/>
      <c r="P93" s="379"/>
      <c r="Q93" s="1694">
        <v>483293829</v>
      </c>
      <c r="T93" s="2116">
        <f t="shared" si="13"/>
        <v>483293829</v>
      </c>
      <c r="U93" s="2116">
        <f t="shared" si="14"/>
        <v>0</v>
      </c>
    </row>
    <row r="94" spans="1:21" ht="14.25" hidden="1" customHeight="1" x14ac:dyDescent="0.35">
      <c r="A94" s="1719"/>
      <c r="B94" s="3587"/>
      <c r="C94" s="1762" t="s">
        <v>666</v>
      </c>
      <c r="D94" s="1993" t="s">
        <v>669</v>
      </c>
      <c r="E94" s="1694"/>
      <c r="F94" s="1694"/>
      <c r="G94" s="1694"/>
      <c r="H94" s="1694"/>
      <c r="I94" s="82">
        <f t="shared" si="12"/>
        <v>0</v>
      </c>
      <c r="J94" s="616"/>
      <c r="K94" s="1694"/>
      <c r="L94" s="1694"/>
      <c r="M94" s="1694"/>
      <c r="N94" s="1694"/>
      <c r="O94" s="1694"/>
      <c r="P94" s="1694"/>
      <c r="Q94" s="1694"/>
      <c r="T94" s="2116">
        <f t="shared" si="13"/>
        <v>0</v>
      </c>
      <c r="U94" s="2116">
        <f t="shared" si="14"/>
        <v>0</v>
      </c>
    </row>
    <row r="95" spans="1:21" ht="15.6" customHeight="1" x14ac:dyDescent="0.35">
      <c r="A95" s="1719"/>
      <c r="B95" s="3587"/>
      <c r="C95" s="1914" t="s">
        <v>1080</v>
      </c>
      <c r="D95" s="1993" t="s">
        <v>1081</v>
      </c>
      <c r="E95" s="497"/>
      <c r="F95" s="497"/>
      <c r="G95" s="497"/>
      <c r="H95" s="497"/>
      <c r="I95" s="82">
        <f t="shared" ref="I95:I109" si="15">Q95-H95-N95-M95-E95-P95-J95-G95</f>
        <v>0</v>
      </c>
      <c r="J95" s="1693"/>
      <c r="K95" s="497"/>
      <c r="L95" s="497"/>
      <c r="M95" s="497"/>
      <c r="N95" s="497"/>
      <c r="O95" s="497"/>
      <c r="P95" s="497"/>
      <c r="Q95" s="497"/>
      <c r="T95" s="2116">
        <f t="shared" si="13"/>
        <v>0</v>
      </c>
      <c r="U95" s="2116">
        <f t="shared" si="14"/>
        <v>0</v>
      </c>
    </row>
    <row r="96" spans="1:21" ht="14.45" customHeight="1" x14ac:dyDescent="0.35">
      <c r="A96" s="1719"/>
      <c r="B96" s="3587"/>
      <c r="C96" s="1914" t="s">
        <v>1078</v>
      </c>
      <c r="D96" s="2178" t="s">
        <v>1077</v>
      </c>
      <c r="E96" s="1694">
        <v>3536928766</v>
      </c>
      <c r="F96" s="1694"/>
      <c r="G96" s="1694"/>
      <c r="H96" s="1694"/>
      <c r="I96" s="82">
        <f t="shared" si="15"/>
        <v>-2317132928</v>
      </c>
      <c r="J96" s="1694"/>
      <c r="K96" s="1694"/>
      <c r="L96" s="1694"/>
      <c r="M96" s="1694"/>
      <c r="N96" s="1694"/>
      <c r="O96" s="1694"/>
      <c r="P96" s="1694"/>
      <c r="Q96" s="1694">
        <v>1219795838</v>
      </c>
      <c r="T96" s="2116">
        <f t="shared" si="13"/>
        <v>1219795838</v>
      </c>
      <c r="U96" s="2116">
        <f t="shared" si="14"/>
        <v>0</v>
      </c>
    </row>
    <row r="97" spans="1:26" ht="14.45" customHeight="1" x14ac:dyDescent="0.35">
      <c r="A97" s="1719"/>
      <c r="B97" s="3587"/>
      <c r="C97" s="1948">
        <v>1503003007</v>
      </c>
      <c r="D97" s="2179" t="s">
        <v>155</v>
      </c>
      <c r="E97" s="1694">
        <v>250000000</v>
      </c>
      <c r="F97" s="1694"/>
      <c r="G97" s="1694"/>
      <c r="H97" s="1694"/>
      <c r="I97" s="82">
        <f t="shared" si="15"/>
        <v>0</v>
      </c>
      <c r="J97" s="1694"/>
      <c r="K97" s="1694"/>
      <c r="L97" s="1694"/>
      <c r="M97" s="1694"/>
      <c r="N97" s="1694"/>
      <c r="O97" s="1694"/>
      <c r="P97" s="1694"/>
      <c r="Q97" s="1694">
        <v>250000000</v>
      </c>
      <c r="T97" s="2116">
        <f t="shared" si="13"/>
        <v>250000000</v>
      </c>
      <c r="U97" s="2116">
        <f t="shared" si="14"/>
        <v>0</v>
      </c>
    </row>
    <row r="98" spans="1:26" ht="14.45" customHeight="1" x14ac:dyDescent="0.35">
      <c r="A98" s="1719"/>
      <c r="B98" s="3587"/>
      <c r="C98" s="2180">
        <v>1501001020</v>
      </c>
      <c r="D98" s="2181" t="s">
        <v>1349</v>
      </c>
      <c r="E98" s="1694">
        <v>46528808373</v>
      </c>
      <c r="F98" s="1694"/>
      <c r="G98" s="1694"/>
      <c r="H98" s="1694"/>
      <c r="I98" s="82">
        <f t="shared" si="15"/>
        <v>-46528808373</v>
      </c>
      <c r="J98" s="1694"/>
      <c r="K98" s="1694"/>
      <c r="L98" s="1694"/>
      <c r="M98" s="1694"/>
      <c r="N98" s="1694"/>
      <c r="O98" s="1694"/>
      <c r="P98" s="1694"/>
      <c r="Q98" s="1694"/>
      <c r="T98" s="2116">
        <f t="shared" si="13"/>
        <v>0</v>
      </c>
      <c r="U98" s="2116">
        <f t="shared" si="14"/>
        <v>0</v>
      </c>
    </row>
    <row r="99" spans="1:26" ht="14.45" customHeight="1" x14ac:dyDescent="0.4">
      <c r="A99" s="1719"/>
      <c r="B99" s="3587"/>
      <c r="C99" s="1810" t="s">
        <v>2068</v>
      </c>
      <c r="D99" s="1804" t="s">
        <v>2070</v>
      </c>
      <c r="E99" s="1694">
        <v>1823338411</v>
      </c>
      <c r="F99" s="1694"/>
      <c r="G99" s="1694"/>
      <c r="H99" s="1694">
        <v>34128744967</v>
      </c>
      <c r="I99" s="82">
        <f t="shared" si="15"/>
        <v>-1823338411</v>
      </c>
      <c r="J99" s="1694"/>
      <c r="K99" s="1694"/>
      <c r="L99" s="1694"/>
      <c r="M99" s="1694"/>
      <c r="N99" s="1694"/>
      <c r="O99" s="1694"/>
      <c r="P99" s="1694"/>
      <c r="Q99" s="1694">
        <v>34128744967</v>
      </c>
      <c r="T99" s="2116">
        <f t="shared" si="13"/>
        <v>34128744967</v>
      </c>
      <c r="U99" s="2116">
        <f t="shared" si="14"/>
        <v>0</v>
      </c>
      <c r="V99" s="2018"/>
      <c r="W99" s="2018"/>
      <c r="X99" s="2018"/>
      <c r="Y99" s="2018"/>
      <c r="Z99" s="2019"/>
    </row>
    <row r="100" spans="1:26" ht="14.45" customHeight="1" x14ac:dyDescent="0.35">
      <c r="A100" s="1719"/>
      <c r="B100" s="3587"/>
      <c r="C100" s="2062">
        <v>1307006002</v>
      </c>
      <c r="D100" s="2067" t="s">
        <v>88</v>
      </c>
      <c r="E100" s="1694">
        <v>1782042982</v>
      </c>
      <c r="F100" s="1694"/>
      <c r="G100" s="1694"/>
      <c r="H100" s="1694"/>
      <c r="I100" s="82">
        <f t="shared" si="15"/>
        <v>-1782042982</v>
      </c>
      <c r="J100" s="1694"/>
      <c r="K100" s="1694"/>
      <c r="L100" s="1694"/>
      <c r="M100" s="1694"/>
      <c r="N100" s="1694"/>
      <c r="O100" s="1694"/>
      <c r="P100" s="1694"/>
      <c r="Q100" s="1694"/>
      <c r="T100" s="2116">
        <f t="shared" si="13"/>
        <v>0</v>
      </c>
      <c r="U100" s="2116">
        <f t="shared" si="14"/>
        <v>0</v>
      </c>
    </row>
    <row r="101" spans="1:26" ht="14.45" customHeight="1" x14ac:dyDescent="0.4">
      <c r="A101" s="1719"/>
      <c r="B101" s="3587"/>
      <c r="C101" s="1802" t="s">
        <v>2057</v>
      </c>
      <c r="D101" s="1803" t="s">
        <v>2034</v>
      </c>
      <c r="E101" s="1694"/>
      <c r="F101" s="1694"/>
      <c r="G101" s="1694"/>
      <c r="H101" s="1694">
        <v>5279913116</v>
      </c>
      <c r="I101" s="82">
        <f t="shared" si="15"/>
        <v>0</v>
      </c>
      <c r="J101" s="1694"/>
      <c r="K101" s="1694"/>
      <c r="L101" s="1694"/>
      <c r="M101" s="1694"/>
      <c r="N101" s="1694"/>
      <c r="O101" s="1694"/>
      <c r="P101" s="1694"/>
      <c r="Q101" s="1694">
        <v>5279913116</v>
      </c>
      <c r="T101" s="2116">
        <f t="shared" si="13"/>
        <v>5279913116</v>
      </c>
      <c r="U101" s="2116">
        <f t="shared" si="14"/>
        <v>0</v>
      </c>
    </row>
    <row r="102" spans="1:26" ht="14.45" customHeight="1" x14ac:dyDescent="0.4">
      <c r="A102" s="1719"/>
      <c r="B102" s="3587"/>
      <c r="C102" s="1802" t="s">
        <v>2067</v>
      </c>
      <c r="D102" s="1803" t="s">
        <v>2045</v>
      </c>
      <c r="E102" s="1694"/>
      <c r="F102" s="1694"/>
      <c r="G102" s="1694"/>
      <c r="H102" s="1694">
        <v>6774860279</v>
      </c>
      <c r="I102" s="82">
        <f t="shared" si="15"/>
        <v>0</v>
      </c>
      <c r="J102" s="1694"/>
      <c r="K102" s="1694"/>
      <c r="L102" s="1694"/>
      <c r="M102" s="1694"/>
      <c r="N102" s="1694"/>
      <c r="O102" s="1694"/>
      <c r="P102" s="1694"/>
      <c r="Q102" s="1694">
        <v>6774860279</v>
      </c>
      <c r="T102" s="2116">
        <f t="shared" si="13"/>
        <v>6774860279</v>
      </c>
      <c r="U102" s="2116">
        <f t="shared" si="14"/>
        <v>0</v>
      </c>
    </row>
    <row r="103" spans="1:26" ht="14.45" customHeight="1" x14ac:dyDescent="0.4">
      <c r="A103" s="1719"/>
      <c r="B103" s="3587"/>
      <c r="C103" s="1802" t="s">
        <v>2150</v>
      </c>
      <c r="D103" s="1803" t="s">
        <v>2149</v>
      </c>
      <c r="E103" s="1694"/>
      <c r="F103" s="1694"/>
      <c r="G103" s="1694"/>
      <c r="H103" s="1694">
        <v>51431230116</v>
      </c>
      <c r="I103" s="82">
        <f t="shared" si="15"/>
        <v>0</v>
      </c>
      <c r="J103" s="1694"/>
      <c r="K103" s="1694"/>
      <c r="L103" s="1694"/>
      <c r="M103" s="1694"/>
      <c r="N103" s="1694"/>
      <c r="O103" s="1694"/>
      <c r="P103" s="1694"/>
      <c r="Q103" s="1694">
        <v>51431230116</v>
      </c>
      <c r="T103" s="2116">
        <f t="shared" si="13"/>
        <v>51431230116</v>
      </c>
      <c r="U103" s="2116">
        <f t="shared" si="14"/>
        <v>0</v>
      </c>
    </row>
    <row r="104" spans="1:26" ht="14.45" customHeight="1" x14ac:dyDescent="0.4">
      <c r="A104" s="1719"/>
      <c r="B104" s="3587"/>
      <c r="C104" s="2182" t="s">
        <v>2203</v>
      </c>
      <c r="D104" s="2183" t="s">
        <v>2204</v>
      </c>
      <c r="E104" s="497"/>
      <c r="F104" s="497"/>
      <c r="G104" s="497"/>
      <c r="H104" s="497">
        <v>4746000000</v>
      </c>
      <c r="I104" s="1709"/>
      <c r="J104" s="497"/>
      <c r="K104" s="497"/>
      <c r="L104" s="497"/>
      <c r="M104" s="497"/>
      <c r="N104" s="497"/>
      <c r="O104" s="497"/>
      <c r="P104" s="497"/>
      <c r="Q104" s="497">
        <v>4746000000</v>
      </c>
      <c r="T104" s="2116">
        <f t="shared" si="13"/>
        <v>4746000000</v>
      </c>
      <c r="U104" s="2116">
        <f t="shared" si="14"/>
        <v>0</v>
      </c>
    </row>
    <row r="105" spans="1:26" ht="14.45" customHeight="1" x14ac:dyDescent="0.35">
      <c r="A105" s="1719"/>
      <c r="B105" s="3587"/>
      <c r="C105" s="1762" t="s">
        <v>2050</v>
      </c>
      <c r="D105" s="1993" t="s">
        <v>620</v>
      </c>
      <c r="E105" s="1694"/>
      <c r="F105" s="1694"/>
      <c r="G105" s="1694"/>
      <c r="H105" s="1694">
        <v>3202564348</v>
      </c>
      <c r="I105" s="1694">
        <f>Q105-H105-N105-M105-E105-P105-J105-G105-O105</f>
        <v>0</v>
      </c>
      <c r="J105" s="1694"/>
      <c r="K105" s="1694"/>
      <c r="L105" s="1694"/>
      <c r="M105" s="1694"/>
      <c r="N105" s="1694"/>
      <c r="O105" s="1694">
        <v>410227908</v>
      </c>
      <c r="P105" s="1694"/>
      <c r="Q105" s="1694">
        <v>3612792256</v>
      </c>
      <c r="T105" s="2116">
        <f>E105+H105+I105+J105+G105+N105+O105+P105</f>
        <v>3612792256</v>
      </c>
      <c r="U105" s="2116">
        <f t="shared" si="14"/>
        <v>0</v>
      </c>
    </row>
    <row r="106" spans="1:26" ht="14.45" customHeight="1" x14ac:dyDescent="0.35">
      <c r="A106" s="1719"/>
      <c r="B106" s="3587"/>
      <c r="C106" s="1762" t="s">
        <v>2061</v>
      </c>
      <c r="D106" s="1993" t="s">
        <v>600</v>
      </c>
      <c r="E106" s="1694"/>
      <c r="F106" s="1694"/>
      <c r="G106" s="1694"/>
      <c r="H106" s="1694">
        <v>2098978752</v>
      </c>
      <c r="I106" s="1694">
        <f t="shared" si="15"/>
        <v>0</v>
      </c>
      <c r="J106" s="1694"/>
      <c r="K106" s="1694"/>
      <c r="L106" s="1694"/>
      <c r="M106" s="1694"/>
      <c r="N106" s="1694"/>
      <c r="O106" s="1694"/>
      <c r="P106" s="1694"/>
      <c r="Q106" s="1694">
        <v>2098978752</v>
      </c>
      <c r="T106" s="2116">
        <f>E106+H106+I106+J106+G106+N106+O106+P106</f>
        <v>2098978752</v>
      </c>
      <c r="U106" s="2116">
        <f t="shared" si="14"/>
        <v>0</v>
      </c>
    </row>
    <row r="107" spans="1:26" ht="14.45" customHeight="1" x14ac:dyDescent="0.35">
      <c r="A107" s="1719"/>
      <c r="B107" s="3587"/>
      <c r="C107" s="1762" t="s">
        <v>2052</v>
      </c>
      <c r="D107" s="1993" t="s">
        <v>601</v>
      </c>
      <c r="E107" s="1694"/>
      <c r="F107" s="1694"/>
      <c r="G107" s="1694"/>
      <c r="H107" s="1694">
        <v>4872000000</v>
      </c>
      <c r="I107" s="1694">
        <f t="shared" si="15"/>
        <v>0</v>
      </c>
      <c r="J107" s="1694"/>
      <c r="K107" s="1694"/>
      <c r="L107" s="1694"/>
      <c r="M107" s="1694"/>
      <c r="N107" s="1694"/>
      <c r="O107" s="1694"/>
      <c r="P107" s="1694"/>
      <c r="Q107" s="1694">
        <v>4872000000</v>
      </c>
      <c r="T107" s="2116">
        <f t="shared" si="13"/>
        <v>4872000000</v>
      </c>
      <c r="U107" s="2116">
        <f t="shared" si="14"/>
        <v>0</v>
      </c>
    </row>
    <row r="108" spans="1:26" ht="14.45" customHeight="1" x14ac:dyDescent="0.4">
      <c r="A108" s="1719"/>
      <c r="B108" s="3587"/>
      <c r="C108" s="1802" t="s">
        <v>2151</v>
      </c>
      <c r="D108" s="1803" t="s">
        <v>2144</v>
      </c>
      <c r="E108" s="1694"/>
      <c r="F108" s="1694"/>
      <c r="G108" s="1694"/>
      <c r="H108" s="1694">
        <v>920849717</v>
      </c>
      <c r="I108" s="1694">
        <f t="shared" si="15"/>
        <v>0</v>
      </c>
      <c r="J108" s="1694"/>
      <c r="K108" s="1694"/>
      <c r="L108" s="1694"/>
      <c r="M108" s="1694"/>
      <c r="N108" s="1694"/>
      <c r="O108" s="1694"/>
      <c r="P108" s="1694"/>
      <c r="Q108" s="1694">
        <v>920849717</v>
      </c>
      <c r="T108" s="2116">
        <f t="shared" si="13"/>
        <v>920849717</v>
      </c>
      <c r="U108" s="2116">
        <f t="shared" si="14"/>
        <v>0</v>
      </c>
    </row>
    <row r="109" spans="1:26" ht="14.45" customHeight="1" x14ac:dyDescent="0.4">
      <c r="A109" s="1719"/>
      <c r="B109" s="3587"/>
      <c r="C109" s="2184" t="s">
        <v>2041</v>
      </c>
      <c r="D109" s="1803" t="s">
        <v>2040</v>
      </c>
      <c r="E109" s="1694"/>
      <c r="F109" s="1694"/>
      <c r="G109" s="1694"/>
      <c r="H109" s="1694">
        <v>55345042491</v>
      </c>
      <c r="I109" s="1694">
        <f t="shared" si="15"/>
        <v>0</v>
      </c>
      <c r="J109" s="1694"/>
      <c r="K109" s="1694"/>
      <c r="L109" s="1694"/>
      <c r="M109" s="1694"/>
      <c r="N109" s="1694"/>
      <c r="O109" s="1694"/>
      <c r="P109" s="1694"/>
      <c r="Q109" s="1694">
        <v>55345042491</v>
      </c>
      <c r="T109" s="2116">
        <f t="shared" si="13"/>
        <v>55345042491</v>
      </c>
      <c r="U109" s="2116">
        <f t="shared" si="14"/>
        <v>0</v>
      </c>
    </row>
    <row r="110" spans="1:26" ht="12.6" customHeight="1" x14ac:dyDescent="0.35">
      <c r="A110" s="1719"/>
      <c r="B110" s="3588"/>
      <c r="C110" s="3547" t="s">
        <v>1317</v>
      </c>
      <c r="D110" s="3547"/>
      <c r="E110" s="1694">
        <f>SUM(E78:E109)</f>
        <v>1564059670096</v>
      </c>
      <c r="F110" s="1694" t="e">
        <f t="shared" ref="F110:P110" si="16">SUM(F78:F109)</f>
        <v>#N/A</v>
      </c>
      <c r="G110" s="1694">
        <f t="shared" si="16"/>
        <v>0</v>
      </c>
      <c r="H110" s="1694">
        <f>SUM(H78:H109)</f>
        <v>1524499574079</v>
      </c>
      <c r="I110" s="1694">
        <f>SUM(I78:I109)</f>
        <v>-591329917963</v>
      </c>
      <c r="J110" s="1694">
        <f t="shared" si="16"/>
        <v>0</v>
      </c>
      <c r="K110" s="1694">
        <f t="shared" si="16"/>
        <v>0</v>
      </c>
      <c r="L110" s="1694">
        <f t="shared" si="16"/>
        <v>0</v>
      </c>
      <c r="M110" s="1694">
        <f t="shared" si="16"/>
        <v>0</v>
      </c>
      <c r="N110" s="1694">
        <f t="shared" si="16"/>
        <v>-1582060020</v>
      </c>
      <c r="O110" s="1694">
        <f t="shared" si="16"/>
        <v>11263039315</v>
      </c>
      <c r="P110" s="1694">
        <f t="shared" si="16"/>
        <v>-70263526109</v>
      </c>
      <c r="Q110" s="1694">
        <f>SUM(Q78:Q109)</f>
        <v>2436646779398</v>
      </c>
      <c r="T110" s="2116">
        <f>E110+H110+I110+J110+G110+N110+O110+P110</f>
        <v>2436646779398</v>
      </c>
      <c r="U110" s="2116">
        <f t="shared" si="14"/>
        <v>0</v>
      </c>
    </row>
    <row r="111" spans="1:26" s="1707" customFormat="1" ht="12.6" customHeight="1" x14ac:dyDescent="0.35">
      <c r="A111" s="1706"/>
      <c r="B111" s="3591" t="s">
        <v>2268</v>
      </c>
      <c r="C111" s="3591"/>
      <c r="D111" s="3591"/>
      <c r="E111" s="3591"/>
      <c r="F111" s="3591"/>
      <c r="G111" s="3591"/>
      <c r="H111" s="3591"/>
      <c r="I111" s="3591"/>
      <c r="J111" s="3591"/>
      <c r="K111" s="3591"/>
      <c r="L111" s="3591"/>
      <c r="M111" s="3591"/>
      <c r="N111" s="3591"/>
      <c r="O111" s="3591"/>
      <c r="P111" s="3591"/>
      <c r="Q111" s="3591"/>
      <c r="T111" s="1708"/>
      <c r="U111" s="1708"/>
    </row>
    <row r="112" spans="1:26" s="1707" customFormat="1" ht="18.600000000000001" customHeight="1" x14ac:dyDescent="0.35">
      <c r="A112" s="1706"/>
      <c r="B112" s="3565" t="s">
        <v>295</v>
      </c>
      <c r="C112" s="3565"/>
      <c r="D112" s="3565"/>
      <c r="E112" s="3565"/>
      <c r="F112" s="3565"/>
      <c r="G112" s="3565"/>
      <c r="H112" s="3565"/>
      <c r="I112" s="3565"/>
      <c r="J112" s="3565"/>
      <c r="K112" s="3565"/>
      <c r="L112" s="3565"/>
      <c r="M112" s="3565"/>
      <c r="N112" s="3565"/>
      <c r="O112" s="3565"/>
      <c r="P112" s="3565"/>
      <c r="Q112" s="3565"/>
      <c r="T112" s="1708"/>
      <c r="U112" s="1708"/>
    </row>
    <row r="113" spans="1:21" s="1707" customFormat="1" ht="18.600000000000001" customHeight="1" x14ac:dyDescent="0.35">
      <c r="A113" s="1706"/>
      <c r="B113" s="3565" t="s">
        <v>45</v>
      </c>
      <c r="C113" s="3565"/>
      <c r="D113" s="3565"/>
      <c r="E113" s="3565"/>
      <c r="F113" s="3565"/>
      <c r="G113" s="3565"/>
      <c r="H113" s="3565"/>
      <c r="I113" s="3565"/>
      <c r="J113" s="3565"/>
      <c r="K113" s="3565"/>
      <c r="L113" s="3565"/>
      <c r="M113" s="3565"/>
      <c r="N113" s="3565"/>
      <c r="O113" s="3565"/>
      <c r="P113" s="3565"/>
      <c r="Q113" s="3565"/>
      <c r="T113" s="1708"/>
      <c r="U113" s="1708"/>
    </row>
    <row r="114" spans="1:21" s="1707" customFormat="1" ht="18.600000000000001" customHeight="1" x14ac:dyDescent="0.35">
      <c r="A114" s="1706"/>
      <c r="B114" s="3565" t="s">
        <v>46</v>
      </c>
      <c r="C114" s="3565"/>
      <c r="D114" s="3565"/>
      <c r="E114" s="3565"/>
      <c r="F114" s="3565"/>
      <c r="G114" s="3565"/>
      <c r="H114" s="3565"/>
      <c r="I114" s="3565"/>
      <c r="J114" s="3565"/>
      <c r="K114" s="3565"/>
      <c r="L114" s="3565"/>
      <c r="M114" s="3565"/>
      <c r="N114" s="3565"/>
      <c r="O114" s="3565"/>
      <c r="P114" s="3565"/>
      <c r="Q114" s="3565"/>
      <c r="T114" s="1708"/>
      <c r="U114" s="1708"/>
    </row>
    <row r="115" spans="1:21" s="1707" customFormat="1" ht="18.600000000000001" customHeight="1" x14ac:dyDescent="0.35">
      <c r="A115" s="1706"/>
      <c r="B115" s="3572" t="s">
        <v>1988</v>
      </c>
      <c r="C115" s="3572"/>
      <c r="D115" s="3572"/>
      <c r="E115" s="3572"/>
      <c r="F115" s="3572"/>
      <c r="G115" s="3572"/>
      <c r="H115" s="3572"/>
      <c r="I115" s="3572"/>
      <c r="J115" s="3572"/>
      <c r="K115" s="3572"/>
      <c r="L115" s="3572"/>
      <c r="M115" s="3572"/>
      <c r="N115" s="3572"/>
      <c r="O115" s="3572"/>
      <c r="P115" s="3572"/>
      <c r="Q115" s="3572"/>
      <c r="T115" s="1708"/>
      <c r="U115" s="1708"/>
    </row>
    <row r="116" spans="1:21" s="1707" customFormat="1" ht="18.600000000000001" customHeight="1" x14ac:dyDescent="0.35">
      <c r="A116" s="1706"/>
      <c r="B116" s="2185"/>
      <c r="C116" s="2185"/>
      <c r="D116" s="2185"/>
      <c r="E116" s="2185"/>
      <c r="F116" s="2185"/>
      <c r="G116" s="2185"/>
      <c r="H116" s="2185"/>
      <c r="I116" s="2185"/>
      <c r="J116" s="2185"/>
      <c r="K116" s="2185"/>
      <c r="L116" s="2185"/>
      <c r="M116" s="2185"/>
      <c r="N116" s="2185"/>
      <c r="O116" s="2185"/>
      <c r="P116" s="2185"/>
      <c r="Q116" s="2185"/>
      <c r="T116" s="1708"/>
      <c r="U116" s="1708"/>
    </row>
    <row r="117" spans="1:21" s="1707" customFormat="1" ht="16.149999999999999" customHeight="1" x14ac:dyDescent="0.35">
      <c r="A117" s="1706"/>
      <c r="B117" s="3549" t="s">
        <v>1147</v>
      </c>
      <c r="C117" s="3549"/>
      <c r="D117" s="3549"/>
      <c r="E117" s="2136"/>
      <c r="F117" s="2136"/>
      <c r="G117" s="2136"/>
      <c r="H117" s="2136"/>
      <c r="I117" s="2136"/>
      <c r="J117" s="2136"/>
      <c r="K117" s="2136"/>
      <c r="L117" s="2136"/>
      <c r="M117" s="2136"/>
      <c r="N117" s="2136"/>
      <c r="O117" s="2136"/>
      <c r="P117" s="3550" t="s">
        <v>194</v>
      </c>
      <c r="Q117" s="3551"/>
      <c r="T117" s="1708"/>
      <c r="U117" s="1708"/>
    </row>
    <row r="118" spans="1:21" s="1707" customFormat="1" ht="37.15" customHeight="1" x14ac:dyDescent="0.35">
      <c r="A118" s="1706"/>
      <c r="B118" s="3552" t="s">
        <v>419</v>
      </c>
      <c r="C118" s="3554" t="s">
        <v>53</v>
      </c>
      <c r="D118" s="3556" t="s">
        <v>54</v>
      </c>
      <c r="E118" s="3558" t="s">
        <v>1391</v>
      </c>
      <c r="F118" s="2120"/>
      <c r="G118" s="3559" t="s">
        <v>898</v>
      </c>
      <c r="H118" s="3561" t="s">
        <v>989</v>
      </c>
      <c r="I118" s="3562" t="s">
        <v>615</v>
      </c>
      <c r="J118" s="3562"/>
      <c r="K118" s="3562"/>
      <c r="L118" s="3562"/>
      <c r="M118" s="3562"/>
      <c r="N118" s="3562"/>
      <c r="O118" s="3563" t="s">
        <v>313</v>
      </c>
      <c r="P118" s="3562" t="s">
        <v>1129</v>
      </c>
      <c r="Q118" s="3558" t="s">
        <v>1986</v>
      </c>
      <c r="T118" s="1708"/>
      <c r="U118" s="1708"/>
    </row>
    <row r="119" spans="1:21" s="1707" customFormat="1" ht="37.15" customHeight="1" x14ac:dyDescent="0.35">
      <c r="A119" s="1706"/>
      <c r="B119" s="3553"/>
      <c r="C119" s="3555"/>
      <c r="D119" s="3557"/>
      <c r="E119" s="3558"/>
      <c r="F119" s="2121"/>
      <c r="G119" s="3560"/>
      <c r="H119" s="3561"/>
      <c r="I119" s="2122" t="s">
        <v>20</v>
      </c>
      <c r="J119" s="2122" t="s">
        <v>314</v>
      </c>
      <c r="K119" s="2123"/>
      <c r="L119" s="2123"/>
      <c r="M119" s="2123"/>
      <c r="N119" s="2122" t="s">
        <v>315</v>
      </c>
      <c r="O119" s="3564"/>
      <c r="P119" s="3562"/>
      <c r="Q119" s="3558"/>
      <c r="T119" s="1708"/>
      <c r="U119" s="1708"/>
    </row>
    <row r="120" spans="1:21" s="1707" customFormat="1" ht="17.45" customHeight="1" x14ac:dyDescent="0.35">
      <c r="A120" s="1706"/>
      <c r="B120" s="3547" t="s">
        <v>824</v>
      </c>
      <c r="C120" s="3547"/>
      <c r="D120" s="3547"/>
      <c r="E120" s="1694">
        <f>E110</f>
        <v>1564059670096</v>
      </c>
      <c r="F120" s="1694" t="e">
        <f t="shared" ref="F120:Q120" si="17">F110</f>
        <v>#N/A</v>
      </c>
      <c r="G120" s="1694">
        <f t="shared" si="17"/>
        <v>0</v>
      </c>
      <c r="H120" s="1694">
        <f t="shared" si="17"/>
        <v>1524499574079</v>
      </c>
      <c r="I120" s="1694">
        <f t="shared" si="17"/>
        <v>-591329917963</v>
      </c>
      <c r="J120" s="1694">
        <f t="shared" si="17"/>
        <v>0</v>
      </c>
      <c r="K120" s="1694">
        <f t="shared" si="17"/>
        <v>0</v>
      </c>
      <c r="L120" s="1694">
        <f t="shared" si="17"/>
        <v>0</v>
      </c>
      <c r="M120" s="1694">
        <f t="shared" si="17"/>
        <v>0</v>
      </c>
      <c r="N120" s="1694">
        <f t="shared" si="17"/>
        <v>-1582060020</v>
      </c>
      <c r="O120" s="1694">
        <f t="shared" si="17"/>
        <v>11263039315</v>
      </c>
      <c r="P120" s="1694">
        <f t="shared" si="17"/>
        <v>-70263526109</v>
      </c>
      <c r="Q120" s="1694">
        <f t="shared" si="17"/>
        <v>2436646779398</v>
      </c>
      <c r="T120" s="1708"/>
      <c r="U120" s="1708"/>
    </row>
    <row r="121" spans="1:21" ht="18" customHeight="1" x14ac:dyDescent="0.35">
      <c r="A121" s="1719"/>
      <c r="B121" s="3548" t="s">
        <v>190</v>
      </c>
      <c r="C121" s="2186">
        <v>1503002046</v>
      </c>
      <c r="D121" s="2187" t="s">
        <v>223</v>
      </c>
      <c r="E121" s="379">
        <v>1864017321</v>
      </c>
      <c r="F121" s="379"/>
      <c r="G121" s="379"/>
      <c r="H121" s="379"/>
      <c r="I121" s="82">
        <f>Q121-H121-N121-M121-E121-P121-J121-G121</f>
        <v>0</v>
      </c>
      <c r="J121" s="251"/>
      <c r="K121" s="250"/>
      <c r="L121" s="251"/>
      <c r="M121" s="615"/>
      <c r="N121" s="379"/>
      <c r="O121" s="379"/>
      <c r="P121" s="379"/>
      <c r="Q121" s="379">
        <v>1864017321</v>
      </c>
      <c r="T121" s="2116">
        <f t="shared" si="13"/>
        <v>1864017321</v>
      </c>
      <c r="U121" s="2116">
        <f t="shared" si="14"/>
        <v>0</v>
      </c>
    </row>
    <row r="122" spans="1:21" ht="18" customHeight="1" x14ac:dyDescent="0.35">
      <c r="A122" s="1719"/>
      <c r="B122" s="3548"/>
      <c r="C122" s="2099" t="s">
        <v>609</v>
      </c>
      <c r="D122" s="2069" t="s">
        <v>607</v>
      </c>
      <c r="E122" s="1694"/>
      <c r="F122" s="1694"/>
      <c r="G122" s="1694"/>
      <c r="H122" s="1694">
        <v>128840398</v>
      </c>
      <c r="I122" s="82">
        <f t="shared" ref="I122:I124" si="18">Q122-H122-N122-M122-E122-P122-J122-G122</f>
        <v>0</v>
      </c>
      <c r="J122" s="77"/>
      <c r="K122" s="76"/>
      <c r="L122" s="77"/>
      <c r="M122" s="407"/>
      <c r="N122" s="1694"/>
      <c r="O122" s="1694"/>
      <c r="P122" s="1694"/>
      <c r="Q122" s="1694">
        <v>128840398</v>
      </c>
      <c r="T122" s="2116">
        <f t="shared" si="13"/>
        <v>128840398</v>
      </c>
      <c r="U122" s="2116">
        <f t="shared" si="14"/>
        <v>0</v>
      </c>
    </row>
    <row r="123" spans="1:21" ht="18" customHeight="1" x14ac:dyDescent="0.35">
      <c r="A123" s="1719"/>
      <c r="B123" s="3548"/>
      <c r="C123" s="2188">
        <v>1307002010</v>
      </c>
      <c r="D123" s="2189" t="s">
        <v>224</v>
      </c>
      <c r="E123" s="1694">
        <v>27428270498</v>
      </c>
      <c r="F123" s="1694"/>
      <c r="G123" s="1694"/>
      <c r="H123" s="1694"/>
      <c r="I123" s="82">
        <f t="shared" si="18"/>
        <v>0</v>
      </c>
      <c r="J123" s="77"/>
      <c r="K123" s="76"/>
      <c r="L123" s="77"/>
      <c r="M123" s="407"/>
      <c r="N123" s="1694"/>
      <c r="O123" s="1694"/>
      <c r="P123" s="1694"/>
      <c r="Q123" s="1694">
        <v>27428270498</v>
      </c>
      <c r="T123" s="2116">
        <f t="shared" si="13"/>
        <v>27428270498</v>
      </c>
      <c r="U123" s="2116">
        <f t="shared" ref="U123:U135" si="19">Q123-T123</f>
        <v>0</v>
      </c>
    </row>
    <row r="124" spans="1:21" ht="18" customHeight="1" x14ac:dyDescent="0.35">
      <c r="A124" s="1719"/>
      <c r="B124" s="3548"/>
      <c r="C124" s="2190" t="s">
        <v>98</v>
      </c>
      <c r="D124" s="2002" t="s">
        <v>326</v>
      </c>
      <c r="E124" s="1694">
        <v>91750000</v>
      </c>
      <c r="F124" s="1694"/>
      <c r="G124" s="1694"/>
      <c r="H124" s="1694"/>
      <c r="I124" s="82">
        <f t="shared" si="18"/>
        <v>0</v>
      </c>
      <c r="J124" s="267"/>
      <c r="K124" s="76"/>
      <c r="L124" s="77"/>
      <c r="M124" s="407"/>
      <c r="N124" s="1694"/>
      <c r="O124" s="1694"/>
      <c r="P124" s="1694"/>
      <c r="Q124" s="1694">
        <v>91750000</v>
      </c>
      <c r="T124" s="2116">
        <f t="shared" si="13"/>
        <v>91750000</v>
      </c>
      <c r="U124" s="2116">
        <f t="shared" si="19"/>
        <v>0</v>
      </c>
    </row>
    <row r="125" spans="1:21" ht="18" customHeight="1" x14ac:dyDescent="0.35">
      <c r="A125" s="1719"/>
      <c r="B125" s="3548"/>
      <c r="C125" s="2191" t="s">
        <v>608</v>
      </c>
      <c r="D125" s="1993" t="s">
        <v>1145</v>
      </c>
      <c r="E125" s="1694">
        <v>1131690441950</v>
      </c>
      <c r="F125" s="1694"/>
      <c r="G125" s="1694"/>
      <c r="H125" s="1694">
        <v>9725805286</v>
      </c>
      <c r="I125" s="82">
        <f t="shared" ref="I125:I130" si="20">Q125-H125-N125-M125-E125-P125-J125-G125</f>
        <v>-57807630440</v>
      </c>
      <c r="J125" s="83"/>
      <c r="K125" s="265"/>
      <c r="L125" s="410"/>
      <c r="M125" s="419"/>
      <c r="N125" s="1694"/>
      <c r="O125" s="1694"/>
      <c r="P125" s="1694"/>
      <c r="Q125" s="1694">
        <f>1131690441950-48081825154</f>
        <v>1083608616796</v>
      </c>
      <c r="T125" s="2116">
        <f t="shared" si="13"/>
        <v>1083608616796</v>
      </c>
      <c r="U125" s="2116">
        <f t="shared" si="19"/>
        <v>0</v>
      </c>
    </row>
    <row r="126" spans="1:21" ht="18" customHeight="1" x14ac:dyDescent="0.35">
      <c r="A126" s="1719"/>
      <c r="B126" s="3548"/>
      <c r="C126" s="2192" t="s">
        <v>624</v>
      </c>
      <c r="D126" s="1993" t="s">
        <v>600</v>
      </c>
      <c r="E126" s="379">
        <v>2091239305</v>
      </c>
      <c r="F126" s="379"/>
      <c r="G126" s="379"/>
      <c r="H126" s="1698"/>
      <c r="I126" s="82">
        <f>Q126-H126-N126-M126-E126-P126-J126-G126</f>
        <v>-2091239305</v>
      </c>
      <c r="J126" s="1694"/>
      <c r="K126" s="1694"/>
      <c r="L126" s="1694"/>
      <c r="M126" s="2193"/>
      <c r="N126" s="1771"/>
      <c r="O126" s="1771"/>
      <c r="P126" s="1694"/>
      <c r="Q126" s="1771">
        <v>0</v>
      </c>
      <c r="T126" s="2116">
        <f t="shared" si="13"/>
        <v>0</v>
      </c>
      <c r="U126" s="2116">
        <f t="shared" si="19"/>
        <v>0</v>
      </c>
    </row>
    <row r="127" spans="1:21" ht="18" customHeight="1" x14ac:dyDescent="0.35">
      <c r="A127" s="1719"/>
      <c r="B127" s="3548"/>
      <c r="C127" s="2192" t="s">
        <v>610</v>
      </c>
      <c r="D127" s="1993" t="s">
        <v>596</v>
      </c>
      <c r="E127" s="379">
        <v>509405407</v>
      </c>
      <c r="F127" s="379"/>
      <c r="G127" s="379"/>
      <c r="H127" s="1698"/>
      <c r="I127" s="82">
        <f t="shared" si="20"/>
        <v>0</v>
      </c>
      <c r="J127" s="1694"/>
      <c r="K127" s="1694"/>
      <c r="L127" s="1694"/>
      <c r="M127" s="2193"/>
      <c r="N127" s="1771"/>
      <c r="O127" s="1771"/>
      <c r="P127" s="1694"/>
      <c r="Q127" s="1771">
        <v>509405407</v>
      </c>
      <c r="T127" s="2116">
        <f t="shared" si="13"/>
        <v>509405407</v>
      </c>
      <c r="U127" s="2116">
        <f t="shared" si="19"/>
        <v>0</v>
      </c>
    </row>
    <row r="128" spans="1:21" ht="19.149999999999999" customHeight="1" x14ac:dyDescent="0.35">
      <c r="A128" s="1719"/>
      <c r="B128" s="3548"/>
      <c r="C128" s="2192" t="s">
        <v>1083</v>
      </c>
      <c r="D128" s="2171" t="s">
        <v>1082</v>
      </c>
      <c r="E128" s="379">
        <v>3855664329</v>
      </c>
      <c r="F128" s="379"/>
      <c r="G128" s="379"/>
      <c r="H128" s="1698">
        <v>3545016989</v>
      </c>
      <c r="I128" s="82">
        <f>Q128-H128-N128-M128-E128-P128-J128-G128</f>
        <v>-3545016989</v>
      </c>
      <c r="J128" s="1694"/>
      <c r="K128" s="1694"/>
      <c r="L128" s="1694"/>
      <c r="M128" s="2193"/>
      <c r="N128" s="1771"/>
      <c r="O128" s="1771"/>
      <c r="P128" s="1694"/>
      <c r="Q128" s="1771">
        <v>3855664329</v>
      </c>
      <c r="T128" s="2116">
        <f>E128+H128+I128+J128+G128+N128+O128+P128</f>
        <v>3855664329</v>
      </c>
      <c r="U128" s="2116">
        <f t="shared" si="19"/>
        <v>0</v>
      </c>
    </row>
    <row r="129" spans="1:21" ht="0.6" hidden="1" customHeight="1" x14ac:dyDescent="0.4">
      <c r="A129" s="1719"/>
      <c r="B129" s="3548"/>
      <c r="C129" s="2192" t="s">
        <v>622</v>
      </c>
      <c r="D129" s="2194" t="s">
        <v>620</v>
      </c>
      <c r="E129" s="1694"/>
      <c r="F129" s="1694"/>
      <c r="G129" s="1694"/>
      <c r="H129" s="1697"/>
      <c r="I129" s="82">
        <f t="shared" si="20"/>
        <v>0</v>
      </c>
      <c r="J129" s="1694"/>
      <c r="K129" s="1694"/>
      <c r="L129" s="1694"/>
      <c r="M129" s="2193"/>
      <c r="N129" s="1771"/>
      <c r="O129" s="1771"/>
      <c r="P129" s="1694"/>
      <c r="Q129" s="1771"/>
      <c r="T129" s="2116">
        <f t="shared" si="13"/>
        <v>0</v>
      </c>
      <c r="U129" s="2116">
        <f t="shared" si="19"/>
        <v>0</v>
      </c>
    </row>
    <row r="130" spans="1:21" ht="19.149999999999999" customHeight="1" x14ac:dyDescent="0.35">
      <c r="A130" s="1719"/>
      <c r="B130" s="3548"/>
      <c r="C130" s="2129">
        <v>1307002080</v>
      </c>
      <c r="D130" s="2130" t="s">
        <v>323</v>
      </c>
      <c r="E130" s="1694">
        <v>413899928105</v>
      </c>
      <c r="F130" s="1694"/>
      <c r="G130" s="1694"/>
      <c r="H130" s="1697"/>
      <c r="I130" s="82">
        <f t="shared" si="20"/>
        <v>-137515824774</v>
      </c>
      <c r="J130" s="1694"/>
      <c r="K130" s="1694"/>
      <c r="L130" s="1694"/>
      <c r="M130" s="1771"/>
      <c r="N130" s="1771"/>
      <c r="O130" s="1771"/>
      <c r="P130" s="1694"/>
      <c r="Q130" s="1771">
        <f>413899928105-137515824774</f>
        <v>276384103331</v>
      </c>
      <c r="T130" s="2116">
        <f t="shared" si="13"/>
        <v>276384103331</v>
      </c>
      <c r="U130" s="2116">
        <f t="shared" si="19"/>
        <v>0</v>
      </c>
    </row>
    <row r="131" spans="1:21" ht="17.45" customHeight="1" x14ac:dyDescent="0.35">
      <c r="A131" s="1719"/>
      <c r="B131" s="3548"/>
      <c r="C131" s="3578" t="s">
        <v>222</v>
      </c>
      <c r="D131" s="3581"/>
      <c r="E131" s="1771">
        <f>SUM(E121:E130)</f>
        <v>1581430716915</v>
      </c>
      <c r="F131" s="1771" t="e">
        <f ca="1">SUM(F121:F151)</f>
        <v>#N/A</v>
      </c>
      <c r="G131" s="1771">
        <f>SUM(G121:G126)</f>
        <v>0</v>
      </c>
      <c r="H131" s="1697">
        <f>SUM(H121:H130)</f>
        <v>13399662673</v>
      </c>
      <c r="I131" s="82">
        <f>I121+I123+I124+I125+I126+I129+I130+I128</f>
        <v>-200959711508</v>
      </c>
      <c r="J131" s="1697">
        <f>SUM(J121:J129)</f>
        <v>0</v>
      </c>
      <c r="K131" s="3582">
        <v>0</v>
      </c>
      <c r="L131" s="3582"/>
      <c r="M131" s="1694">
        <f ca="1">SUM(M121:M151)</f>
        <v>0</v>
      </c>
      <c r="N131" s="1694">
        <f>SUM(N121:N124)</f>
        <v>0</v>
      </c>
      <c r="O131" s="1694"/>
      <c r="P131" s="1771">
        <f>SUM(P121:P126)</f>
        <v>0</v>
      </c>
      <c r="Q131" s="1694">
        <f>SUM(Q121:Q130)</f>
        <v>1393870668080</v>
      </c>
      <c r="T131" s="2116">
        <f>E131+H131+I131+J131+G131+N131+O131+P131</f>
        <v>1393870668080</v>
      </c>
      <c r="U131" s="2116">
        <f>Q131-T131</f>
        <v>0</v>
      </c>
    </row>
    <row r="132" spans="1:21" ht="17.45" customHeight="1" thickBot="1" x14ac:dyDescent="0.4">
      <c r="A132" s="1719"/>
      <c r="B132" s="3584" t="s">
        <v>195</v>
      </c>
      <c r="C132" s="3585"/>
      <c r="D132" s="3585"/>
      <c r="E132" s="2195">
        <f>E110+E131</f>
        <v>3145490387011</v>
      </c>
      <c r="F132" s="2195" t="e">
        <f>#N/A</f>
        <v>#N/A</v>
      </c>
      <c r="G132" s="2195" t="s">
        <v>30</v>
      </c>
      <c r="H132" s="2195">
        <f>H131+H110-1000000</f>
        <v>1537898236752</v>
      </c>
      <c r="I132" s="2195">
        <f>I131+I110</f>
        <v>-792289629471</v>
      </c>
      <c r="J132" s="2195">
        <f>J131+J110</f>
        <v>0</v>
      </c>
      <c r="K132" s="3583"/>
      <c r="L132" s="3583"/>
      <c r="M132" s="380"/>
      <c r="N132" s="380">
        <f>N110</f>
        <v>-1582060020</v>
      </c>
      <c r="O132" s="380">
        <f>O110</f>
        <v>11263039315</v>
      </c>
      <c r="P132" s="2195">
        <f>P131+P110</f>
        <v>-70263526109</v>
      </c>
      <c r="Q132" s="2196">
        <f>Q131+Q110</f>
        <v>3830517447478</v>
      </c>
      <c r="T132" s="2116">
        <f>E132+H132+I132+N132+O132+P132</f>
        <v>3830516447478</v>
      </c>
      <c r="U132" s="2116">
        <f>Q132-T132</f>
        <v>1000000</v>
      </c>
    </row>
    <row r="133" spans="1:21" ht="15" customHeight="1" thickTop="1" x14ac:dyDescent="0.35">
      <c r="A133" s="1719"/>
      <c r="B133" s="2197"/>
      <c r="C133" s="2197"/>
      <c r="D133" s="2198"/>
      <c r="E133" s="2140"/>
      <c r="F133" s="2140"/>
      <c r="G133" s="2140"/>
      <c r="H133" s="2140" t="s">
        <v>1117</v>
      </c>
      <c r="I133" s="2140" t="s">
        <v>305</v>
      </c>
      <c r="J133" s="2140" t="s">
        <v>380</v>
      </c>
      <c r="K133" s="2140"/>
      <c r="L133" s="2140"/>
      <c r="M133" s="2140"/>
      <c r="N133" s="2140" t="s">
        <v>1011</v>
      </c>
      <c r="O133" s="2140" t="s">
        <v>1139</v>
      </c>
      <c r="P133" s="2140" t="s">
        <v>1889</v>
      </c>
      <c r="Q133" s="2140"/>
      <c r="R133" s="2199"/>
      <c r="S133" s="2199"/>
      <c r="T133" s="2116">
        <f>T131-Q131</f>
        <v>0</v>
      </c>
      <c r="U133" s="2116"/>
    </row>
    <row r="134" spans="1:21" ht="13.9" customHeight="1" x14ac:dyDescent="0.35">
      <c r="A134" s="1719"/>
      <c r="B134" s="2197"/>
      <c r="C134" s="2197"/>
      <c r="D134" s="2198"/>
      <c r="E134" s="2140"/>
      <c r="F134" s="2140"/>
      <c r="G134" s="2140"/>
      <c r="H134" s="2140"/>
      <c r="I134" s="2140"/>
      <c r="J134" s="2140"/>
      <c r="K134" s="2140"/>
      <c r="L134" s="2140"/>
      <c r="M134" s="2140"/>
      <c r="N134" s="2140"/>
      <c r="O134" s="2140"/>
      <c r="P134" s="2140"/>
      <c r="Q134" s="2140"/>
      <c r="R134" s="2199"/>
      <c r="S134" s="2199"/>
      <c r="T134" s="2116"/>
      <c r="U134" s="2116"/>
    </row>
    <row r="135" spans="1:21" s="2200" customFormat="1" ht="22.15" customHeight="1" x14ac:dyDescent="0.4">
      <c r="A135" s="1724"/>
      <c r="B135" s="3590" t="s">
        <v>2224</v>
      </c>
      <c r="C135" s="3590"/>
      <c r="D135" s="3590"/>
      <c r="E135" s="3590"/>
      <c r="F135" s="3590"/>
      <c r="G135" s="3590"/>
      <c r="H135" s="3590"/>
      <c r="I135" s="3590"/>
      <c r="J135" s="3590"/>
      <c r="K135" s="3590"/>
      <c r="L135" s="3590"/>
      <c r="M135" s="3590"/>
      <c r="N135" s="3590"/>
      <c r="O135" s="3590"/>
      <c r="P135" s="3590"/>
      <c r="Q135" s="3590"/>
      <c r="U135" s="2116">
        <f t="shared" si="19"/>
        <v>0</v>
      </c>
    </row>
    <row r="136" spans="1:21" s="2200" customFormat="1" ht="3" hidden="1" customHeight="1" x14ac:dyDescent="0.4">
      <c r="A136" s="1724"/>
      <c r="B136" s="1719"/>
      <c r="C136" s="1719"/>
      <c r="D136" s="1719"/>
      <c r="E136" s="1719"/>
      <c r="F136" s="1719"/>
      <c r="G136" s="1719"/>
      <c r="H136" s="1719"/>
      <c r="I136" s="1719"/>
      <c r="J136" s="1719"/>
      <c r="K136" s="1719"/>
      <c r="L136" s="1719"/>
      <c r="M136" s="1719"/>
      <c r="N136" s="1719"/>
      <c r="O136" s="1719"/>
      <c r="P136" s="1719"/>
      <c r="Q136" s="1719"/>
    </row>
    <row r="137" spans="1:21" s="2200" customFormat="1" ht="19.899999999999999" hidden="1" customHeight="1" x14ac:dyDescent="0.4">
      <c r="A137" s="1724"/>
      <c r="B137" s="3590" t="s">
        <v>1792</v>
      </c>
      <c r="C137" s="3590"/>
      <c r="D137" s="3590"/>
      <c r="E137" s="3590"/>
      <c r="F137" s="3590"/>
      <c r="G137" s="3590"/>
      <c r="H137" s="3590"/>
      <c r="I137" s="3590"/>
      <c r="J137" s="3590"/>
      <c r="K137" s="3590"/>
      <c r="L137" s="3590"/>
      <c r="M137" s="3590"/>
      <c r="N137" s="3590"/>
      <c r="O137" s="3590"/>
      <c r="P137" s="3590"/>
      <c r="Q137" s="3590"/>
    </row>
    <row r="138" spans="1:21" s="2200" customFormat="1" ht="13.9" customHeight="1" x14ac:dyDescent="0.4">
      <c r="A138" s="1724"/>
      <c r="B138" s="2201"/>
      <c r="C138" s="2201"/>
      <c r="D138" s="2201"/>
      <c r="E138" s="2201"/>
      <c r="F138" s="2201"/>
      <c r="G138" s="2201"/>
      <c r="H138" s="2201"/>
      <c r="I138" s="2201"/>
      <c r="J138" s="2201"/>
      <c r="K138" s="2201"/>
      <c r="L138" s="2201"/>
      <c r="M138" s="2201"/>
      <c r="N138" s="2201"/>
      <c r="O138" s="2201"/>
      <c r="P138" s="2201"/>
      <c r="Q138" s="2201"/>
    </row>
    <row r="139" spans="1:21" s="2200" customFormat="1" ht="13.9" customHeight="1" x14ac:dyDescent="0.4">
      <c r="A139" s="1724"/>
      <c r="B139" s="2201"/>
      <c r="C139" s="2201"/>
      <c r="D139" s="2201"/>
      <c r="E139" s="2201"/>
      <c r="F139" s="2201"/>
      <c r="G139" s="2201"/>
      <c r="H139" s="2201"/>
      <c r="I139" s="2201"/>
      <c r="J139" s="2201"/>
      <c r="K139" s="2201"/>
      <c r="L139" s="2201"/>
      <c r="M139" s="2201"/>
      <c r="N139" s="2201"/>
      <c r="O139" s="2201"/>
      <c r="P139" s="2201"/>
      <c r="Q139" s="2201"/>
    </row>
    <row r="140" spans="1:21" s="2200" customFormat="1" ht="13.9" customHeight="1" x14ac:dyDescent="0.4">
      <c r="A140" s="1724"/>
      <c r="B140" s="2201"/>
      <c r="C140" s="2201"/>
      <c r="D140" s="2201"/>
      <c r="E140" s="2201"/>
      <c r="F140" s="2201"/>
      <c r="G140" s="2201"/>
      <c r="H140" s="2201"/>
      <c r="I140" s="2201"/>
      <c r="J140" s="2201"/>
      <c r="K140" s="2201"/>
      <c r="L140" s="2201"/>
      <c r="M140" s="2201"/>
      <c r="N140" s="2201"/>
      <c r="O140" s="2201"/>
      <c r="P140" s="2201"/>
      <c r="Q140" s="2201"/>
    </row>
    <row r="141" spans="1:21" s="2200" customFormat="1" ht="13.9" customHeight="1" x14ac:dyDescent="0.4">
      <c r="A141" s="1724"/>
      <c r="B141" s="2201"/>
      <c r="C141" s="2201"/>
      <c r="D141" s="2201"/>
      <c r="E141" s="2201"/>
      <c r="F141" s="2201"/>
      <c r="G141" s="2201"/>
      <c r="H141" s="2201"/>
      <c r="I141" s="2201"/>
      <c r="J141" s="2201"/>
      <c r="K141" s="2201"/>
      <c r="L141" s="2201"/>
      <c r="M141" s="2201"/>
      <c r="N141" s="2201"/>
      <c r="O141" s="2201"/>
      <c r="P141" s="2201"/>
      <c r="Q141" s="2201"/>
    </row>
    <row r="142" spans="1:21" s="2200" customFormat="1" ht="13.9" customHeight="1" x14ac:dyDescent="0.4">
      <c r="A142" s="1724"/>
      <c r="B142" s="2201"/>
      <c r="C142" s="2201"/>
      <c r="D142" s="2201"/>
      <c r="E142" s="2201"/>
      <c r="F142" s="2201"/>
      <c r="G142" s="2201"/>
      <c r="H142" s="2201"/>
      <c r="I142" s="2201"/>
      <c r="J142" s="2201"/>
      <c r="K142" s="2201"/>
      <c r="L142" s="2201"/>
      <c r="M142" s="2201"/>
      <c r="N142" s="2201"/>
      <c r="O142" s="2201"/>
      <c r="P142" s="2201"/>
      <c r="Q142" s="2201"/>
    </row>
    <row r="143" spans="1:21" s="2200" customFormat="1" ht="13.9" customHeight="1" x14ac:dyDescent="0.4">
      <c r="A143" s="1724"/>
      <c r="B143" s="2201"/>
      <c r="C143" s="2201"/>
      <c r="D143" s="2201"/>
      <c r="E143" s="2201"/>
      <c r="F143" s="2201"/>
      <c r="G143" s="2201"/>
      <c r="H143" s="2201"/>
      <c r="I143" s="2201"/>
      <c r="J143" s="2201"/>
      <c r="K143" s="2201"/>
      <c r="L143" s="2201"/>
      <c r="M143" s="2201"/>
      <c r="N143" s="2201"/>
      <c r="O143" s="2201"/>
      <c r="P143" s="2201"/>
      <c r="Q143" s="2201"/>
    </row>
    <row r="144" spans="1:21" s="2200" customFormat="1" ht="13.9" customHeight="1" x14ac:dyDescent="0.4">
      <c r="A144" s="1724"/>
      <c r="B144" s="2201"/>
      <c r="C144" s="2201"/>
      <c r="D144" s="2201"/>
      <c r="E144" s="2201"/>
      <c r="F144" s="2201"/>
      <c r="G144" s="2201"/>
      <c r="H144" s="2201"/>
      <c r="I144" s="2201"/>
      <c r="J144" s="2201"/>
      <c r="K144" s="2201"/>
      <c r="L144" s="2201"/>
      <c r="M144" s="2201"/>
      <c r="N144" s="2201"/>
      <c r="O144" s="2201"/>
      <c r="P144" s="2201"/>
      <c r="Q144" s="2201"/>
    </row>
    <row r="145" spans="1:21" s="2200" customFormat="1" ht="13.9" customHeight="1" x14ac:dyDescent="0.4">
      <c r="A145" s="1724"/>
      <c r="B145" s="2201"/>
      <c r="C145" s="2201"/>
      <c r="D145" s="2201"/>
      <c r="E145" s="2201"/>
      <c r="F145" s="2201"/>
      <c r="G145" s="2201"/>
      <c r="H145" s="2201"/>
      <c r="I145" s="2201"/>
      <c r="J145" s="2201"/>
      <c r="K145" s="2201"/>
      <c r="L145" s="2201"/>
      <c r="M145" s="2201"/>
      <c r="N145" s="2201"/>
      <c r="O145" s="2201"/>
      <c r="P145" s="2201"/>
      <c r="Q145" s="2201"/>
    </row>
    <row r="146" spans="1:21" s="2200" customFormat="1" ht="13.9" customHeight="1" x14ac:dyDescent="0.4">
      <c r="A146" s="1724"/>
      <c r="B146" s="2201"/>
      <c r="C146" s="2201"/>
      <c r="D146" s="2201"/>
      <c r="E146" s="2201"/>
      <c r="F146" s="2201"/>
      <c r="G146" s="2201"/>
      <c r="H146" s="2201"/>
      <c r="I146" s="2201"/>
      <c r="J146" s="2201"/>
      <c r="K146" s="2201"/>
      <c r="L146" s="2201"/>
      <c r="M146" s="2201"/>
      <c r="N146" s="2201"/>
      <c r="O146" s="2201"/>
      <c r="P146" s="2201"/>
      <c r="Q146" s="2201"/>
    </row>
    <row r="147" spans="1:21" s="2200" customFormat="1" ht="13.9" customHeight="1" x14ac:dyDescent="0.4">
      <c r="A147" s="1724"/>
      <c r="B147" s="2201"/>
      <c r="C147" s="2201"/>
      <c r="D147" s="2201"/>
      <c r="E147" s="2201"/>
      <c r="F147" s="2201"/>
      <c r="G147" s="2201"/>
      <c r="H147" s="2201"/>
      <c r="I147" s="2201"/>
      <c r="J147" s="2201"/>
      <c r="K147" s="2201"/>
      <c r="L147" s="2201"/>
      <c r="M147" s="2201"/>
      <c r="N147" s="2201"/>
      <c r="O147" s="2201"/>
      <c r="P147" s="2201"/>
      <c r="Q147" s="2201"/>
    </row>
    <row r="148" spans="1:21" s="2200" customFormat="1" ht="13.9" customHeight="1" x14ac:dyDescent="0.4">
      <c r="A148" s="1724"/>
      <c r="B148" s="2201"/>
      <c r="C148" s="2201"/>
      <c r="D148" s="2201"/>
      <c r="E148" s="2201"/>
      <c r="F148" s="2201"/>
      <c r="G148" s="2201"/>
      <c r="H148" s="2201"/>
      <c r="I148" s="2201"/>
      <c r="J148" s="2201"/>
      <c r="K148" s="2201"/>
      <c r="L148" s="2201"/>
      <c r="M148" s="2201"/>
      <c r="N148" s="2201"/>
      <c r="O148" s="2201"/>
      <c r="P148" s="2201"/>
      <c r="Q148" s="2201"/>
    </row>
    <row r="149" spans="1:21" s="2200" customFormat="1" ht="13.9" customHeight="1" x14ac:dyDescent="0.4">
      <c r="A149" s="1724"/>
      <c r="B149" s="2201"/>
      <c r="C149" s="2201"/>
      <c r="D149" s="2201"/>
      <c r="E149" s="2201"/>
      <c r="F149" s="2201"/>
      <c r="G149" s="2201"/>
      <c r="H149" s="2201"/>
      <c r="I149" s="2201"/>
      <c r="J149" s="2201"/>
      <c r="K149" s="2201"/>
      <c r="L149" s="2201"/>
      <c r="M149" s="2201"/>
      <c r="N149" s="2201"/>
      <c r="O149" s="2201"/>
      <c r="P149" s="2201"/>
      <c r="Q149" s="2201"/>
    </row>
    <row r="150" spans="1:21" s="2200" customFormat="1" ht="9.6" customHeight="1" x14ac:dyDescent="0.4">
      <c r="A150" s="1724"/>
      <c r="B150" s="2201"/>
      <c r="C150" s="2201"/>
      <c r="D150" s="2201"/>
      <c r="E150" s="2201"/>
      <c r="F150" s="2201"/>
      <c r="G150" s="2201"/>
      <c r="H150" s="2201"/>
      <c r="I150" s="2201"/>
      <c r="J150" s="2201"/>
      <c r="K150" s="2201"/>
      <c r="L150" s="2201"/>
      <c r="M150" s="2201"/>
      <c r="N150" s="2201"/>
      <c r="O150" s="2201"/>
      <c r="P150" s="2201"/>
      <c r="Q150" s="2201"/>
    </row>
    <row r="151" spans="1:21" ht="9.6" customHeight="1" x14ac:dyDescent="0.35">
      <c r="A151" s="3580" t="s">
        <v>150</v>
      </c>
      <c r="B151" s="3580"/>
      <c r="C151" s="3580"/>
      <c r="D151" s="3580"/>
      <c r="E151" s="3580"/>
      <c r="F151" s="3580"/>
      <c r="G151" s="3580"/>
      <c r="H151" s="3580"/>
      <c r="I151" s="3580"/>
      <c r="J151" s="3580"/>
      <c r="K151" s="3580"/>
      <c r="L151" s="3580"/>
      <c r="M151" s="3580"/>
      <c r="N151" s="3580"/>
      <c r="O151" s="3580"/>
      <c r="P151" s="3580"/>
      <c r="Q151" s="3580"/>
    </row>
    <row r="152" spans="1:21" x14ac:dyDescent="0.35">
      <c r="P152" s="447">
        <v>261378186706</v>
      </c>
      <c r="Q152" s="447">
        <v>4091895734184</v>
      </c>
      <c r="U152" s="2116">
        <f>E132+H132+I132+J132+N132+O132+P132</f>
        <v>3830516447478</v>
      </c>
    </row>
    <row r="153" spans="1:21" x14ac:dyDescent="0.35">
      <c r="N153" s="2116"/>
      <c r="O153" s="2116"/>
      <c r="P153" s="447"/>
      <c r="Q153" s="447">
        <v>3830517547478</v>
      </c>
    </row>
    <row r="154" spans="1:21" x14ac:dyDescent="0.35">
      <c r="H154" s="2116"/>
      <c r="I154" s="2116"/>
      <c r="N154" s="2116"/>
      <c r="O154" s="2116"/>
      <c r="Q154" s="2116">
        <f>Q153-Q132</f>
        <v>100000</v>
      </c>
    </row>
    <row r="155" spans="1:21" x14ac:dyDescent="0.35">
      <c r="D155" s="2202"/>
      <c r="E155" s="2116"/>
      <c r="H155" s="2116"/>
      <c r="I155" s="2116"/>
      <c r="P155" s="2116"/>
      <c r="Q155" s="2116"/>
    </row>
    <row r="156" spans="1:21" x14ac:dyDescent="0.35">
      <c r="D156" s="2202"/>
      <c r="P156" s="2116"/>
      <c r="Q156" s="446"/>
    </row>
    <row r="157" spans="1:21" x14ac:dyDescent="0.35">
      <c r="D157" s="2202"/>
      <c r="E157" s="2116"/>
      <c r="H157" s="2116"/>
      <c r="I157" s="446"/>
      <c r="N157" s="2116"/>
      <c r="Q157" s="446"/>
    </row>
    <row r="158" spans="1:21" x14ac:dyDescent="0.35">
      <c r="I158" s="446"/>
      <c r="K158" s="1526">
        <v>0</v>
      </c>
      <c r="L158" s="1526">
        <v>47606860899</v>
      </c>
      <c r="Q158" s="446"/>
    </row>
    <row r="159" spans="1:21" x14ac:dyDescent="0.35">
      <c r="E159" s="2116"/>
      <c r="I159" s="446"/>
    </row>
    <row r="160" spans="1:21" ht="18" x14ac:dyDescent="0.35">
      <c r="I160" s="618"/>
      <c r="Q160" s="2116"/>
    </row>
    <row r="161" spans="4:9" x14ac:dyDescent="0.35">
      <c r="I161" s="2119"/>
    </row>
    <row r="162" spans="4:9" x14ac:dyDescent="0.35">
      <c r="D162" s="447"/>
    </row>
    <row r="163" spans="4:9" x14ac:dyDescent="0.35">
      <c r="D163" s="447"/>
    </row>
    <row r="164" spans="4:9" x14ac:dyDescent="0.35">
      <c r="D164" s="447"/>
    </row>
    <row r="165" spans="4:9" x14ac:dyDescent="0.35">
      <c r="D165" s="2203"/>
    </row>
    <row r="169" spans="4:9" x14ac:dyDescent="0.35">
      <c r="D169" s="447">
        <v>24600033101</v>
      </c>
      <c r="E169" s="1526">
        <v>0</v>
      </c>
      <c r="F169" s="1526">
        <v>0</v>
      </c>
      <c r="G169" s="1526">
        <v>24600033101</v>
      </c>
    </row>
    <row r="170" spans="4:9" ht="18" x14ac:dyDescent="0.35">
      <c r="D170" s="381"/>
    </row>
    <row r="171" spans="4:9" ht="18.75" thickBot="1" x14ac:dyDescent="0.4">
      <c r="D171" s="403">
        <f>H132</f>
        <v>1537898236752</v>
      </c>
    </row>
    <row r="172" spans="4:9" ht="15.75" thickTop="1" x14ac:dyDescent="0.35">
      <c r="D172" s="2203">
        <f>SUM(D169:D171)</f>
        <v>1562498269853</v>
      </c>
    </row>
  </sheetData>
  <mergeCells count="87">
    <mergeCell ref="A151:Q151"/>
    <mergeCell ref="C110:D110"/>
    <mergeCell ref="C131:D131"/>
    <mergeCell ref="K131:L131"/>
    <mergeCell ref="K132:L132"/>
    <mergeCell ref="B132:D132"/>
    <mergeCell ref="B78:B110"/>
    <mergeCell ref="C78:D78"/>
    <mergeCell ref="K78:L78"/>
    <mergeCell ref="B137:Q137"/>
    <mergeCell ref="B135:Q135"/>
    <mergeCell ref="B112:Q112"/>
    <mergeCell ref="B113:Q113"/>
    <mergeCell ref="B114:Q114"/>
    <mergeCell ref="B115:Q115"/>
    <mergeCell ref="B111:Q111"/>
    <mergeCell ref="B76:B77"/>
    <mergeCell ref="B70:Q70"/>
    <mergeCell ref="B73:Q73"/>
    <mergeCell ref="B71:Q71"/>
    <mergeCell ref="Q40:Q41"/>
    <mergeCell ref="I40:N40"/>
    <mergeCell ref="D40:D41"/>
    <mergeCell ref="C68:D68"/>
    <mergeCell ref="B72:Q72"/>
    <mergeCell ref="C42:D42"/>
    <mergeCell ref="P40:P41"/>
    <mergeCell ref="O76:O77"/>
    <mergeCell ref="D76:D77"/>
    <mergeCell ref="E76:E77"/>
    <mergeCell ref="C76:C77"/>
    <mergeCell ref="H76:H77"/>
    <mergeCell ref="Q76:Q77"/>
    <mergeCell ref="I76:N76"/>
    <mergeCell ref="P75:Q75"/>
    <mergeCell ref="G76:G77"/>
    <mergeCell ref="P76:P77"/>
    <mergeCell ref="B42:B68"/>
    <mergeCell ref="K42:L42"/>
    <mergeCell ref="O40:O41"/>
    <mergeCell ref="B74:Q74"/>
    <mergeCell ref="B75:D75"/>
    <mergeCell ref="H40:H41"/>
    <mergeCell ref="A1:P1"/>
    <mergeCell ref="A2:P2"/>
    <mergeCell ref="A3:P3"/>
    <mergeCell ref="A4:P4"/>
    <mergeCell ref="B6:H6"/>
    <mergeCell ref="P6:Q6"/>
    <mergeCell ref="B35:Q35"/>
    <mergeCell ref="B37:Q37"/>
    <mergeCell ref="C40:C41"/>
    <mergeCell ref="B36:Q36"/>
    <mergeCell ref="G40:G41"/>
    <mergeCell ref="P38:Q38"/>
    <mergeCell ref="B38:D38"/>
    <mergeCell ref="B40:B41"/>
    <mergeCell ref="E40:E41"/>
    <mergeCell ref="D7:D8"/>
    <mergeCell ref="B34:Q34"/>
    <mergeCell ref="Q7:Q8"/>
    <mergeCell ref="K19:L19"/>
    <mergeCell ref="E7:E8"/>
    <mergeCell ref="P7:P8"/>
    <mergeCell ref="C7:C8"/>
    <mergeCell ref="O7:O8"/>
    <mergeCell ref="I7:N7"/>
    <mergeCell ref="C30:D30"/>
    <mergeCell ref="B7:B8"/>
    <mergeCell ref="B9:B30"/>
    <mergeCell ref="H7:H8"/>
    <mergeCell ref="G7:G8"/>
    <mergeCell ref="B33:Q33"/>
    <mergeCell ref="B120:D120"/>
    <mergeCell ref="B121:B131"/>
    <mergeCell ref="B117:D117"/>
    <mergeCell ref="P117:Q117"/>
    <mergeCell ref="B118:B119"/>
    <mergeCell ref="C118:C119"/>
    <mergeCell ref="D118:D119"/>
    <mergeCell ref="E118:E119"/>
    <mergeCell ref="G118:G119"/>
    <mergeCell ref="H118:H119"/>
    <mergeCell ref="I118:N118"/>
    <mergeCell ref="O118:O119"/>
    <mergeCell ref="P118:P119"/>
    <mergeCell ref="Q118:Q119"/>
  </mergeCells>
  <phoneticPr fontId="123" type="noConversion"/>
  <printOptions horizontalCentered="1"/>
  <pageMargins left="7.8740157480315001E-2" right="7.8740157480315001E-2" top="0.59055118110236204" bottom="0" header="0" footer="0"/>
  <pageSetup scale="89" orientation="landscape" r:id="rId1"/>
  <rowBreaks count="3" manualBreakCount="3">
    <brk id="33" max="16383" man="1"/>
    <brk id="70" max="16383" man="1"/>
    <brk id="111" max="1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2060"/>
  </sheetPr>
  <dimension ref="C1:AR230"/>
  <sheetViews>
    <sheetView rightToLeft="1" view="pageBreakPreview" zoomScale="96" zoomScaleNormal="94" zoomScaleSheetLayoutView="96" workbookViewId="0">
      <selection activeCell="C71" sqref="C71"/>
    </sheetView>
  </sheetViews>
  <sheetFormatPr defaultColWidth="9.140625" defaultRowHeight="15" x14ac:dyDescent="0.2"/>
  <cols>
    <col min="1" max="1" width="4.140625" style="705" customWidth="1"/>
    <col min="2" max="2" width="1" style="705" customWidth="1"/>
    <col min="3" max="3" width="3.5703125" style="705" customWidth="1"/>
    <col min="4" max="4" width="7.5703125" style="178" customWidth="1"/>
    <col min="5" max="5" width="14.7109375" style="705" customWidth="1"/>
    <col min="6" max="6" width="8.7109375" style="714" customWidth="1"/>
    <col min="7" max="7" width="30.140625" style="715" customWidth="1"/>
    <col min="8" max="8" width="18.7109375" style="714" customWidth="1"/>
    <col min="9" max="9" width="17.140625" style="1345" customWidth="1"/>
    <col min="10" max="10" width="1.140625" style="705" customWidth="1"/>
    <col min="11" max="11" width="1.7109375" style="705" customWidth="1"/>
    <col min="12" max="12" width="11.28515625" style="705" customWidth="1"/>
    <col min="13" max="17" width="11.28515625" style="705" hidden="1" customWidth="1"/>
    <col min="18" max="18" width="11.28515625" style="706" hidden="1" customWidth="1"/>
    <col min="19" max="26" width="11.28515625" style="705" hidden="1" customWidth="1"/>
    <col min="27" max="33" width="0" style="705" hidden="1" customWidth="1"/>
    <col min="34" max="16384" width="9.140625" style="705"/>
  </cols>
  <sheetData>
    <row r="1" spans="3:18" ht="14.45" customHeight="1" x14ac:dyDescent="0.2">
      <c r="F1" s="3622" t="s">
        <v>24</v>
      </c>
      <c r="G1" s="3622"/>
      <c r="H1" s="3622"/>
      <c r="I1" s="3622"/>
    </row>
    <row r="2" spans="3:18" ht="14.45" customHeight="1" x14ac:dyDescent="0.2">
      <c r="F2" s="3622" t="s">
        <v>45</v>
      </c>
      <c r="G2" s="3622"/>
      <c r="H2" s="3622"/>
      <c r="I2" s="3622"/>
    </row>
    <row r="3" spans="3:18" ht="14.45" customHeight="1" x14ac:dyDescent="0.2">
      <c r="F3" s="3622" t="s">
        <v>337</v>
      </c>
      <c r="G3" s="3622"/>
      <c r="H3" s="3622"/>
      <c r="I3" s="3622"/>
    </row>
    <row r="4" spans="3:18" ht="14.45" customHeight="1" x14ac:dyDescent="0.2">
      <c r="F4" s="3622" t="s">
        <v>1990</v>
      </c>
      <c r="G4" s="3622"/>
      <c r="H4" s="3622"/>
      <c r="I4" s="3622"/>
    </row>
    <row r="5" spans="3:18" ht="6" customHeight="1" x14ac:dyDescent="0.2">
      <c r="F5" s="1086"/>
      <c r="G5" s="707"/>
      <c r="H5" s="1086"/>
      <c r="I5" s="1338"/>
    </row>
    <row r="6" spans="3:18" ht="22.9" customHeight="1" x14ac:dyDescent="0.2">
      <c r="C6" s="3624" t="s">
        <v>1243</v>
      </c>
      <c r="D6" s="3624"/>
      <c r="E6" s="3624"/>
      <c r="F6" s="3624"/>
      <c r="G6" s="3624"/>
      <c r="H6" s="3624"/>
      <c r="I6" s="3624"/>
    </row>
    <row r="7" spans="3:18" ht="14.25" customHeight="1" x14ac:dyDescent="0.2">
      <c r="F7" s="708"/>
      <c r="G7" s="709"/>
      <c r="H7" s="3625" t="s">
        <v>194</v>
      </c>
      <c r="I7" s="3625"/>
    </row>
    <row r="8" spans="3:18" ht="11.45" customHeight="1" x14ac:dyDescent="0.2">
      <c r="C8" s="3627" t="s">
        <v>419</v>
      </c>
      <c r="D8" s="3628" t="s">
        <v>196</v>
      </c>
      <c r="E8" s="3627" t="s">
        <v>452</v>
      </c>
      <c r="F8" s="3623" t="s">
        <v>1219</v>
      </c>
      <c r="G8" s="3623"/>
      <c r="H8" s="3626" t="s">
        <v>1991</v>
      </c>
      <c r="I8" s="3626" t="s">
        <v>1394</v>
      </c>
    </row>
    <row r="9" spans="3:18" s="710" customFormat="1" ht="11.45" customHeight="1" x14ac:dyDescent="0.2">
      <c r="C9" s="3627"/>
      <c r="D9" s="3628"/>
      <c r="E9" s="3627"/>
      <c r="F9" s="3623"/>
      <c r="G9" s="3623"/>
      <c r="H9" s="3626"/>
      <c r="I9" s="3626"/>
      <c r="R9" s="711"/>
    </row>
    <row r="10" spans="3:18" s="710" customFormat="1" ht="11.45" customHeight="1" x14ac:dyDescent="0.2">
      <c r="C10" s="3613" t="s">
        <v>420</v>
      </c>
      <c r="D10" s="421">
        <v>1307002080</v>
      </c>
      <c r="E10" s="713" t="s">
        <v>1406</v>
      </c>
      <c r="F10" s="3592" t="s">
        <v>1220</v>
      </c>
      <c r="G10" s="3592"/>
      <c r="H10" s="1635">
        <v>619985354523</v>
      </c>
      <c r="I10" s="1636">
        <v>420000000000</v>
      </c>
      <c r="R10" s="711"/>
    </row>
    <row r="11" spans="3:18" s="710" customFormat="1" ht="11.45" customHeight="1" x14ac:dyDescent="0.2">
      <c r="C11" s="3614"/>
      <c r="D11" s="421">
        <v>1307002080</v>
      </c>
      <c r="E11" s="1339" t="s">
        <v>1549</v>
      </c>
      <c r="F11" s="3592" t="s">
        <v>1220</v>
      </c>
      <c r="G11" s="3592"/>
      <c r="H11" s="1635">
        <v>282177457925</v>
      </c>
      <c r="I11" s="1636">
        <v>792226054</v>
      </c>
      <c r="R11" s="711"/>
    </row>
    <row r="12" spans="3:18" s="710" customFormat="1" ht="11.45" customHeight="1" x14ac:dyDescent="0.2">
      <c r="C12" s="3614"/>
      <c r="D12" s="421">
        <v>1307002080</v>
      </c>
      <c r="E12" s="713" t="s">
        <v>1411</v>
      </c>
      <c r="F12" s="3592" t="s">
        <v>1220</v>
      </c>
      <c r="G12" s="3592"/>
      <c r="H12" s="1635">
        <f>160036156736-H61</f>
        <v>150078656736</v>
      </c>
      <c r="I12" s="1636">
        <v>46528808373</v>
      </c>
      <c r="R12" s="711"/>
    </row>
    <row r="13" spans="3:18" s="710" customFormat="1" ht="11.45" customHeight="1" x14ac:dyDescent="0.2">
      <c r="C13" s="3614"/>
      <c r="D13" s="1309">
        <v>1307002080</v>
      </c>
      <c r="E13" s="713" t="s">
        <v>1221</v>
      </c>
      <c r="F13" s="3601" t="s">
        <v>323</v>
      </c>
      <c r="G13" s="3601"/>
      <c r="H13" s="1635">
        <f>121426007760-H58</f>
        <v>91426007760</v>
      </c>
      <c r="I13" s="1636">
        <v>91677915960</v>
      </c>
      <c r="R13" s="711"/>
    </row>
    <row r="14" spans="3:18" s="710" customFormat="1" ht="11.45" customHeight="1" x14ac:dyDescent="0.2">
      <c r="C14" s="3614"/>
      <c r="D14" s="1309">
        <v>1307002080</v>
      </c>
      <c r="E14" s="1339" t="s">
        <v>2162</v>
      </c>
      <c r="F14" s="3601" t="s">
        <v>323</v>
      </c>
      <c r="G14" s="3601"/>
      <c r="H14" s="1635">
        <v>108748853233</v>
      </c>
      <c r="I14" s="1636"/>
      <c r="R14" s="711"/>
    </row>
    <row r="15" spans="3:18" s="710" customFormat="1" ht="11.45" customHeight="1" x14ac:dyDescent="0.2">
      <c r="C15" s="3614"/>
      <c r="D15" s="1309">
        <v>1307002010</v>
      </c>
      <c r="E15" s="713" t="s">
        <v>1224</v>
      </c>
      <c r="F15" s="3601" t="s">
        <v>224</v>
      </c>
      <c r="G15" s="3601"/>
      <c r="H15" s="1635">
        <f>101215838783-H59</f>
        <v>73787568285</v>
      </c>
      <c r="I15" s="1636">
        <v>106483712661</v>
      </c>
      <c r="R15" s="711"/>
    </row>
    <row r="16" spans="3:18" s="710" customFormat="1" ht="11.45" customHeight="1" x14ac:dyDescent="0.4">
      <c r="C16" s="3614"/>
      <c r="D16" s="1512" t="s">
        <v>2150</v>
      </c>
      <c r="E16" s="1339" t="s">
        <v>392</v>
      </c>
      <c r="F16" s="3592" t="s">
        <v>1231</v>
      </c>
      <c r="G16" s="3592"/>
      <c r="H16" s="1635">
        <v>89726492636</v>
      </c>
      <c r="I16" s="1636">
        <v>60793031788</v>
      </c>
      <c r="R16" s="711"/>
    </row>
    <row r="17" spans="3:44" s="710" customFormat="1" ht="11.45" customHeight="1" x14ac:dyDescent="0.2">
      <c r="C17" s="3614"/>
      <c r="D17" s="421">
        <v>1503002046</v>
      </c>
      <c r="E17" s="713" t="s">
        <v>1165</v>
      </c>
      <c r="F17" s="3592" t="s">
        <v>1237</v>
      </c>
      <c r="G17" s="3592"/>
      <c r="H17" s="1635">
        <f>58870516559-H56</f>
        <v>46432604494</v>
      </c>
      <c r="I17" s="1636">
        <v>35348137925</v>
      </c>
      <c r="R17" s="711"/>
    </row>
    <row r="18" spans="3:44" s="710" customFormat="1" ht="11.45" customHeight="1" x14ac:dyDescent="0.2">
      <c r="C18" s="3614"/>
      <c r="D18" s="421">
        <v>1307002080</v>
      </c>
      <c r="E18" s="1339" t="s">
        <v>1167</v>
      </c>
      <c r="F18" s="3601" t="s">
        <v>323</v>
      </c>
      <c r="G18" s="3601"/>
      <c r="H18" s="1635">
        <v>48112237792</v>
      </c>
      <c r="I18" s="1636">
        <v>11806421798</v>
      </c>
      <c r="R18" s="711"/>
    </row>
    <row r="19" spans="3:44" s="710" customFormat="1" ht="11.45" customHeight="1" x14ac:dyDescent="0.2">
      <c r="C19" s="3614"/>
      <c r="D19" s="568" t="s">
        <v>546</v>
      </c>
      <c r="E19" s="713" t="s">
        <v>1427</v>
      </c>
      <c r="F19" s="3602" t="s">
        <v>545</v>
      </c>
      <c r="G19" s="3602"/>
      <c r="H19" s="1635">
        <v>47111188679</v>
      </c>
      <c r="I19" s="1636">
        <v>12195309697</v>
      </c>
      <c r="R19" s="711"/>
    </row>
    <row r="20" spans="3:44" s="710" customFormat="1" ht="11.45" customHeight="1" x14ac:dyDescent="0.2">
      <c r="C20" s="3614"/>
      <c r="D20" s="1645" t="s">
        <v>624</v>
      </c>
      <c r="E20" s="1646" t="s">
        <v>1241</v>
      </c>
      <c r="F20" s="3603" t="s">
        <v>600</v>
      </c>
      <c r="G20" s="3603"/>
      <c r="H20" s="1635">
        <v>41926884680</v>
      </c>
      <c r="I20" s="1636">
        <v>4598404368</v>
      </c>
      <c r="R20" s="711"/>
    </row>
    <row r="21" spans="3:44" s="710" customFormat="1" ht="11.45" customHeight="1" x14ac:dyDescent="0.2">
      <c r="C21" s="3614"/>
      <c r="D21" s="1595">
        <v>1503002046</v>
      </c>
      <c r="E21" s="1647" t="s">
        <v>1238</v>
      </c>
      <c r="F21" s="3606" t="s">
        <v>1237</v>
      </c>
      <c r="G21" s="3606"/>
      <c r="H21" s="1635">
        <v>41228181424</v>
      </c>
      <c r="I21" s="1636">
        <v>23979135436</v>
      </c>
      <c r="R21" s="711"/>
    </row>
    <row r="22" spans="3:44" s="710" customFormat="1" ht="11.45" customHeight="1" x14ac:dyDescent="0.2">
      <c r="C22" s="3614"/>
      <c r="D22" s="1595">
        <v>1307002080</v>
      </c>
      <c r="E22" s="1647" t="s">
        <v>2163</v>
      </c>
      <c r="F22" s="3606" t="s">
        <v>1220</v>
      </c>
      <c r="G22" s="3606"/>
      <c r="H22" s="1635">
        <v>36875000000</v>
      </c>
      <c r="I22" s="1636"/>
      <c r="R22" s="711"/>
    </row>
    <row r="23" spans="3:44" s="710" customFormat="1" ht="11.45" customHeight="1" x14ac:dyDescent="0.2">
      <c r="C23" s="3614"/>
      <c r="D23" s="1648" t="s">
        <v>2191</v>
      </c>
      <c r="E23" s="1646" t="s">
        <v>1413</v>
      </c>
      <c r="F23" s="3604" t="s">
        <v>631</v>
      </c>
      <c r="G23" s="3605"/>
      <c r="H23" s="1635">
        <v>35235720906</v>
      </c>
      <c r="I23" s="1636">
        <v>20195995961</v>
      </c>
      <c r="R23" s="711"/>
    </row>
    <row r="24" spans="3:44" s="710" customFormat="1" ht="11.45" customHeight="1" x14ac:dyDescent="0.2">
      <c r="C24" s="3614"/>
      <c r="D24" s="1595">
        <v>1307006001</v>
      </c>
      <c r="E24" s="1647" t="s">
        <v>1171</v>
      </c>
      <c r="F24" s="3607" t="s">
        <v>87</v>
      </c>
      <c r="G24" s="3608"/>
      <c r="H24" s="1635">
        <v>34609971768</v>
      </c>
      <c r="I24" s="1636"/>
      <c r="R24" s="711"/>
    </row>
    <row r="25" spans="3:44" s="710" customFormat="1" ht="11.45" customHeight="1" x14ac:dyDescent="0.2">
      <c r="C25" s="3614"/>
      <c r="D25" s="1595">
        <v>1307002080</v>
      </c>
      <c r="E25" s="1647" t="s">
        <v>649</v>
      </c>
      <c r="F25" s="3606" t="s">
        <v>1220</v>
      </c>
      <c r="G25" s="3606"/>
      <c r="H25" s="1635">
        <v>33347814983</v>
      </c>
      <c r="I25" s="1636">
        <v>34727522652</v>
      </c>
      <c r="R25" s="711"/>
      <c r="AL25" s="620"/>
      <c r="AM25" s="620"/>
      <c r="AN25" s="620"/>
      <c r="AO25" s="621"/>
    </row>
    <row r="26" spans="3:44" s="710" customFormat="1" ht="11.45" customHeight="1" x14ac:dyDescent="0.2">
      <c r="C26" s="3614"/>
      <c r="D26" s="421" t="s">
        <v>608</v>
      </c>
      <c r="E26" s="713" t="s">
        <v>1474</v>
      </c>
      <c r="F26" s="3592" t="s">
        <v>1222</v>
      </c>
      <c r="G26" s="3592"/>
      <c r="H26" s="1635">
        <v>30509648716</v>
      </c>
      <c r="I26" s="1636">
        <v>4202179000</v>
      </c>
      <c r="R26" s="711"/>
    </row>
    <row r="27" spans="3:44" s="710" customFormat="1" ht="11.45" customHeight="1" x14ac:dyDescent="0.4">
      <c r="C27" s="3614"/>
      <c r="D27" s="1649" t="s">
        <v>2041</v>
      </c>
      <c r="E27" s="1339" t="s">
        <v>654</v>
      </c>
      <c r="F27" s="3609" t="s">
        <v>2040</v>
      </c>
      <c r="G27" s="3610"/>
      <c r="H27" s="1635">
        <v>30347008938</v>
      </c>
      <c r="I27" s="1636">
        <v>4342059487</v>
      </c>
      <c r="R27" s="711"/>
    </row>
    <row r="28" spans="3:44" s="710" customFormat="1" ht="11.45" customHeight="1" x14ac:dyDescent="0.4">
      <c r="C28" s="3614"/>
      <c r="D28" s="1469" t="s">
        <v>633</v>
      </c>
      <c r="E28" s="713" t="s">
        <v>1485</v>
      </c>
      <c r="F28" s="3512" t="s">
        <v>632</v>
      </c>
      <c r="G28" s="3514"/>
      <c r="H28" s="1635">
        <v>30041054046</v>
      </c>
      <c r="I28" s="1636">
        <v>3652027477</v>
      </c>
      <c r="R28" s="711"/>
      <c r="AN28" s="1503"/>
      <c r="AO28" s="1503"/>
      <c r="AP28" s="1503"/>
      <c r="AQ28" s="1503"/>
      <c r="AR28" s="1504"/>
    </row>
    <row r="29" spans="3:44" s="710" customFormat="1" ht="11.45" customHeight="1" x14ac:dyDescent="0.2">
      <c r="C29" s="3614"/>
      <c r="D29" s="1469" t="s">
        <v>1083</v>
      </c>
      <c r="E29" s="1339" t="s">
        <v>2164</v>
      </c>
      <c r="F29" s="3593" t="s">
        <v>1082</v>
      </c>
      <c r="G29" s="3594"/>
      <c r="H29" s="1635">
        <f>27569019466-H64</f>
        <v>20168338148</v>
      </c>
      <c r="I29" s="1636"/>
      <c r="R29" s="711"/>
    </row>
    <row r="30" spans="3:44" s="710" customFormat="1" ht="11.45" customHeight="1" x14ac:dyDescent="0.4">
      <c r="C30" s="3614"/>
      <c r="D30" s="1459" t="s">
        <v>2068</v>
      </c>
      <c r="E30" s="713" t="s">
        <v>480</v>
      </c>
      <c r="F30" s="1532" t="s">
        <v>2070</v>
      </c>
      <c r="G30" s="713"/>
      <c r="H30" s="1635">
        <v>27036038542</v>
      </c>
      <c r="I30" s="1636"/>
      <c r="R30" s="711"/>
    </row>
    <row r="31" spans="3:44" s="710" customFormat="1" ht="11.45" customHeight="1" x14ac:dyDescent="0.2">
      <c r="C31" s="3614"/>
      <c r="D31" s="1309">
        <v>1307002010</v>
      </c>
      <c r="E31" s="713" t="s">
        <v>657</v>
      </c>
      <c r="F31" s="3601" t="s">
        <v>224</v>
      </c>
      <c r="G31" s="3601"/>
      <c r="H31" s="1635">
        <v>26435695099</v>
      </c>
      <c r="I31" s="1636"/>
      <c r="R31" s="711"/>
    </row>
    <row r="32" spans="3:44" s="710" customFormat="1" ht="11.45" customHeight="1" x14ac:dyDescent="0.2">
      <c r="C32" s="3614"/>
      <c r="D32" s="1469" t="s">
        <v>633</v>
      </c>
      <c r="E32" s="1339" t="s">
        <v>2165</v>
      </c>
      <c r="F32" s="3512" t="s">
        <v>632</v>
      </c>
      <c r="G32" s="3514"/>
      <c r="H32" s="1635">
        <v>26152533578</v>
      </c>
      <c r="I32" s="1636"/>
      <c r="R32" s="711"/>
    </row>
    <row r="33" spans="3:18" s="710" customFormat="1" ht="11.45" customHeight="1" x14ac:dyDescent="0.2">
      <c r="C33" s="3614"/>
      <c r="D33" s="421">
        <v>1503002173</v>
      </c>
      <c r="E33" s="713" t="s">
        <v>407</v>
      </c>
      <c r="F33" s="3592" t="s">
        <v>317</v>
      </c>
      <c r="G33" s="3592"/>
      <c r="H33" s="1635">
        <v>25421512011</v>
      </c>
      <c r="I33" s="1636">
        <v>32905837690</v>
      </c>
      <c r="R33" s="711"/>
    </row>
    <row r="34" spans="3:18" s="710" customFormat="1" ht="11.45" customHeight="1" x14ac:dyDescent="0.2">
      <c r="C34" s="3614"/>
      <c r="D34" s="421">
        <v>1307002080</v>
      </c>
      <c r="E34" s="1339" t="s">
        <v>1409</v>
      </c>
      <c r="F34" s="3592" t="s">
        <v>1220</v>
      </c>
      <c r="G34" s="3592"/>
      <c r="H34" s="1635">
        <v>24972303949</v>
      </c>
      <c r="I34" s="1636">
        <v>18862187459</v>
      </c>
      <c r="R34" s="711"/>
    </row>
    <row r="35" spans="3:18" s="710" customFormat="1" ht="11.45" customHeight="1" x14ac:dyDescent="0.2">
      <c r="C35" s="3614"/>
      <c r="D35" s="421" t="s">
        <v>608</v>
      </c>
      <c r="E35" s="713" t="s">
        <v>1412</v>
      </c>
      <c r="F35" s="3592" t="s">
        <v>1222</v>
      </c>
      <c r="G35" s="3592"/>
      <c r="H35" s="1635">
        <v>24860233874</v>
      </c>
      <c r="I35" s="1636">
        <v>29813863786</v>
      </c>
      <c r="R35" s="711"/>
    </row>
    <row r="36" spans="3:18" s="710" customFormat="1" ht="11.45" customHeight="1" x14ac:dyDescent="0.2">
      <c r="C36" s="3614"/>
      <c r="D36" s="421">
        <v>1307002080</v>
      </c>
      <c r="E36" s="713" t="s">
        <v>1163</v>
      </c>
      <c r="F36" s="3592" t="s">
        <v>1220</v>
      </c>
      <c r="G36" s="3592"/>
      <c r="H36" s="1635">
        <v>23113772446</v>
      </c>
      <c r="I36" s="1636"/>
      <c r="R36" s="711"/>
    </row>
    <row r="37" spans="3:18" s="710" customFormat="1" ht="11.45" customHeight="1" x14ac:dyDescent="0.2">
      <c r="C37" s="3614"/>
      <c r="D37" s="421" t="s">
        <v>609</v>
      </c>
      <c r="E37" s="1339" t="s">
        <v>1225</v>
      </c>
      <c r="F37" s="3592" t="s">
        <v>607</v>
      </c>
      <c r="G37" s="3592"/>
      <c r="H37" s="1635">
        <v>21419051468</v>
      </c>
      <c r="I37" s="1636">
        <v>47574131023</v>
      </c>
      <c r="R37" s="711"/>
    </row>
    <row r="38" spans="3:18" s="710" customFormat="1" ht="11.45" customHeight="1" x14ac:dyDescent="0.2">
      <c r="C38" s="3614"/>
      <c r="D38" s="421" t="s">
        <v>908</v>
      </c>
      <c r="E38" s="713" t="s">
        <v>1234</v>
      </c>
      <c r="F38" s="3592" t="s">
        <v>1233</v>
      </c>
      <c r="G38" s="3592"/>
      <c r="H38" s="1635">
        <v>19893532965</v>
      </c>
      <c r="I38" s="1636">
        <v>16282993773</v>
      </c>
      <c r="R38" s="711"/>
    </row>
    <row r="39" spans="3:18" s="710" customFormat="1" ht="11.45" customHeight="1" x14ac:dyDescent="0.2">
      <c r="C39" s="3614"/>
      <c r="D39" s="568" t="s">
        <v>1083</v>
      </c>
      <c r="E39" s="1339" t="s">
        <v>2166</v>
      </c>
      <c r="F39" s="3596" t="s">
        <v>1082</v>
      </c>
      <c r="G39" s="3597"/>
      <c r="H39" s="1635">
        <v>19164928578</v>
      </c>
      <c r="I39" s="1636"/>
      <c r="R39" s="711"/>
    </row>
    <row r="40" spans="3:18" s="710" customFormat="1" ht="11.45" customHeight="1" x14ac:dyDescent="0.2">
      <c r="C40" s="3614"/>
      <c r="D40" s="421">
        <v>1307002080</v>
      </c>
      <c r="E40" s="713" t="s">
        <v>656</v>
      </c>
      <c r="F40" s="3592" t="s">
        <v>1220</v>
      </c>
      <c r="G40" s="3592"/>
      <c r="H40" s="1635">
        <v>18697676343</v>
      </c>
      <c r="I40" s="1636">
        <v>19812579088</v>
      </c>
      <c r="R40" s="711"/>
    </row>
    <row r="41" spans="3:18" s="710" customFormat="1" ht="11.45" customHeight="1" x14ac:dyDescent="0.2">
      <c r="C41" s="3614"/>
      <c r="D41" s="1309" t="s">
        <v>609</v>
      </c>
      <c r="E41" s="713" t="s">
        <v>396</v>
      </c>
      <c r="F41" s="3601" t="s">
        <v>607</v>
      </c>
      <c r="G41" s="3601"/>
      <c r="H41" s="1635">
        <v>18393166141</v>
      </c>
      <c r="I41" s="1636">
        <v>29248830470</v>
      </c>
      <c r="R41" s="711"/>
    </row>
    <row r="42" spans="3:18" s="710" customFormat="1" ht="11.45" customHeight="1" x14ac:dyDescent="0.2">
      <c r="C42" s="3614"/>
      <c r="D42" s="421">
        <v>1307002080</v>
      </c>
      <c r="E42" s="1339" t="s">
        <v>391</v>
      </c>
      <c r="F42" s="3592" t="s">
        <v>1220</v>
      </c>
      <c r="G42" s="3592"/>
      <c r="H42" s="1635">
        <v>17243501029</v>
      </c>
      <c r="I42" s="1636"/>
      <c r="R42" s="711"/>
    </row>
    <row r="43" spans="3:18" s="710" customFormat="1" ht="11.45" customHeight="1" x14ac:dyDescent="0.2">
      <c r="C43" s="3614"/>
      <c r="D43" s="421" t="s">
        <v>622</v>
      </c>
      <c r="E43" s="713" t="s">
        <v>648</v>
      </c>
      <c r="F43" s="3592" t="s">
        <v>1230</v>
      </c>
      <c r="G43" s="3592"/>
      <c r="H43" s="1635">
        <v>16100570984</v>
      </c>
      <c r="I43" s="1636">
        <v>16100570984</v>
      </c>
      <c r="R43" s="711"/>
    </row>
    <row r="44" spans="3:18" s="710" customFormat="1" ht="11.45" customHeight="1" x14ac:dyDescent="0.2">
      <c r="C44" s="3614"/>
      <c r="D44" s="421">
        <v>1307002080</v>
      </c>
      <c r="E44" s="1339" t="s">
        <v>1168</v>
      </c>
      <c r="F44" s="3592" t="s">
        <v>1220</v>
      </c>
      <c r="G44" s="3592"/>
      <c r="H44" s="1635">
        <v>15955867132</v>
      </c>
      <c r="I44" s="1636">
        <v>15610129519</v>
      </c>
      <c r="R44" s="711"/>
    </row>
    <row r="45" spans="3:18" s="710" customFormat="1" ht="11.45" customHeight="1" x14ac:dyDescent="0.2">
      <c r="C45" s="3614"/>
      <c r="D45" s="1469" t="s">
        <v>677</v>
      </c>
      <c r="E45" s="713" t="s">
        <v>1469</v>
      </c>
      <c r="F45" s="3512" t="s">
        <v>676</v>
      </c>
      <c r="G45" s="3514"/>
      <c r="H45" s="1635">
        <v>15476014895</v>
      </c>
      <c r="I45" s="1636">
        <v>4550000000</v>
      </c>
      <c r="R45" s="711"/>
    </row>
    <row r="46" spans="3:18" s="710" customFormat="1" ht="11.45" customHeight="1" x14ac:dyDescent="0.2">
      <c r="C46" s="3614"/>
      <c r="D46" s="1469" t="s">
        <v>1083</v>
      </c>
      <c r="E46" s="713" t="s">
        <v>2167</v>
      </c>
      <c r="F46" s="3593" t="s">
        <v>1082</v>
      </c>
      <c r="G46" s="3594"/>
      <c r="H46" s="1635">
        <v>14591106587</v>
      </c>
      <c r="I46" s="1636"/>
      <c r="R46" s="711"/>
    </row>
    <row r="47" spans="3:18" s="710" customFormat="1" ht="11.45" customHeight="1" x14ac:dyDescent="0.2">
      <c r="C47" s="3614"/>
      <c r="D47" s="1469" t="s">
        <v>633</v>
      </c>
      <c r="E47" s="1339" t="s">
        <v>2168</v>
      </c>
      <c r="F47" s="3512" t="s">
        <v>632</v>
      </c>
      <c r="G47" s="3514"/>
      <c r="H47" s="1635">
        <v>14525677766</v>
      </c>
      <c r="I47" s="1636"/>
      <c r="R47" s="711"/>
    </row>
    <row r="48" spans="3:18" s="710" customFormat="1" ht="11.45" customHeight="1" x14ac:dyDescent="0.2">
      <c r="C48" s="3614"/>
      <c r="D48" s="1309" t="s">
        <v>609</v>
      </c>
      <c r="E48" s="713" t="s">
        <v>1242</v>
      </c>
      <c r="F48" s="3592" t="s">
        <v>607</v>
      </c>
      <c r="G48" s="3592"/>
      <c r="H48" s="1635">
        <v>13266680822</v>
      </c>
      <c r="I48" s="1636">
        <v>723706080</v>
      </c>
      <c r="R48" s="711"/>
    </row>
    <row r="49" spans="3:38" s="710" customFormat="1" ht="11.45" customHeight="1" x14ac:dyDescent="0.2">
      <c r="C49" s="3614"/>
      <c r="D49" s="421">
        <v>1307002080</v>
      </c>
      <c r="E49" s="1339" t="s">
        <v>477</v>
      </c>
      <c r="F49" s="3592" t="s">
        <v>1220</v>
      </c>
      <c r="G49" s="3592"/>
      <c r="H49" s="1635">
        <v>12676609927</v>
      </c>
      <c r="I49" s="1636">
        <v>22472957742</v>
      </c>
      <c r="R49" s="711"/>
    </row>
    <row r="50" spans="3:38" s="710" customFormat="1" ht="11.45" customHeight="1" x14ac:dyDescent="0.2">
      <c r="C50" s="3614"/>
      <c r="D50" s="1309" t="s">
        <v>608</v>
      </c>
      <c r="E50" s="713" t="s">
        <v>1091</v>
      </c>
      <c r="F50" s="3601" t="s">
        <v>1235</v>
      </c>
      <c r="G50" s="3601"/>
      <c r="H50" s="1635">
        <v>12667762573</v>
      </c>
      <c r="I50" s="1636"/>
      <c r="R50" s="711"/>
    </row>
    <row r="51" spans="3:38" s="710" customFormat="1" ht="11.45" customHeight="1" x14ac:dyDescent="0.2">
      <c r="C51" s="3614"/>
      <c r="D51" s="1309" t="s">
        <v>608</v>
      </c>
      <c r="E51" s="713" t="s">
        <v>1236</v>
      </c>
      <c r="F51" s="3601" t="s">
        <v>1235</v>
      </c>
      <c r="G51" s="3601"/>
      <c r="H51" s="1635">
        <v>12508838487</v>
      </c>
      <c r="I51" s="1636">
        <v>14664156158</v>
      </c>
      <c r="R51" s="711"/>
      <c r="AL51" s="710">
        <v>4091895734184</v>
      </c>
    </row>
    <row r="52" spans="3:38" s="710" customFormat="1" ht="11.45" customHeight="1" x14ac:dyDescent="0.2">
      <c r="C52" s="3614"/>
      <c r="D52" s="421" t="s">
        <v>608</v>
      </c>
      <c r="E52" s="1339" t="s">
        <v>1092</v>
      </c>
      <c r="F52" s="3592" t="s">
        <v>1222</v>
      </c>
      <c r="G52" s="3592"/>
      <c r="H52" s="1635">
        <v>12232269011</v>
      </c>
      <c r="I52" s="1636">
        <v>14303030150</v>
      </c>
      <c r="R52" s="711"/>
      <c r="AL52" s="710">
        <v>261378186706</v>
      </c>
    </row>
    <row r="53" spans="3:38" ht="11.45" customHeight="1" x14ac:dyDescent="0.2">
      <c r="C53" s="3615"/>
      <c r="D53" s="3598" t="s">
        <v>1279</v>
      </c>
      <c r="E53" s="3599"/>
      <c r="F53" s="3599"/>
      <c r="G53" s="3600"/>
      <c r="H53" s="1635">
        <v>300945655110</v>
      </c>
      <c r="I53" s="1636">
        <v>399811807537</v>
      </c>
      <c r="O53" s="1343" t="s">
        <v>1405</v>
      </c>
      <c r="P53" s="1344" t="s">
        <v>1164</v>
      </c>
      <c r="Q53" s="1343" t="s">
        <v>1405</v>
      </c>
      <c r="AI53" s="705">
        <f>SUM(I10:I52)</f>
        <v>1164247862559</v>
      </c>
      <c r="AL53" s="705">
        <f>AL51-AL52</f>
        <v>3830517547478</v>
      </c>
    </row>
    <row r="54" spans="3:38" ht="11.45" customHeight="1" x14ac:dyDescent="0.2">
      <c r="C54" s="3640" t="s">
        <v>931</v>
      </c>
      <c r="D54" s="3641"/>
      <c r="E54" s="3641"/>
      <c r="F54" s="3641"/>
      <c r="G54" s="3642"/>
      <c r="H54" s="1637">
        <f>SUM(H10:H53)</f>
        <v>2625627044989</v>
      </c>
      <c r="I54" s="1638">
        <f>'پيش پرداخت سرمايه اي يادداشت 6'!E110</f>
        <v>1564059670096</v>
      </c>
      <c r="O54" s="1343" t="s">
        <v>1407</v>
      </c>
      <c r="P54" s="1344" t="s">
        <v>392</v>
      </c>
      <c r="Q54" s="1343" t="s">
        <v>1407</v>
      </c>
      <c r="AH54" s="705">
        <f>SUM(H10:H52)</f>
        <v>2324681389879</v>
      </c>
    </row>
    <row r="55" spans="3:38" ht="11.45" customHeight="1" x14ac:dyDescent="0.2">
      <c r="C55" s="3637" t="s">
        <v>421</v>
      </c>
      <c r="D55" s="421" t="s">
        <v>608</v>
      </c>
      <c r="E55" s="713" t="s">
        <v>1164</v>
      </c>
      <c r="F55" s="3592" t="s">
        <v>1222</v>
      </c>
      <c r="G55" s="3592"/>
      <c r="H55" s="1643">
        <v>1016015836408</v>
      </c>
      <c r="I55" s="1636">
        <v>1124757413292</v>
      </c>
      <c r="O55" s="1343" t="s">
        <v>1408</v>
      </c>
      <c r="Q55" s="1343" t="s">
        <v>1408</v>
      </c>
      <c r="R55" s="705">
        <f>SUM(H10:H52)</f>
        <v>2324681389879</v>
      </c>
      <c r="AL55" s="705">
        <f>SUM(H10:H52)</f>
        <v>2324681389879</v>
      </c>
    </row>
    <row r="56" spans="3:38" ht="11.45" customHeight="1" x14ac:dyDescent="0.2">
      <c r="C56" s="3637"/>
      <c r="D56" s="421">
        <v>1307002080</v>
      </c>
      <c r="E56" s="713" t="s">
        <v>1165</v>
      </c>
      <c r="F56" s="3595" t="s">
        <v>1220</v>
      </c>
      <c r="G56" s="3595"/>
      <c r="H56" s="1635">
        <v>12437912065</v>
      </c>
      <c r="I56" s="1636">
        <v>40525842981</v>
      </c>
      <c r="O56" s="1343"/>
      <c r="Q56" s="1343"/>
      <c r="R56" s="705">
        <f>'پيش پرداخت سرمايه اي يادداشت 6'!Q110-'يادداشت_2-3-6تفكيك_پيمانكار'!R55</f>
        <v>111965389519</v>
      </c>
      <c r="AH56" s="705">
        <f>H54-AH54</f>
        <v>300945655110</v>
      </c>
    </row>
    <row r="57" spans="3:38" ht="11.45" customHeight="1" x14ac:dyDescent="0.2">
      <c r="C57" s="3637"/>
      <c r="D57" s="421">
        <v>1307002080</v>
      </c>
      <c r="E57" s="1339" t="s">
        <v>1409</v>
      </c>
      <c r="F57" s="3595" t="s">
        <v>1220</v>
      </c>
      <c r="G57" s="3595"/>
      <c r="H57" s="1635"/>
      <c r="I57" s="1636">
        <v>35844025904</v>
      </c>
      <c r="O57" s="1343"/>
      <c r="Q57" s="1343"/>
      <c r="R57" s="705">
        <f>SUM(H10:H53)</f>
        <v>2625627044989</v>
      </c>
      <c r="AI57" s="705">
        <f>I54-AI53</f>
        <v>399811807537</v>
      </c>
    </row>
    <row r="58" spans="3:38" ht="11.45" customHeight="1" x14ac:dyDescent="0.2">
      <c r="C58" s="3637"/>
      <c r="D58" s="421">
        <v>1307002080</v>
      </c>
      <c r="E58" s="713" t="s">
        <v>1221</v>
      </c>
      <c r="F58" s="3595" t="s">
        <v>1220</v>
      </c>
      <c r="G58" s="3595"/>
      <c r="H58" s="1635">
        <v>30000000000</v>
      </c>
      <c r="I58" s="1636">
        <v>30000000000</v>
      </c>
      <c r="O58" s="1343"/>
      <c r="Q58" s="1343"/>
      <c r="R58" s="705"/>
    </row>
    <row r="59" spans="3:38" ht="11.45" customHeight="1" x14ac:dyDescent="0.2">
      <c r="C59" s="3637"/>
      <c r="D59" s="1309">
        <v>1307002010</v>
      </c>
      <c r="E59" s="713" t="s">
        <v>1224</v>
      </c>
      <c r="F59" s="3638" t="s">
        <v>224</v>
      </c>
      <c r="G59" s="3638"/>
      <c r="H59" s="1636">
        <v>27428270498</v>
      </c>
      <c r="I59" s="1636">
        <v>27428270498</v>
      </c>
      <c r="O59" s="1343"/>
      <c r="Q59" s="1343"/>
      <c r="R59" s="705"/>
    </row>
    <row r="60" spans="3:38" ht="11.45" customHeight="1" x14ac:dyDescent="0.2">
      <c r="C60" s="3637"/>
      <c r="D60" s="421">
        <v>1307002080</v>
      </c>
      <c r="E60" s="1339" t="s">
        <v>1406</v>
      </c>
      <c r="F60" s="3595" t="s">
        <v>1220</v>
      </c>
      <c r="G60" s="3595"/>
      <c r="H60" s="1635"/>
      <c r="I60" s="1636">
        <v>18512416591</v>
      </c>
      <c r="O60" s="1343"/>
      <c r="Q60" s="1343"/>
      <c r="R60" s="705"/>
      <c r="AL60" s="705">
        <f>AL53-H66</f>
        <v>2625627044989</v>
      </c>
    </row>
    <row r="61" spans="3:38" ht="11.45" customHeight="1" x14ac:dyDescent="0.2">
      <c r="C61" s="3637"/>
      <c r="D61" s="421">
        <v>1307002080</v>
      </c>
      <c r="E61" s="713" t="s">
        <v>1411</v>
      </c>
      <c r="F61" s="3595" t="s">
        <v>1220</v>
      </c>
      <c r="G61" s="3595"/>
      <c r="H61" s="1644">
        <v>9957500000</v>
      </c>
      <c r="I61" s="1636"/>
      <c r="O61" s="1343"/>
      <c r="Q61" s="1343"/>
      <c r="R61" s="705"/>
      <c r="AI61" s="705">
        <f>SUM(I10:I53)</f>
        <v>1564059670096</v>
      </c>
    </row>
    <row r="62" spans="3:38" ht="11.45" customHeight="1" x14ac:dyDescent="0.2">
      <c r="C62" s="3637"/>
      <c r="D62" s="421" t="s">
        <v>622</v>
      </c>
      <c r="E62" s="713" t="s">
        <v>388</v>
      </c>
      <c r="F62" s="3595" t="s">
        <v>1230</v>
      </c>
      <c r="G62" s="3595"/>
      <c r="H62" s="1635">
        <v>67747116894</v>
      </c>
      <c r="I62" s="1636">
        <v>136491317676</v>
      </c>
      <c r="O62" s="1343"/>
      <c r="Q62" s="1343"/>
      <c r="R62" s="705"/>
    </row>
    <row r="63" spans="3:38" ht="11.45" customHeight="1" x14ac:dyDescent="0.2">
      <c r="C63" s="3637"/>
      <c r="D63" s="421">
        <v>1307002080</v>
      </c>
      <c r="E63" s="1646" t="s">
        <v>1223</v>
      </c>
      <c r="F63" s="3595" t="s">
        <v>1220</v>
      </c>
      <c r="G63" s="3595"/>
      <c r="H63" s="1635">
        <v>33903185306</v>
      </c>
      <c r="I63" s="1636">
        <v>59466747103</v>
      </c>
      <c r="O63" s="1343"/>
      <c r="Q63" s="1343"/>
      <c r="R63" s="705"/>
    </row>
    <row r="64" spans="3:38" ht="11.45" customHeight="1" x14ac:dyDescent="0.2">
      <c r="C64" s="3637"/>
      <c r="D64" s="1469" t="s">
        <v>1083</v>
      </c>
      <c r="E64" s="1339" t="s">
        <v>2164</v>
      </c>
      <c r="F64" s="3593" t="s">
        <v>1082</v>
      </c>
      <c r="G64" s="3594"/>
      <c r="H64" s="1635">
        <v>7400681318</v>
      </c>
      <c r="I64" s="1636"/>
      <c r="O64" s="1343"/>
      <c r="Q64" s="1343"/>
      <c r="R64" s="705"/>
      <c r="AL64" s="705">
        <f>AL60-AL55</f>
        <v>300945655110</v>
      </c>
    </row>
    <row r="65" spans="3:38" ht="11.45" customHeight="1" x14ac:dyDescent="0.2">
      <c r="C65" s="3637"/>
      <c r="D65" s="3646" t="s">
        <v>1279</v>
      </c>
      <c r="E65" s="3646"/>
      <c r="F65" s="3646"/>
      <c r="G65" s="3646"/>
      <c r="H65" s="1476"/>
      <c r="I65" s="1639">
        <v>108404682870</v>
      </c>
      <c r="O65" s="1343"/>
      <c r="Q65" s="1343"/>
      <c r="R65" s="705">
        <f>SUM(H55:H65)</f>
        <v>1204890502489</v>
      </c>
    </row>
    <row r="66" spans="3:38" ht="11.45" customHeight="1" x14ac:dyDescent="0.2">
      <c r="C66" s="3637"/>
      <c r="D66" s="3634" t="s">
        <v>932</v>
      </c>
      <c r="E66" s="3635"/>
      <c r="F66" s="3635"/>
      <c r="G66" s="3636"/>
      <c r="H66" s="1640">
        <f>SUM(H55:H65)</f>
        <v>1204890502489</v>
      </c>
      <c r="I66" s="1639">
        <f>'پيش پرداخت سرمايه اي يادداشت 6'!E131</f>
        <v>1581430716915</v>
      </c>
      <c r="O66" s="1343"/>
      <c r="Q66" s="1343"/>
      <c r="R66" s="705">
        <f>SUM(H56:H60)</f>
        <v>69866182563</v>
      </c>
      <c r="AJ66" s="705">
        <f>SUM(I55:I64)</f>
        <v>1473026034045</v>
      </c>
    </row>
    <row r="67" spans="3:38" ht="11.45" customHeight="1" x14ac:dyDescent="0.2">
      <c r="C67" s="3643" t="s">
        <v>27</v>
      </c>
      <c r="D67" s="3644"/>
      <c r="E67" s="3644"/>
      <c r="F67" s="3644"/>
      <c r="G67" s="3645"/>
      <c r="H67" s="1641">
        <v>3830517547478</v>
      </c>
      <c r="I67" s="1642">
        <f>'پيش پرداخت سرمايه اي يادداشت 6'!E132</f>
        <v>3145490387011</v>
      </c>
      <c r="O67" s="1343"/>
      <c r="Q67" s="1343"/>
      <c r="R67" s="705">
        <f>H66-R66</f>
        <v>1135024319926</v>
      </c>
    </row>
    <row r="68" spans="3:38" ht="11.45" customHeight="1" x14ac:dyDescent="0.2">
      <c r="F68" s="483"/>
      <c r="G68" s="483"/>
      <c r="H68" s="484"/>
      <c r="I68" s="483"/>
      <c r="O68" s="1343" t="s">
        <v>1410</v>
      </c>
      <c r="P68" s="1344" t="s">
        <v>1214</v>
      </c>
      <c r="Q68" s="1343" t="s">
        <v>1410</v>
      </c>
      <c r="R68" s="705">
        <f>SUM(H55:H60)</f>
        <v>1085882018971</v>
      </c>
      <c r="S68" s="705">
        <f>SUM(H55:H65)</f>
        <v>1204890502489</v>
      </c>
    </row>
    <row r="69" spans="3:38" ht="82.9" customHeight="1" x14ac:dyDescent="0.2">
      <c r="C69" s="3639" t="s">
        <v>1965</v>
      </c>
      <c r="D69" s="3639"/>
      <c r="E69" s="3639"/>
      <c r="F69" s="3639"/>
      <c r="G69" s="3639"/>
      <c r="H69" s="3639"/>
      <c r="I69" s="3639"/>
      <c r="O69" s="1343" t="s">
        <v>1414</v>
      </c>
      <c r="P69" s="1344" t="s">
        <v>1173</v>
      </c>
      <c r="Q69" s="1343" t="s">
        <v>1414</v>
      </c>
      <c r="R69" s="705">
        <f>H66-R68</f>
        <v>119008483518</v>
      </c>
      <c r="S69" s="705">
        <f>H67-H66</f>
        <v>2625627044989</v>
      </c>
      <c r="AK69" s="705">
        <f>SUM(I55:I65)</f>
        <v>1581430716915</v>
      </c>
      <c r="AL69" s="705">
        <f>I66-AJ66</f>
        <v>108404682870</v>
      </c>
    </row>
    <row r="70" spans="3:38" ht="11.45" customHeight="1" x14ac:dyDescent="0.2">
      <c r="C70" s="3621">
        <v>36000000</v>
      </c>
      <c r="D70" s="3621"/>
      <c r="E70" s="3621"/>
      <c r="F70" s="3621"/>
      <c r="G70" s="3621"/>
      <c r="H70" s="3621"/>
      <c r="I70" s="3621"/>
      <c r="O70" s="1343" t="s">
        <v>1415</v>
      </c>
      <c r="P70" s="1344" t="s">
        <v>648</v>
      </c>
      <c r="Q70" s="1343" t="s">
        <v>1415</v>
      </c>
      <c r="R70" s="705">
        <f>SUM(H55:H65)</f>
        <v>1204890502489</v>
      </c>
    </row>
    <row r="71" spans="3:38" ht="17.45" customHeight="1" x14ac:dyDescent="0.2">
      <c r="O71" s="1343" t="s">
        <v>1416</v>
      </c>
      <c r="Q71" s="1343" t="s">
        <v>1416</v>
      </c>
      <c r="R71" s="705">
        <f>SUM(H10:H53)</f>
        <v>2625627044989</v>
      </c>
    </row>
    <row r="72" spans="3:38" ht="17.45" customHeight="1" x14ac:dyDescent="0.2">
      <c r="G72" s="715" t="s">
        <v>1184</v>
      </c>
      <c r="O72" s="1343" t="s">
        <v>1417</v>
      </c>
      <c r="Q72" s="1343" t="s">
        <v>1417</v>
      </c>
      <c r="R72" s="705">
        <f>'پيش پرداخت سرمايه اي يادداشت 6'!Q110-'يادداشت_2-3-6تفكيك_پيمانكار'!R71</f>
        <v>-188980265591</v>
      </c>
    </row>
    <row r="73" spans="3:38" ht="17.45" customHeight="1" x14ac:dyDescent="0.2">
      <c r="O73" s="1343" t="s">
        <v>1418</v>
      </c>
      <c r="P73" s="1344" t="s">
        <v>1419</v>
      </c>
      <c r="Q73" s="1343" t="s">
        <v>1418</v>
      </c>
      <c r="R73" s="705"/>
    </row>
    <row r="74" spans="3:38" ht="18.600000000000001" customHeight="1" x14ac:dyDescent="0.2">
      <c r="O74" s="1343" t="s">
        <v>1420</v>
      </c>
      <c r="P74" s="1344" t="s">
        <v>1092</v>
      </c>
      <c r="Q74" s="1343" t="s">
        <v>1420</v>
      </c>
      <c r="R74" s="705"/>
      <c r="S74" s="705">
        <f>SUM(I10:I53)</f>
        <v>1564059670096</v>
      </c>
    </row>
    <row r="75" spans="3:38" ht="36" customHeight="1" x14ac:dyDescent="0.2">
      <c r="O75" s="1343" t="s">
        <v>1421</v>
      </c>
      <c r="P75" s="1344" t="s">
        <v>394</v>
      </c>
      <c r="Q75" s="1343" t="s">
        <v>1421</v>
      </c>
      <c r="R75" s="705"/>
      <c r="S75" s="705">
        <f>SUM(H10:H53)</f>
        <v>2625627044989</v>
      </c>
    </row>
    <row r="76" spans="3:38" ht="115.9" customHeight="1" x14ac:dyDescent="0.2">
      <c r="O76" s="1343" t="s">
        <v>1422</v>
      </c>
      <c r="Q76" s="1343" t="s">
        <v>1422</v>
      </c>
      <c r="R76" s="705">
        <f>I54-R77</f>
        <v>399811807537</v>
      </c>
      <c r="S76" s="705" t="e">
        <f>H54+#REF!</f>
        <v>#REF!</v>
      </c>
    </row>
    <row r="77" spans="3:38" ht="13.15" customHeight="1" x14ac:dyDescent="0.2">
      <c r="O77" s="1343" t="s">
        <v>1423</v>
      </c>
      <c r="Q77" s="1343" t="s">
        <v>1423</v>
      </c>
      <c r="R77" s="705">
        <f>SUM(I10:I52)</f>
        <v>1164247862559</v>
      </c>
    </row>
    <row r="78" spans="3:38" ht="17.25" x14ac:dyDescent="0.2">
      <c r="O78" s="1343" t="s">
        <v>1425</v>
      </c>
      <c r="Q78" s="1343" t="s">
        <v>1425</v>
      </c>
      <c r="R78" s="705" t="e">
        <f>SUM(#REF!)</f>
        <v>#REF!</v>
      </c>
    </row>
    <row r="79" spans="3:38" ht="17.25" x14ac:dyDescent="0.2">
      <c r="O79" s="1343" t="s">
        <v>1426</v>
      </c>
      <c r="P79" s="1344" t="s">
        <v>1427</v>
      </c>
      <c r="Q79" s="1343" t="s">
        <v>1426</v>
      </c>
      <c r="R79" s="705">
        <f>SUM(I55:I65)</f>
        <v>1581430716915</v>
      </c>
    </row>
    <row r="80" spans="3:38" ht="17.25" x14ac:dyDescent="0.2">
      <c r="O80" s="1343" t="s">
        <v>1428</v>
      </c>
      <c r="P80" s="1344" t="s">
        <v>1239</v>
      </c>
      <c r="Q80" s="1343" t="s">
        <v>1428</v>
      </c>
      <c r="R80" s="705">
        <f>H54+H66</f>
        <v>3830517547478</v>
      </c>
    </row>
    <row r="81" spans="15:31" ht="17.25" x14ac:dyDescent="0.2">
      <c r="O81" s="1343" t="s">
        <v>1429</v>
      </c>
      <c r="Q81" s="1343" t="s">
        <v>1429</v>
      </c>
      <c r="R81" s="705"/>
    </row>
    <row r="82" spans="15:31" ht="17.25" x14ac:dyDescent="0.2">
      <c r="O82" s="1343" t="s">
        <v>1431</v>
      </c>
      <c r="Q82" s="1343" t="s">
        <v>1431</v>
      </c>
      <c r="R82" s="705"/>
    </row>
    <row r="83" spans="15:31" ht="17.25" x14ac:dyDescent="0.2">
      <c r="O83" s="1343" t="s">
        <v>1433</v>
      </c>
      <c r="P83" s="1344" t="s">
        <v>1167</v>
      </c>
      <c r="Q83" s="1343" t="s">
        <v>1433</v>
      </c>
      <c r="R83" s="705"/>
    </row>
    <row r="84" spans="15:31" ht="17.25" x14ac:dyDescent="0.2">
      <c r="O84" s="1343" t="s">
        <v>1434</v>
      </c>
      <c r="Q84" s="1343" t="s">
        <v>1434</v>
      </c>
      <c r="R84" s="705"/>
    </row>
    <row r="85" spans="15:31" ht="17.25" x14ac:dyDescent="0.2">
      <c r="O85" s="1343" t="s">
        <v>1436</v>
      </c>
      <c r="Q85" s="1343" t="s">
        <v>1436</v>
      </c>
      <c r="R85" s="705"/>
    </row>
    <row r="86" spans="15:31" ht="18" x14ac:dyDescent="0.2">
      <c r="O86" s="1343" t="s">
        <v>1437</v>
      </c>
      <c r="Q86" s="1343" t="s">
        <v>1437</v>
      </c>
      <c r="R86" s="705"/>
      <c r="S86" s="734"/>
      <c r="T86" s="1339" t="s">
        <v>657</v>
      </c>
      <c r="U86" s="3619"/>
      <c r="V86" s="3620"/>
      <c r="W86" s="1340">
        <v>13791143057</v>
      </c>
      <c r="X86" s="1342"/>
    </row>
    <row r="87" spans="15:31" ht="18" x14ac:dyDescent="0.2">
      <c r="O87" s="1343" t="s">
        <v>1438</v>
      </c>
      <c r="P87" s="1344" t="s">
        <v>1163</v>
      </c>
      <c r="Q87" s="1343" t="s">
        <v>1438</v>
      </c>
      <c r="R87" s="705"/>
      <c r="S87" s="734"/>
      <c r="T87" s="1339" t="s">
        <v>1424</v>
      </c>
      <c r="U87" s="3619"/>
      <c r="V87" s="3620"/>
      <c r="W87" s="1340">
        <v>12860564256</v>
      </c>
      <c r="X87" s="1342"/>
    </row>
    <row r="88" spans="15:31" ht="18" x14ac:dyDescent="0.2">
      <c r="O88" s="1343" t="s">
        <v>1439</v>
      </c>
      <c r="Q88" s="1343" t="s">
        <v>1439</v>
      </c>
      <c r="R88" s="705"/>
      <c r="S88" s="734"/>
      <c r="T88" s="1339" t="s">
        <v>480</v>
      </c>
      <c r="U88" s="3619"/>
      <c r="V88" s="3620"/>
      <c r="W88" s="1340">
        <v>12658008402</v>
      </c>
      <c r="X88" s="1342"/>
    </row>
    <row r="89" spans="15:31" ht="18" x14ac:dyDescent="0.2">
      <c r="O89" s="1343" t="s">
        <v>1441</v>
      </c>
      <c r="Q89" s="1343" t="s">
        <v>1441</v>
      </c>
      <c r="R89" s="705"/>
      <c r="S89" s="734">
        <v>1502001005</v>
      </c>
      <c r="T89" s="716" t="s">
        <v>1232</v>
      </c>
      <c r="U89" s="3618" t="s">
        <v>230</v>
      </c>
      <c r="V89" s="3618"/>
      <c r="W89" s="1340">
        <v>12195309697</v>
      </c>
      <c r="X89" s="1341">
        <v>18042163618</v>
      </c>
    </row>
    <row r="90" spans="15:31" ht="18" x14ac:dyDescent="0.2">
      <c r="O90" s="1343" t="s">
        <v>1443</v>
      </c>
      <c r="Q90" s="1343" t="s">
        <v>1443</v>
      </c>
      <c r="R90" s="705"/>
      <c r="S90" s="734" t="s">
        <v>608</v>
      </c>
      <c r="T90" s="716" t="s">
        <v>1239</v>
      </c>
      <c r="U90" s="3630" t="s">
        <v>1222</v>
      </c>
      <c r="V90" s="3630"/>
      <c r="W90" s="1340">
        <v>12109544197</v>
      </c>
      <c r="X90" s="1341">
        <v>12112502776</v>
      </c>
    </row>
    <row r="91" spans="15:31" ht="18" x14ac:dyDescent="0.2">
      <c r="O91" s="1343" t="s">
        <v>1444</v>
      </c>
      <c r="P91" s="1344" t="s">
        <v>1445</v>
      </c>
      <c r="Q91" s="1343" t="s">
        <v>1444</v>
      </c>
      <c r="R91" s="1346">
        <v>9662350774</v>
      </c>
      <c r="S91" s="734"/>
      <c r="T91" s="1339" t="s">
        <v>1430</v>
      </c>
      <c r="U91" s="3611"/>
      <c r="V91" s="3612"/>
      <c r="W91" s="1340">
        <v>12008225993</v>
      </c>
      <c r="X91" s="1341"/>
      <c r="Z91" s="734" t="s">
        <v>346</v>
      </c>
      <c r="AA91" s="712" t="s">
        <v>389</v>
      </c>
      <c r="AB91" s="3632" t="s">
        <v>1220</v>
      </c>
      <c r="AC91" s="3633"/>
      <c r="AE91" s="1341">
        <v>176499112956</v>
      </c>
    </row>
    <row r="92" spans="15:31" ht="18" x14ac:dyDescent="0.2">
      <c r="O92" s="1343" t="s">
        <v>1446</v>
      </c>
      <c r="P92" s="1344" t="s">
        <v>1447</v>
      </c>
      <c r="Q92" s="1343" t="s">
        <v>1446</v>
      </c>
      <c r="R92" s="1346">
        <v>9403842721</v>
      </c>
      <c r="S92" s="734"/>
      <c r="T92" s="1339" t="s">
        <v>1432</v>
      </c>
      <c r="U92" s="3611"/>
      <c r="V92" s="3612"/>
      <c r="W92" s="1340">
        <v>11996156677</v>
      </c>
      <c r="X92" s="1341"/>
      <c r="Z92" s="734">
        <v>1307002080</v>
      </c>
      <c r="AA92" s="712" t="s">
        <v>1226</v>
      </c>
      <c r="AB92" s="3630" t="s">
        <v>323</v>
      </c>
      <c r="AC92" s="3630"/>
      <c r="AD92" s="1347"/>
      <c r="AE92" s="1341">
        <v>40919732700</v>
      </c>
    </row>
    <row r="93" spans="15:31" ht="18" x14ac:dyDescent="0.2">
      <c r="O93" s="1343" t="s">
        <v>1448</v>
      </c>
      <c r="P93" s="1344" t="s">
        <v>399</v>
      </c>
      <c r="Q93" s="1343" t="s">
        <v>1448</v>
      </c>
      <c r="R93" s="1346">
        <v>9061459542</v>
      </c>
      <c r="S93" s="734">
        <v>1307002080</v>
      </c>
      <c r="T93" s="716" t="s">
        <v>1227</v>
      </c>
      <c r="U93" s="3630" t="s">
        <v>323</v>
      </c>
      <c r="V93" s="3630"/>
      <c r="W93" s="1340">
        <v>11806421798</v>
      </c>
      <c r="X93" s="1341">
        <v>39836946153</v>
      </c>
      <c r="Z93" s="734">
        <v>1307002080</v>
      </c>
      <c r="AA93" s="712" t="s">
        <v>405</v>
      </c>
      <c r="AB93" s="3630" t="s">
        <v>1220</v>
      </c>
      <c r="AC93" s="3630"/>
      <c r="AD93" s="1347"/>
      <c r="AE93" s="1342">
        <v>38423186984</v>
      </c>
    </row>
    <row r="94" spans="15:31" ht="18" x14ac:dyDescent="0.2">
      <c r="O94" s="1343" t="s">
        <v>1449</v>
      </c>
      <c r="P94" s="1344" t="s">
        <v>1176</v>
      </c>
      <c r="Q94" s="1343" t="s">
        <v>1449</v>
      </c>
      <c r="R94" s="1346">
        <v>8462329715</v>
      </c>
      <c r="S94" s="734"/>
      <c r="T94" s="1339" t="s">
        <v>1435</v>
      </c>
      <c r="U94" s="3611"/>
      <c r="V94" s="3612"/>
      <c r="W94" s="1340">
        <v>11792731589</v>
      </c>
      <c r="X94" s="1341"/>
      <c r="Z94" s="734">
        <v>1307002080</v>
      </c>
      <c r="AA94" s="712" t="s">
        <v>1228</v>
      </c>
      <c r="AB94" s="3630" t="s">
        <v>323</v>
      </c>
      <c r="AC94" s="3630"/>
      <c r="AD94" s="1347"/>
      <c r="AE94" s="1341">
        <v>35402019364</v>
      </c>
    </row>
    <row r="95" spans="15:31" ht="18" x14ac:dyDescent="0.2">
      <c r="O95" s="1343" t="s">
        <v>1450</v>
      </c>
      <c r="P95" s="1344" t="s">
        <v>1172</v>
      </c>
      <c r="Q95" s="1343" t="s">
        <v>1450</v>
      </c>
      <c r="R95" s="1346">
        <v>8408676482</v>
      </c>
      <c r="S95" s="734"/>
      <c r="T95" s="1339" t="s">
        <v>1095</v>
      </c>
      <c r="U95" s="3611"/>
      <c r="V95" s="3612"/>
      <c r="W95" s="1340">
        <v>11507199594</v>
      </c>
      <c r="X95" s="1341"/>
      <c r="Z95" s="734">
        <v>1307002080</v>
      </c>
      <c r="AA95" s="712" t="s">
        <v>1241</v>
      </c>
      <c r="AB95" s="3630" t="s">
        <v>1220</v>
      </c>
      <c r="AC95" s="3630"/>
      <c r="AD95" s="1348"/>
      <c r="AE95" s="1341">
        <v>11968171395</v>
      </c>
    </row>
    <row r="96" spans="15:31" ht="18" x14ac:dyDescent="0.2">
      <c r="O96" s="1343" t="s">
        <v>1451</v>
      </c>
      <c r="P96" s="1344" t="s">
        <v>1452</v>
      </c>
      <c r="Q96" s="1343" t="s">
        <v>1451</v>
      </c>
      <c r="R96" s="1346">
        <v>8333855218</v>
      </c>
      <c r="S96" s="734"/>
      <c r="T96" s="1339" t="s">
        <v>650</v>
      </c>
      <c r="U96" s="3611"/>
      <c r="V96" s="3612"/>
      <c r="W96" s="1340">
        <v>11437101088</v>
      </c>
      <c r="X96" s="1341"/>
      <c r="Z96" s="734">
        <v>1307002080</v>
      </c>
      <c r="AA96" s="712" t="s">
        <v>1240</v>
      </c>
      <c r="AB96" s="3629" t="s">
        <v>323</v>
      </c>
      <c r="AC96" s="3629"/>
      <c r="AD96" s="1348"/>
      <c r="AE96" s="1341">
        <v>11650000000</v>
      </c>
    </row>
    <row r="97" spans="15:31" ht="18" x14ac:dyDescent="0.2">
      <c r="O97" s="1343" t="s">
        <v>1453</v>
      </c>
      <c r="P97" s="1344" t="s">
        <v>1212</v>
      </c>
      <c r="Q97" s="1343" t="s">
        <v>1453</v>
      </c>
      <c r="R97" s="1346">
        <v>8126607416</v>
      </c>
      <c r="S97" s="734">
        <v>1307002080</v>
      </c>
      <c r="T97" s="716" t="s">
        <v>1229</v>
      </c>
      <c r="U97" s="3631" t="s">
        <v>1220</v>
      </c>
      <c r="V97" s="3631"/>
      <c r="W97" s="1340">
        <v>11416948872</v>
      </c>
      <c r="X97" s="1087">
        <v>29881387589</v>
      </c>
      <c r="Z97" s="734" t="s">
        <v>609</v>
      </c>
      <c r="AA97" s="712" t="s">
        <v>1242</v>
      </c>
      <c r="AB97" s="3629" t="s">
        <v>607</v>
      </c>
      <c r="AC97" s="3629"/>
      <c r="AD97" s="1348"/>
      <c r="AE97" s="1341">
        <v>10843884855</v>
      </c>
    </row>
    <row r="98" spans="15:31" ht="18" x14ac:dyDescent="0.2">
      <c r="O98" s="1343" t="s">
        <v>1454</v>
      </c>
      <c r="P98" s="1344" t="s">
        <v>1169</v>
      </c>
      <c r="Q98" s="1343" t="s">
        <v>1454</v>
      </c>
      <c r="R98" s="1346">
        <v>8067727930</v>
      </c>
      <c r="S98" s="734"/>
      <c r="T98" s="1339" t="s">
        <v>1440</v>
      </c>
      <c r="U98" s="3616"/>
      <c r="V98" s="3617"/>
      <c r="W98" s="1340">
        <v>11338446954</v>
      </c>
      <c r="X98" s="712"/>
    </row>
    <row r="99" spans="15:31" ht="18" x14ac:dyDescent="0.2">
      <c r="O99" s="1343" t="s">
        <v>1455</v>
      </c>
      <c r="P99" s="1344" t="s">
        <v>1456</v>
      </c>
      <c r="Q99" s="1343" t="s">
        <v>1455</v>
      </c>
      <c r="R99" s="1346">
        <v>7556540356</v>
      </c>
      <c r="S99" s="734"/>
      <c r="T99" s="1339" t="s">
        <v>1442</v>
      </c>
      <c r="U99" s="3611"/>
      <c r="V99" s="3612"/>
      <c r="W99" s="1340">
        <v>10929954162</v>
      </c>
      <c r="X99" s="1341"/>
    </row>
    <row r="100" spans="15:31" ht="18" x14ac:dyDescent="0.2">
      <c r="O100" s="1343" t="s">
        <v>1457</v>
      </c>
      <c r="P100" s="1344" t="s">
        <v>479</v>
      </c>
      <c r="Q100" s="1343" t="s">
        <v>1457</v>
      </c>
      <c r="R100" s="1346">
        <v>7353466588</v>
      </c>
      <c r="S100" s="734"/>
      <c r="T100" s="1339" t="s">
        <v>485</v>
      </c>
      <c r="U100" s="3611"/>
      <c r="V100" s="3612"/>
      <c r="W100" s="1340">
        <v>10237848000</v>
      </c>
      <c r="X100" s="1341"/>
    </row>
    <row r="101" spans="15:31" ht="17.25" x14ac:dyDescent="0.2">
      <c r="O101" s="1343" t="s">
        <v>1458</v>
      </c>
      <c r="P101" s="1344" t="s">
        <v>1459</v>
      </c>
      <c r="Q101" s="1343" t="s">
        <v>1458</v>
      </c>
      <c r="R101" s="1346">
        <v>6868721799</v>
      </c>
    </row>
    <row r="102" spans="15:31" ht="17.25" x14ac:dyDescent="0.2">
      <c r="O102" s="1343" t="s">
        <v>1460</v>
      </c>
      <c r="P102" s="1344" t="s">
        <v>1461</v>
      </c>
      <c r="Q102" s="1343" t="s">
        <v>1460</v>
      </c>
      <c r="R102" s="1346">
        <v>6822507238</v>
      </c>
    </row>
    <row r="103" spans="15:31" ht="17.25" x14ac:dyDescent="0.2">
      <c r="O103" s="1343" t="s">
        <v>1462</v>
      </c>
      <c r="P103" s="1344" t="s">
        <v>402</v>
      </c>
      <c r="Q103" s="1343" t="s">
        <v>1462</v>
      </c>
      <c r="R103" s="1346">
        <v>6334890313</v>
      </c>
    </row>
    <row r="104" spans="15:31" ht="17.25" x14ac:dyDescent="0.2">
      <c r="O104" s="1343" t="s">
        <v>1463</v>
      </c>
      <c r="P104" s="1344" t="s">
        <v>1464</v>
      </c>
      <c r="Q104" s="1343" t="s">
        <v>1463</v>
      </c>
      <c r="R104" s="1346">
        <v>5835348657</v>
      </c>
    </row>
    <row r="105" spans="15:31" ht="17.25" x14ac:dyDescent="0.2">
      <c r="O105" s="1343" t="s">
        <v>1465</v>
      </c>
      <c r="P105" s="1344" t="s">
        <v>1466</v>
      </c>
      <c r="Q105" s="1343" t="s">
        <v>1465</v>
      </c>
      <c r="R105" s="1346">
        <v>4992955098</v>
      </c>
    </row>
    <row r="106" spans="15:31" ht="17.25" x14ac:dyDescent="0.2">
      <c r="O106" s="1343" t="s">
        <v>1467</v>
      </c>
      <c r="P106" s="1344" t="s">
        <v>1241</v>
      </c>
      <c r="Q106" s="1343" t="s">
        <v>1467</v>
      </c>
      <c r="R106" s="1346">
        <v>4598404368</v>
      </c>
    </row>
    <row r="107" spans="15:31" ht="17.25" x14ac:dyDescent="0.2">
      <c r="O107" s="1343" t="s">
        <v>1468</v>
      </c>
      <c r="P107" s="1344" t="s">
        <v>1469</v>
      </c>
      <c r="Q107" s="1343" t="s">
        <v>1468</v>
      </c>
      <c r="R107" s="1346">
        <v>4550000000</v>
      </c>
    </row>
    <row r="108" spans="15:31" ht="17.25" x14ac:dyDescent="0.2">
      <c r="O108" s="1343" t="s">
        <v>1470</v>
      </c>
      <c r="P108" s="1344" t="s">
        <v>1471</v>
      </c>
      <c r="Q108" s="1343" t="s">
        <v>1470</v>
      </c>
      <c r="R108" s="1346">
        <v>4357500000</v>
      </c>
    </row>
    <row r="109" spans="15:31" ht="17.25" x14ac:dyDescent="0.2">
      <c r="O109" s="1343" t="s">
        <v>1472</v>
      </c>
      <c r="P109" s="1344" t="s">
        <v>654</v>
      </c>
      <c r="Q109" s="1343" t="s">
        <v>1472</v>
      </c>
      <c r="R109" s="1346">
        <v>4342059487</v>
      </c>
    </row>
    <row r="110" spans="15:31" ht="17.25" x14ac:dyDescent="0.2">
      <c r="O110" s="1343" t="s">
        <v>1473</v>
      </c>
      <c r="P110" s="1344" t="s">
        <v>1474</v>
      </c>
      <c r="Q110" s="1343" t="s">
        <v>1473</v>
      </c>
      <c r="R110" s="1346">
        <v>4202179000</v>
      </c>
    </row>
    <row r="111" spans="15:31" ht="17.25" x14ac:dyDescent="0.2">
      <c r="O111" s="1343" t="s">
        <v>1475</v>
      </c>
      <c r="P111" s="1344" t="s">
        <v>481</v>
      </c>
      <c r="Q111" s="1343" t="s">
        <v>1475</v>
      </c>
      <c r="R111" s="1346">
        <v>4181785476</v>
      </c>
    </row>
    <row r="112" spans="15:31" ht="17.25" x14ac:dyDescent="0.2">
      <c r="O112" s="1343" t="s">
        <v>1476</v>
      </c>
      <c r="P112" s="1344" t="s">
        <v>1477</v>
      </c>
      <c r="Q112" s="1343" t="s">
        <v>1476</v>
      </c>
      <c r="R112" s="1346">
        <v>4023334791</v>
      </c>
    </row>
    <row r="113" spans="15:18" ht="17.25" x14ac:dyDescent="0.2">
      <c r="O113" s="1343" t="s">
        <v>1478</v>
      </c>
      <c r="P113" s="1344" t="s">
        <v>1479</v>
      </c>
      <c r="Q113" s="1343" t="s">
        <v>1478</v>
      </c>
      <c r="R113" s="1346">
        <v>3953476360</v>
      </c>
    </row>
    <row r="114" spans="15:18" ht="17.25" x14ac:dyDescent="0.2">
      <c r="O114" s="1343" t="s">
        <v>1480</v>
      </c>
      <c r="P114" s="1344" t="s">
        <v>1481</v>
      </c>
      <c r="Q114" s="1343" t="s">
        <v>1480</v>
      </c>
      <c r="R114" s="1346">
        <v>3869506188</v>
      </c>
    </row>
    <row r="115" spans="15:18" ht="17.25" x14ac:dyDescent="0.2">
      <c r="O115" s="1343" t="s">
        <v>1482</v>
      </c>
      <c r="P115" s="1344" t="s">
        <v>413</v>
      </c>
      <c r="Q115" s="1343" t="s">
        <v>1482</v>
      </c>
      <c r="R115" s="1346">
        <v>3778554644</v>
      </c>
    </row>
    <row r="116" spans="15:18" ht="17.25" x14ac:dyDescent="0.2">
      <c r="O116" s="1343" t="s">
        <v>1483</v>
      </c>
      <c r="P116" s="1344" t="s">
        <v>1097</v>
      </c>
      <c r="Q116" s="1343" t="s">
        <v>1483</v>
      </c>
      <c r="R116" s="1346">
        <v>3726343415</v>
      </c>
    </row>
    <row r="117" spans="15:18" ht="17.25" x14ac:dyDescent="0.2">
      <c r="O117" s="1343" t="s">
        <v>1484</v>
      </c>
      <c r="P117" s="1344" t="s">
        <v>1485</v>
      </c>
      <c r="Q117" s="1343" t="s">
        <v>1484</v>
      </c>
      <c r="R117" s="1346">
        <v>3652027418</v>
      </c>
    </row>
    <row r="118" spans="15:18" ht="17.25" x14ac:dyDescent="0.2">
      <c r="O118" s="1343" t="s">
        <v>1486</v>
      </c>
      <c r="P118" s="1344" t="s">
        <v>1487</v>
      </c>
      <c r="Q118" s="1343" t="s">
        <v>1486</v>
      </c>
      <c r="R118" s="1346">
        <v>3313178175</v>
      </c>
    </row>
    <row r="119" spans="15:18" ht="17.25" x14ac:dyDescent="0.2">
      <c r="O119" s="1343" t="s">
        <v>1488</v>
      </c>
      <c r="P119" s="1344" t="s">
        <v>1489</v>
      </c>
      <c r="Q119" s="1343" t="s">
        <v>1488</v>
      </c>
      <c r="R119" s="1346">
        <v>2967555379</v>
      </c>
    </row>
    <row r="120" spans="15:18" ht="17.25" x14ac:dyDescent="0.2">
      <c r="O120" s="1343" t="s">
        <v>1490</v>
      </c>
      <c r="P120" s="1344" t="s">
        <v>1088</v>
      </c>
      <c r="Q120" s="1343" t="s">
        <v>1490</v>
      </c>
      <c r="R120" s="1346">
        <v>2853841307</v>
      </c>
    </row>
    <row r="121" spans="15:18" ht="17.25" x14ac:dyDescent="0.2">
      <c r="O121" s="1343" t="s">
        <v>1491</v>
      </c>
      <c r="P121" s="1344" t="s">
        <v>1492</v>
      </c>
      <c r="Q121" s="1343" t="s">
        <v>1491</v>
      </c>
      <c r="R121" s="1346">
        <v>2800000000</v>
      </c>
    </row>
    <row r="122" spans="15:18" ht="17.25" x14ac:dyDescent="0.2">
      <c r="O122" s="1343" t="s">
        <v>1493</v>
      </c>
      <c r="P122" s="1344" t="s">
        <v>1494</v>
      </c>
      <c r="Q122" s="1343" t="s">
        <v>1493</v>
      </c>
      <c r="R122" s="1346">
        <v>2742075883</v>
      </c>
    </row>
    <row r="123" spans="15:18" ht="17.25" x14ac:dyDescent="0.2">
      <c r="O123" s="1343" t="s">
        <v>1495</v>
      </c>
      <c r="P123" s="1344" t="s">
        <v>1496</v>
      </c>
      <c r="Q123" s="1343" t="s">
        <v>1495</v>
      </c>
      <c r="R123" s="1346">
        <v>2614054575</v>
      </c>
    </row>
    <row r="124" spans="15:18" ht="17.25" x14ac:dyDescent="0.2">
      <c r="O124" s="1343" t="s">
        <v>1497</v>
      </c>
      <c r="P124" s="1344" t="s">
        <v>1498</v>
      </c>
      <c r="Q124" s="1343" t="s">
        <v>1497</v>
      </c>
      <c r="R124" s="1346">
        <v>2589705361</v>
      </c>
    </row>
    <row r="125" spans="15:18" ht="17.25" x14ac:dyDescent="0.2">
      <c r="O125" s="1343" t="s">
        <v>1499</v>
      </c>
      <c r="P125" s="1344" t="s">
        <v>1098</v>
      </c>
      <c r="Q125" s="1343" t="s">
        <v>1499</v>
      </c>
      <c r="R125" s="1346">
        <v>2405195226</v>
      </c>
    </row>
    <row r="126" spans="15:18" ht="17.25" x14ac:dyDescent="0.2">
      <c r="O126" s="1343" t="s">
        <v>1500</v>
      </c>
      <c r="P126" s="1344" t="s">
        <v>1501</v>
      </c>
      <c r="Q126" s="1343" t="s">
        <v>1500</v>
      </c>
      <c r="R126" s="1346">
        <v>2381554549</v>
      </c>
    </row>
    <row r="127" spans="15:18" ht="17.25" x14ac:dyDescent="0.2">
      <c r="O127" s="1343" t="s">
        <v>1502</v>
      </c>
      <c r="P127" s="1344" t="s">
        <v>1503</v>
      </c>
      <c r="Q127" s="1343" t="s">
        <v>1502</v>
      </c>
      <c r="R127" s="1346">
        <v>2299488142</v>
      </c>
    </row>
    <row r="128" spans="15:18" ht="17.25" x14ac:dyDescent="0.2">
      <c r="O128" s="1343" t="s">
        <v>1504</v>
      </c>
      <c r="P128" s="1344" t="s">
        <v>1505</v>
      </c>
      <c r="Q128" s="1343" t="s">
        <v>1504</v>
      </c>
      <c r="R128" s="1346">
        <v>2118366181</v>
      </c>
    </row>
    <row r="129" spans="15:18" ht="17.25" x14ac:dyDescent="0.2">
      <c r="O129" s="1343" t="s">
        <v>1506</v>
      </c>
      <c r="P129" s="1344" t="s">
        <v>1507</v>
      </c>
      <c r="Q129" s="1343" t="s">
        <v>1506</v>
      </c>
      <c r="R129" s="1346">
        <v>1896646620</v>
      </c>
    </row>
    <row r="130" spans="15:18" ht="17.25" x14ac:dyDescent="0.2">
      <c r="O130" s="1343" t="s">
        <v>1508</v>
      </c>
      <c r="P130" s="1344" t="s">
        <v>1509</v>
      </c>
      <c r="Q130" s="1343" t="s">
        <v>1508</v>
      </c>
      <c r="R130" s="1346">
        <v>1833491297</v>
      </c>
    </row>
    <row r="131" spans="15:18" ht="17.25" x14ac:dyDescent="0.2">
      <c r="O131" s="1343" t="s">
        <v>1510</v>
      </c>
      <c r="P131" s="1344" t="s">
        <v>1511</v>
      </c>
      <c r="Q131" s="1343" t="s">
        <v>1510</v>
      </c>
      <c r="R131" s="1346">
        <v>1814004044</v>
      </c>
    </row>
    <row r="132" spans="15:18" ht="17.25" x14ac:dyDescent="0.2">
      <c r="O132" s="1343" t="s">
        <v>1512</v>
      </c>
      <c r="P132" s="1344" t="s">
        <v>482</v>
      </c>
      <c r="Q132" s="1343" t="s">
        <v>1512</v>
      </c>
      <c r="R132" s="1346">
        <v>1573975197</v>
      </c>
    </row>
    <row r="133" spans="15:18" ht="17.25" x14ac:dyDescent="0.2">
      <c r="O133" s="1343" t="s">
        <v>1513</v>
      </c>
      <c r="P133" s="1344" t="s">
        <v>1514</v>
      </c>
      <c r="Q133" s="1343" t="s">
        <v>1513</v>
      </c>
      <c r="R133" s="1346">
        <v>1524402239</v>
      </c>
    </row>
    <row r="134" spans="15:18" ht="17.25" x14ac:dyDescent="0.2">
      <c r="O134" s="1343" t="s">
        <v>1515</v>
      </c>
      <c r="P134" s="1344" t="s">
        <v>1516</v>
      </c>
      <c r="Q134" s="1343" t="s">
        <v>1515</v>
      </c>
      <c r="R134" s="1346">
        <v>1325563177</v>
      </c>
    </row>
    <row r="135" spans="15:18" ht="17.25" x14ac:dyDescent="0.2">
      <c r="O135" s="1343" t="s">
        <v>1517</v>
      </c>
      <c r="P135" s="1344" t="s">
        <v>1518</v>
      </c>
      <c r="Q135" s="1343" t="s">
        <v>1517</v>
      </c>
      <c r="R135" s="1346">
        <v>1270865854</v>
      </c>
    </row>
    <row r="136" spans="15:18" ht="17.25" x14ac:dyDescent="0.2">
      <c r="O136" s="1343" t="s">
        <v>1519</v>
      </c>
      <c r="P136" s="1344" t="s">
        <v>1520</v>
      </c>
      <c r="Q136" s="1343" t="s">
        <v>1519</v>
      </c>
      <c r="R136" s="1346">
        <v>1251351391</v>
      </c>
    </row>
    <row r="137" spans="15:18" ht="17.25" x14ac:dyDescent="0.2">
      <c r="O137" s="1343" t="s">
        <v>1521</v>
      </c>
      <c r="P137" s="1344" t="s">
        <v>1522</v>
      </c>
      <c r="Q137" s="1343" t="s">
        <v>1521</v>
      </c>
      <c r="R137" s="1346">
        <v>1188664598</v>
      </c>
    </row>
    <row r="138" spans="15:18" ht="17.25" x14ac:dyDescent="0.2">
      <c r="O138" s="1343" t="s">
        <v>1523</v>
      </c>
      <c r="P138" s="1344" t="s">
        <v>1524</v>
      </c>
      <c r="Q138" s="1343" t="s">
        <v>1523</v>
      </c>
      <c r="R138" s="1346">
        <v>1165659281</v>
      </c>
    </row>
    <row r="139" spans="15:18" ht="17.25" x14ac:dyDescent="0.2">
      <c r="O139" s="1343" t="s">
        <v>1525</v>
      </c>
      <c r="P139" s="1344" t="s">
        <v>1526</v>
      </c>
      <c r="Q139" s="1343" t="s">
        <v>1525</v>
      </c>
      <c r="R139" s="1346">
        <v>1150978062</v>
      </c>
    </row>
    <row r="140" spans="15:18" ht="17.25" x14ac:dyDescent="0.2">
      <c r="O140" s="1343" t="s">
        <v>1527</v>
      </c>
      <c r="P140" s="1344" t="s">
        <v>1528</v>
      </c>
      <c r="Q140" s="1343" t="s">
        <v>1527</v>
      </c>
      <c r="R140" s="1346">
        <v>1097049362</v>
      </c>
    </row>
    <row r="141" spans="15:18" ht="17.25" x14ac:dyDescent="0.2">
      <c r="O141" s="1343" t="s">
        <v>1529</v>
      </c>
      <c r="P141" s="1344" t="s">
        <v>483</v>
      </c>
      <c r="Q141" s="1343" t="s">
        <v>1529</v>
      </c>
      <c r="R141" s="1346">
        <v>1075551972</v>
      </c>
    </row>
    <row r="142" spans="15:18" ht="17.25" x14ac:dyDescent="0.2">
      <c r="O142" s="1343" t="s">
        <v>1530</v>
      </c>
      <c r="P142" s="1344" t="s">
        <v>1531</v>
      </c>
      <c r="Q142" s="1343" t="s">
        <v>1530</v>
      </c>
      <c r="R142" s="1346">
        <v>979755893</v>
      </c>
    </row>
    <row r="143" spans="15:18" ht="17.25" x14ac:dyDescent="0.2">
      <c r="O143" s="1343" t="s">
        <v>1532</v>
      </c>
      <c r="P143" s="1344" t="s">
        <v>1533</v>
      </c>
      <c r="Q143" s="1343" t="s">
        <v>1532</v>
      </c>
      <c r="R143" s="1346">
        <v>975000000</v>
      </c>
    </row>
    <row r="144" spans="15:18" ht="17.25" x14ac:dyDescent="0.2">
      <c r="O144" s="1343" t="s">
        <v>1534</v>
      </c>
      <c r="P144" s="1344" t="s">
        <v>1535</v>
      </c>
      <c r="Q144" s="1343" t="s">
        <v>1534</v>
      </c>
      <c r="R144" s="1346">
        <v>945000000</v>
      </c>
    </row>
    <row r="145" spans="15:18" ht="17.25" x14ac:dyDescent="0.2">
      <c r="O145" s="1343" t="s">
        <v>1536</v>
      </c>
      <c r="P145" s="1344" t="s">
        <v>1537</v>
      </c>
      <c r="Q145" s="1343" t="s">
        <v>1536</v>
      </c>
      <c r="R145" s="1346">
        <v>936000000</v>
      </c>
    </row>
    <row r="146" spans="15:18" ht="17.25" x14ac:dyDescent="0.2">
      <c r="O146" s="1343" t="s">
        <v>1538</v>
      </c>
      <c r="P146" s="1344" t="s">
        <v>1539</v>
      </c>
      <c r="Q146" s="1343" t="s">
        <v>1538</v>
      </c>
      <c r="R146" s="1346">
        <v>858895790</v>
      </c>
    </row>
    <row r="147" spans="15:18" ht="17.25" x14ac:dyDescent="0.2">
      <c r="O147" s="1343" t="s">
        <v>1540</v>
      </c>
      <c r="P147" s="1344" t="s">
        <v>1541</v>
      </c>
      <c r="Q147" s="1343" t="s">
        <v>1540</v>
      </c>
      <c r="R147" s="1346">
        <v>849419130</v>
      </c>
    </row>
    <row r="148" spans="15:18" ht="17.25" x14ac:dyDescent="0.2">
      <c r="O148" s="1343" t="s">
        <v>1542</v>
      </c>
      <c r="P148" s="1344" t="s">
        <v>1543</v>
      </c>
      <c r="Q148" s="1343" t="s">
        <v>1542</v>
      </c>
      <c r="R148" s="1346">
        <v>815174280</v>
      </c>
    </row>
    <row r="149" spans="15:18" ht="17.25" x14ac:dyDescent="0.2">
      <c r="O149" s="1343" t="s">
        <v>1544</v>
      </c>
      <c r="P149" s="1344" t="s">
        <v>1545</v>
      </c>
      <c r="Q149" s="1343" t="s">
        <v>1544</v>
      </c>
      <c r="R149" s="1346">
        <v>810326954</v>
      </c>
    </row>
    <row r="150" spans="15:18" ht="17.25" x14ac:dyDescent="0.2">
      <c r="O150" s="1343" t="s">
        <v>1546</v>
      </c>
      <c r="P150" s="1344" t="s">
        <v>1547</v>
      </c>
      <c r="Q150" s="1343" t="s">
        <v>1546</v>
      </c>
      <c r="R150" s="1346">
        <v>806830048</v>
      </c>
    </row>
    <row r="151" spans="15:18" ht="17.25" x14ac:dyDescent="0.2">
      <c r="O151" s="1343" t="s">
        <v>1548</v>
      </c>
      <c r="P151" s="1344" t="s">
        <v>1549</v>
      </c>
      <c r="Q151" s="1343" t="s">
        <v>1548</v>
      </c>
      <c r="R151" s="1346">
        <v>792226054</v>
      </c>
    </row>
    <row r="152" spans="15:18" ht="17.25" x14ac:dyDescent="0.2">
      <c r="O152" s="1343" t="s">
        <v>1550</v>
      </c>
      <c r="P152" s="1344" t="s">
        <v>1551</v>
      </c>
      <c r="Q152" s="1343" t="s">
        <v>1550</v>
      </c>
      <c r="R152" s="1346">
        <v>775888947</v>
      </c>
    </row>
    <row r="153" spans="15:18" ht="17.25" x14ac:dyDescent="0.2">
      <c r="O153" s="1343" t="s">
        <v>1552</v>
      </c>
      <c r="P153" s="1344" t="s">
        <v>1242</v>
      </c>
      <c r="Q153" s="1343" t="s">
        <v>1552</v>
      </c>
      <c r="R153" s="1346">
        <v>723706080</v>
      </c>
    </row>
    <row r="154" spans="15:18" ht="17.25" x14ac:dyDescent="0.2">
      <c r="O154" s="1343" t="s">
        <v>1553</v>
      </c>
      <c r="P154" s="1344" t="s">
        <v>1554</v>
      </c>
      <c r="Q154" s="1343" t="s">
        <v>1553</v>
      </c>
      <c r="R154" s="1346">
        <v>708496866</v>
      </c>
    </row>
    <row r="155" spans="15:18" ht="17.25" x14ac:dyDescent="0.2">
      <c r="O155" s="1343" t="s">
        <v>1555</v>
      </c>
      <c r="P155" s="1344" t="s">
        <v>1556</v>
      </c>
      <c r="Q155" s="1343" t="s">
        <v>1555</v>
      </c>
      <c r="R155" s="1346">
        <v>704047626</v>
      </c>
    </row>
    <row r="156" spans="15:18" ht="17.25" x14ac:dyDescent="0.2">
      <c r="O156" s="1343" t="s">
        <v>1557</v>
      </c>
      <c r="P156" s="1344" t="s">
        <v>1175</v>
      </c>
      <c r="Q156" s="1343" t="s">
        <v>1557</v>
      </c>
      <c r="R156" s="1346">
        <v>685209406</v>
      </c>
    </row>
    <row r="157" spans="15:18" ht="17.25" x14ac:dyDescent="0.2">
      <c r="O157" s="1343" t="s">
        <v>1558</v>
      </c>
      <c r="P157" s="1344" t="s">
        <v>1559</v>
      </c>
      <c r="Q157" s="1343" t="s">
        <v>1558</v>
      </c>
      <c r="R157" s="1346">
        <v>550894337</v>
      </c>
    </row>
    <row r="158" spans="15:18" ht="17.25" x14ac:dyDescent="0.2">
      <c r="O158" s="1343" t="s">
        <v>1560</v>
      </c>
      <c r="P158" s="1344" t="s">
        <v>1561</v>
      </c>
      <c r="Q158" s="1343" t="s">
        <v>1560</v>
      </c>
      <c r="R158" s="1346">
        <v>511779833</v>
      </c>
    </row>
    <row r="159" spans="15:18" ht="17.25" x14ac:dyDescent="0.2">
      <c r="O159" s="1343" t="s">
        <v>1562</v>
      </c>
      <c r="P159" s="1344" t="s">
        <v>1563</v>
      </c>
      <c r="Q159" s="1343" t="s">
        <v>1562</v>
      </c>
      <c r="R159" s="1346">
        <v>482856337</v>
      </c>
    </row>
    <row r="160" spans="15:18" ht="17.25" x14ac:dyDescent="0.2">
      <c r="O160" s="1343" t="s">
        <v>1564</v>
      </c>
      <c r="P160" s="1344" t="s">
        <v>1565</v>
      </c>
      <c r="Q160" s="1343" t="s">
        <v>1564</v>
      </c>
      <c r="R160" s="1346">
        <v>466409500</v>
      </c>
    </row>
    <row r="161" spans="15:18" ht="17.25" x14ac:dyDescent="0.2">
      <c r="O161" s="1343" t="s">
        <v>1566</v>
      </c>
      <c r="P161" s="1344" t="s">
        <v>1567</v>
      </c>
      <c r="Q161" s="1343" t="s">
        <v>1566</v>
      </c>
      <c r="R161" s="1346">
        <v>459486848</v>
      </c>
    </row>
    <row r="162" spans="15:18" ht="17.25" x14ac:dyDescent="0.2">
      <c r="O162" s="1343" t="s">
        <v>1568</v>
      </c>
      <c r="P162" s="1344" t="s">
        <v>1569</v>
      </c>
      <c r="Q162" s="1343" t="s">
        <v>1568</v>
      </c>
      <c r="R162" s="1346">
        <v>448662677</v>
      </c>
    </row>
    <row r="163" spans="15:18" ht="17.25" x14ac:dyDescent="0.2">
      <c r="O163" s="1343" t="s">
        <v>1570</v>
      </c>
      <c r="P163" s="1344" t="s">
        <v>1571</v>
      </c>
      <c r="Q163" s="1343" t="s">
        <v>1570</v>
      </c>
      <c r="R163" s="1346">
        <v>340297656</v>
      </c>
    </row>
    <row r="164" spans="15:18" ht="17.25" x14ac:dyDescent="0.2">
      <c r="O164" s="1343" t="s">
        <v>1572</v>
      </c>
      <c r="P164" s="1344" t="s">
        <v>1573</v>
      </c>
      <c r="Q164" s="1343" t="s">
        <v>1572</v>
      </c>
      <c r="R164" s="1346">
        <v>308062216</v>
      </c>
    </row>
    <row r="165" spans="15:18" ht="17.25" x14ac:dyDescent="0.2">
      <c r="O165" s="1343" t="s">
        <v>1574</v>
      </c>
      <c r="P165" s="1344" t="s">
        <v>1575</v>
      </c>
      <c r="Q165" s="1343" t="s">
        <v>1574</v>
      </c>
      <c r="R165" s="1346">
        <v>289650000</v>
      </c>
    </row>
    <row r="166" spans="15:18" ht="17.25" x14ac:dyDescent="0.2">
      <c r="O166" s="1343" t="s">
        <v>1576</v>
      </c>
      <c r="P166" s="1344" t="s">
        <v>1577</v>
      </c>
      <c r="Q166" s="1343" t="s">
        <v>1576</v>
      </c>
      <c r="R166" s="1346">
        <v>250000000</v>
      </c>
    </row>
    <row r="167" spans="15:18" ht="17.25" x14ac:dyDescent="0.2">
      <c r="O167" s="1343" t="s">
        <v>1578</v>
      </c>
      <c r="P167" s="1344" t="s">
        <v>1579</v>
      </c>
      <c r="Q167" s="1343" t="s">
        <v>1578</v>
      </c>
      <c r="R167" s="1346">
        <v>226906073</v>
      </c>
    </row>
    <row r="168" spans="15:18" ht="17.25" x14ac:dyDescent="0.2">
      <c r="O168" s="1343" t="s">
        <v>1580</v>
      </c>
      <c r="P168" s="1344" t="s">
        <v>1581</v>
      </c>
      <c r="Q168" s="1343" t="s">
        <v>1580</v>
      </c>
      <c r="R168" s="1346">
        <v>226227590</v>
      </c>
    </row>
    <row r="169" spans="15:18" ht="17.25" x14ac:dyDescent="0.2">
      <c r="O169" s="1343" t="s">
        <v>1582</v>
      </c>
      <c r="P169" s="1344" t="s">
        <v>1583</v>
      </c>
      <c r="Q169" s="1343" t="s">
        <v>1582</v>
      </c>
      <c r="R169" s="1346">
        <v>225177745</v>
      </c>
    </row>
    <row r="170" spans="15:18" ht="17.25" x14ac:dyDescent="0.2">
      <c r="O170" s="1343" t="s">
        <v>1584</v>
      </c>
      <c r="P170" s="1344" t="s">
        <v>1585</v>
      </c>
      <c r="Q170" s="1343" t="s">
        <v>1584</v>
      </c>
      <c r="R170" s="1346">
        <v>212232769</v>
      </c>
    </row>
    <row r="171" spans="15:18" ht="17.25" x14ac:dyDescent="0.2">
      <c r="O171" s="1343" t="s">
        <v>1586</v>
      </c>
      <c r="P171" s="1344" t="s">
        <v>1587</v>
      </c>
      <c r="Q171" s="1343" t="s">
        <v>1586</v>
      </c>
      <c r="R171" s="1346">
        <v>204903414</v>
      </c>
    </row>
    <row r="172" spans="15:18" ht="17.25" x14ac:dyDescent="0.2">
      <c r="O172" s="1343" t="s">
        <v>1588</v>
      </c>
      <c r="P172" s="1344" t="s">
        <v>1589</v>
      </c>
      <c r="Q172" s="1343" t="s">
        <v>1588</v>
      </c>
      <c r="R172" s="1346">
        <v>183015627</v>
      </c>
    </row>
    <row r="173" spans="15:18" ht="17.25" x14ac:dyDescent="0.2">
      <c r="O173" s="1343" t="s">
        <v>1590</v>
      </c>
      <c r="P173" s="1344" t="s">
        <v>1591</v>
      </c>
      <c r="Q173" s="1343" t="s">
        <v>1590</v>
      </c>
      <c r="R173" s="1346">
        <v>182720252</v>
      </c>
    </row>
    <row r="174" spans="15:18" ht="17.25" x14ac:dyDescent="0.2">
      <c r="O174" s="1343" t="s">
        <v>1592</v>
      </c>
      <c r="P174" s="1344" t="s">
        <v>1593</v>
      </c>
      <c r="Q174" s="1343" t="s">
        <v>1592</v>
      </c>
      <c r="R174" s="1346">
        <v>166714954</v>
      </c>
    </row>
    <row r="175" spans="15:18" ht="17.25" x14ac:dyDescent="0.2">
      <c r="O175" s="1343" t="s">
        <v>1594</v>
      </c>
      <c r="P175" s="1344" t="s">
        <v>1595</v>
      </c>
      <c r="Q175" s="1343" t="s">
        <v>1594</v>
      </c>
      <c r="R175" s="1346">
        <v>158217986</v>
      </c>
    </row>
    <row r="176" spans="15:18" ht="17.25" x14ac:dyDescent="0.2">
      <c r="O176" s="1343" t="s">
        <v>1596</v>
      </c>
      <c r="P176" s="1344" t="s">
        <v>1597</v>
      </c>
      <c r="Q176" s="1343" t="s">
        <v>1596</v>
      </c>
      <c r="R176" s="1346">
        <v>156702521</v>
      </c>
    </row>
    <row r="177" spans="15:18" ht="17.25" x14ac:dyDescent="0.2">
      <c r="O177" s="1343" t="s">
        <v>1598</v>
      </c>
      <c r="P177" s="1344" t="s">
        <v>1599</v>
      </c>
      <c r="Q177" s="1343" t="s">
        <v>1598</v>
      </c>
      <c r="R177" s="1346">
        <v>150000000</v>
      </c>
    </row>
    <row r="178" spans="15:18" ht="17.25" x14ac:dyDescent="0.2">
      <c r="O178" s="1343" t="s">
        <v>1600</v>
      </c>
      <c r="P178" s="1344" t="s">
        <v>1601</v>
      </c>
      <c r="Q178" s="1343" t="s">
        <v>1600</v>
      </c>
      <c r="R178" s="1346">
        <v>147956641</v>
      </c>
    </row>
    <row r="179" spans="15:18" ht="17.25" x14ac:dyDescent="0.2">
      <c r="O179" s="1343" t="s">
        <v>1602</v>
      </c>
      <c r="P179" s="1344" t="s">
        <v>1603</v>
      </c>
      <c r="Q179" s="1343" t="s">
        <v>1602</v>
      </c>
      <c r="R179" s="1346">
        <v>147936606</v>
      </c>
    </row>
    <row r="180" spans="15:18" ht="17.25" x14ac:dyDescent="0.2">
      <c r="O180" s="1343" t="s">
        <v>1604</v>
      </c>
      <c r="P180" s="1344" t="s">
        <v>1605</v>
      </c>
      <c r="Q180" s="1343" t="s">
        <v>1604</v>
      </c>
      <c r="R180" s="1346">
        <v>131382868</v>
      </c>
    </row>
    <row r="181" spans="15:18" ht="17.25" x14ac:dyDescent="0.2">
      <c r="O181" s="1343" t="s">
        <v>1606</v>
      </c>
      <c r="P181" s="1344" t="s">
        <v>1607</v>
      </c>
      <c r="Q181" s="1343" t="s">
        <v>1606</v>
      </c>
      <c r="R181" s="1346">
        <v>113720000</v>
      </c>
    </row>
    <row r="182" spans="15:18" ht="17.25" x14ac:dyDescent="0.2">
      <c r="O182" s="1343" t="s">
        <v>1608</v>
      </c>
      <c r="P182" s="1344" t="s">
        <v>1609</v>
      </c>
      <c r="Q182" s="1343" t="s">
        <v>1608</v>
      </c>
      <c r="R182" s="1346">
        <v>93836910</v>
      </c>
    </row>
    <row r="183" spans="15:18" ht="17.25" x14ac:dyDescent="0.2">
      <c r="O183" s="1343" t="s">
        <v>1610</v>
      </c>
      <c r="P183" s="1344" t="s">
        <v>1611</v>
      </c>
      <c r="Q183" s="1343" t="s">
        <v>1610</v>
      </c>
      <c r="R183" s="1346">
        <v>91750000</v>
      </c>
    </row>
    <row r="184" spans="15:18" ht="17.25" x14ac:dyDescent="0.2">
      <c r="O184" s="1343" t="s">
        <v>1612</v>
      </c>
      <c r="P184" s="1344" t="s">
        <v>1613</v>
      </c>
      <c r="Q184" s="1343" t="s">
        <v>1612</v>
      </c>
      <c r="R184" s="1346">
        <v>87656141</v>
      </c>
    </row>
    <row r="185" spans="15:18" ht="17.25" x14ac:dyDescent="0.2">
      <c r="O185" s="1343" t="s">
        <v>1614</v>
      </c>
      <c r="P185" s="1344" t="s">
        <v>1615</v>
      </c>
      <c r="Q185" s="1343" t="s">
        <v>1614</v>
      </c>
      <c r="R185" s="1346">
        <v>86198748</v>
      </c>
    </row>
    <row r="186" spans="15:18" ht="17.25" x14ac:dyDescent="0.2">
      <c r="O186" s="1343" t="s">
        <v>1616</v>
      </c>
      <c r="P186" s="1344" t="s">
        <v>1617</v>
      </c>
      <c r="Q186" s="1343" t="s">
        <v>1616</v>
      </c>
      <c r="R186" s="1346">
        <v>86192131</v>
      </c>
    </row>
    <row r="187" spans="15:18" ht="17.25" x14ac:dyDescent="0.2">
      <c r="O187" s="1343" t="s">
        <v>1618</v>
      </c>
      <c r="P187" s="1344" t="s">
        <v>1619</v>
      </c>
      <c r="Q187" s="1343" t="s">
        <v>1618</v>
      </c>
      <c r="R187" s="1346">
        <v>84949049</v>
      </c>
    </row>
    <row r="188" spans="15:18" ht="17.25" x14ac:dyDescent="0.2">
      <c r="O188" s="1343" t="s">
        <v>1620</v>
      </c>
      <c r="P188" s="1344" t="s">
        <v>1621</v>
      </c>
      <c r="Q188" s="1343" t="s">
        <v>1620</v>
      </c>
      <c r="R188" s="1346">
        <v>72951200</v>
      </c>
    </row>
    <row r="189" spans="15:18" ht="17.25" x14ac:dyDescent="0.2">
      <c r="O189" s="1343" t="s">
        <v>1622</v>
      </c>
      <c r="P189" s="1344" t="s">
        <v>1623</v>
      </c>
      <c r="Q189" s="1343" t="s">
        <v>1622</v>
      </c>
      <c r="R189" s="1346">
        <v>70678500</v>
      </c>
    </row>
    <row r="190" spans="15:18" ht="17.25" x14ac:dyDescent="0.2">
      <c r="O190" s="1343" t="s">
        <v>1624</v>
      </c>
      <c r="P190" s="1344" t="s">
        <v>1625</v>
      </c>
      <c r="Q190" s="1343" t="s">
        <v>1624</v>
      </c>
      <c r="R190" s="1346">
        <v>70000000</v>
      </c>
    </row>
    <row r="191" spans="15:18" ht="17.25" x14ac:dyDescent="0.2">
      <c r="O191" s="1343" t="s">
        <v>1626</v>
      </c>
      <c r="P191" s="1344" t="s">
        <v>1627</v>
      </c>
      <c r="Q191" s="1343" t="s">
        <v>1626</v>
      </c>
      <c r="R191" s="1346">
        <v>67220622</v>
      </c>
    </row>
    <row r="192" spans="15:18" ht="17.25" x14ac:dyDescent="0.2">
      <c r="O192" s="1343" t="s">
        <v>1628</v>
      </c>
      <c r="P192" s="1344" t="s">
        <v>655</v>
      </c>
      <c r="Q192" s="1343" t="s">
        <v>1628</v>
      </c>
      <c r="R192" s="1346">
        <v>66923363</v>
      </c>
    </row>
    <row r="193" spans="15:18" ht="17.25" x14ac:dyDescent="0.2">
      <c r="O193" s="1343" t="s">
        <v>1629</v>
      </c>
      <c r="P193" s="1344" t="s">
        <v>1630</v>
      </c>
      <c r="Q193" s="1343" t="s">
        <v>1629</v>
      </c>
      <c r="R193" s="1346">
        <v>60055459</v>
      </c>
    </row>
    <row r="194" spans="15:18" ht="17.25" x14ac:dyDescent="0.2">
      <c r="O194" s="1343" t="s">
        <v>1631</v>
      </c>
      <c r="P194" s="1344" t="s">
        <v>1632</v>
      </c>
      <c r="Q194" s="1343" t="s">
        <v>1631</v>
      </c>
      <c r="R194" s="1346">
        <v>57814400</v>
      </c>
    </row>
    <row r="195" spans="15:18" ht="17.25" x14ac:dyDescent="0.2">
      <c r="O195" s="1343" t="s">
        <v>1633</v>
      </c>
      <c r="P195" s="1344" t="s">
        <v>1634</v>
      </c>
      <c r="Q195" s="1343" t="s">
        <v>1633</v>
      </c>
      <c r="R195" s="1346">
        <v>57620000</v>
      </c>
    </row>
    <row r="196" spans="15:18" ht="17.25" x14ac:dyDescent="0.2">
      <c r="O196" s="1343" t="s">
        <v>1635</v>
      </c>
      <c r="P196" s="1344" t="s">
        <v>1636</v>
      </c>
      <c r="Q196" s="1343" t="s">
        <v>1635</v>
      </c>
      <c r="R196" s="1346">
        <v>50578000</v>
      </c>
    </row>
    <row r="197" spans="15:18" ht="17.25" x14ac:dyDescent="0.2">
      <c r="O197" s="1343" t="s">
        <v>1637</v>
      </c>
      <c r="P197" s="1344" t="s">
        <v>1638</v>
      </c>
      <c r="Q197" s="1343" t="s">
        <v>1637</v>
      </c>
      <c r="R197" s="1346">
        <v>47500000</v>
      </c>
    </row>
    <row r="198" spans="15:18" ht="17.25" x14ac:dyDescent="0.2">
      <c r="O198" s="1343" t="s">
        <v>1639</v>
      </c>
      <c r="P198" s="1344" t="s">
        <v>1640</v>
      </c>
      <c r="Q198" s="1343" t="s">
        <v>1639</v>
      </c>
      <c r="R198" s="1346">
        <v>47360000</v>
      </c>
    </row>
    <row r="199" spans="15:18" ht="17.25" x14ac:dyDescent="0.2">
      <c r="O199" s="1343" t="s">
        <v>1641</v>
      </c>
      <c r="P199" s="1344" t="s">
        <v>1545</v>
      </c>
      <c r="Q199" s="1343" t="s">
        <v>1641</v>
      </c>
      <c r="R199" s="1346">
        <v>44184804</v>
      </c>
    </row>
    <row r="200" spans="15:18" ht="17.25" x14ac:dyDescent="0.2">
      <c r="O200" s="1343" t="s">
        <v>1642</v>
      </c>
      <c r="P200" s="1344" t="s">
        <v>1643</v>
      </c>
      <c r="Q200" s="1343" t="s">
        <v>1642</v>
      </c>
      <c r="R200" s="1346">
        <v>40630000</v>
      </c>
    </row>
    <row r="201" spans="15:18" ht="17.25" x14ac:dyDescent="0.2">
      <c r="O201" s="1343" t="s">
        <v>1644</v>
      </c>
      <c r="P201" s="1344" t="s">
        <v>1645</v>
      </c>
      <c r="Q201" s="1343" t="s">
        <v>1644</v>
      </c>
      <c r="R201" s="1346">
        <v>37605000</v>
      </c>
    </row>
    <row r="202" spans="15:18" ht="17.25" x14ac:dyDescent="0.2">
      <c r="O202" s="1343" t="s">
        <v>1646</v>
      </c>
      <c r="P202" s="1344" t="s">
        <v>1647</v>
      </c>
      <c r="Q202" s="1343" t="s">
        <v>1646</v>
      </c>
      <c r="R202" s="1346">
        <v>32655660</v>
      </c>
    </row>
    <row r="203" spans="15:18" ht="17.25" x14ac:dyDescent="0.2">
      <c r="O203" s="1343" t="s">
        <v>1648</v>
      </c>
      <c r="P203" s="1344" t="s">
        <v>1649</v>
      </c>
      <c r="Q203" s="1343" t="s">
        <v>1648</v>
      </c>
      <c r="R203" s="1346">
        <v>32562500</v>
      </c>
    </row>
    <row r="204" spans="15:18" ht="17.25" x14ac:dyDescent="0.2">
      <c r="O204" s="1343" t="s">
        <v>1650</v>
      </c>
      <c r="P204" s="1344" t="s">
        <v>1651</v>
      </c>
      <c r="Q204" s="1343" t="s">
        <v>1650</v>
      </c>
      <c r="R204" s="1346">
        <v>31867615</v>
      </c>
    </row>
    <row r="205" spans="15:18" ht="17.25" x14ac:dyDescent="0.2">
      <c r="O205" s="1343" t="s">
        <v>1652</v>
      </c>
      <c r="P205" s="1344" t="s">
        <v>1653</v>
      </c>
      <c r="Q205" s="1343" t="s">
        <v>1652</v>
      </c>
      <c r="R205" s="1346">
        <v>28074160</v>
      </c>
    </row>
    <row r="206" spans="15:18" ht="17.25" x14ac:dyDescent="0.2">
      <c r="O206" s="1343" t="s">
        <v>1654</v>
      </c>
      <c r="P206" s="1344" t="s">
        <v>1655</v>
      </c>
      <c r="Q206" s="1343" t="s">
        <v>1654</v>
      </c>
      <c r="R206" s="1346">
        <v>27093467</v>
      </c>
    </row>
    <row r="207" spans="15:18" ht="17.25" x14ac:dyDescent="0.2">
      <c r="O207" s="1343" t="s">
        <v>1656</v>
      </c>
      <c r="P207" s="1344" t="s">
        <v>1657</v>
      </c>
      <c r="Q207" s="1343" t="s">
        <v>1656</v>
      </c>
      <c r="R207" s="1346">
        <v>23730000</v>
      </c>
    </row>
    <row r="208" spans="15:18" ht="17.25" x14ac:dyDescent="0.2">
      <c r="O208" s="1343" t="s">
        <v>1658</v>
      </c>
      <c r="P208" s="1344" t="s">
        <v>1659</v>
      </c>
      <c r="Q208" s="1343" t="s">
        <v>1658</v>
      </c>
      <c r="R208" s="1346">
        <v>22649195</v>
      </c>
    </row>
    <row r="209" spans="15:18" ht="17.25" x14ac:dyDescent="0.2">
      <c r="O209" s="1343" t="s">
        <v>1660</v>
      </c>
      <c r="P209" s="1344" t="s">
        <v>1661</v>
      </c>
      <c r="Q209" s="1343" t="s">
        <v>1660</v>
      </c>
      <c r="R209" s="1346">
        <v>21063582</v>
      </c>
    </row>
    <row r="210" spans="15:18" ht="17.25" x14ac:dyDescent="0.2">
      <c r="O210" s="1343" t="s">
        <v>1662</v>
      </c>
      <c r="P210" s="1344" t="s">
        <v>1663</v>
      </c>
      <c r="Q210" s="1343" t="s">
        <v>1662</v>
      </c>
      <c r="R210" s="1346">
        <v>20176904</v>
      </c>
    </row>
    <row r="211" spans="15:18" ht="17.25" x14ac:dyDescent="0.2">
      <c r="O211" s="1343" t="s">
        <v>1664</v>
      </c>
      <c r="P211" s="1344" t="s">
        <v>1665</v>
      </c>
      <c r="Q211" s="1343" t="s">
        <v>1664</v>
      </c>
      <c r="R211" s="1346">
        <v>17977680</v>
      </c>
    </row>
    <row r="212" spans="15:18" ht="17.25" x14ac:dyDescent="0.2">
      <c r="O212" s="1343" t="s">
        <v>1666</v>
      </c>
      <c r="P212" s="1344" t="s">
        <v>1667</v>
      </c>
      <c r="Q212" s="1343" t="s">
        <v>1666</v>
      </c>
      <c r="R212" s="1346">
        <v>17751250</v>
      </c>
    </row>
    <row r="213" spans="15:18" ht="17.25" x14ac:dyDescent="0.2">
      <c r="O213" s="1343" t="s">
        <v>1668</v>
      </c>
      <c r="P213" s="1344" t="s">
        <v>1669</v>
      </c>
      <c r="Q213" s="1343" t="s">
        <v>1668</v>
      </c>
      <c r="R213" s="1346">
        <v>17338905</v>
      </c>
    </row>
    <row r="214" spans="15:18" ht="17.25" x14ac:dyDescent="0.2">
      <c r="O214" s="1343" t="s">
        <v>1670</v>
      </c>
      <c r="P214" s="1344" t="s">
        <v>1671</v>
      </c>
      <c r="Q214" s="1343" t="s">
        <v>1670</v>
      </c>
      <c r="R214" s="1346">
        <v>15000000</v>
      </c>
    </row>
    <row r="215" spans="15:18" ht="17.25" x14ac:dyDescent="0.2">
      <c r="O215" s="1343" t="s">
        <v>1672</v>
      </c>
      <c r="P215" s="1344" t="s">
        <v>1673</v>
      </c>
      <c r="Q215" s="1343" t="s">
        <v>1672</v>
      </c>
      <c r="R215" s="1346">
        <v>15000000</v>
      </c>
    </row>
    <row r="216" spans="15:18" ht="17.25" x14ac:dyDescent="0.2">
      <c r="O216" s="1343" t="s">
        <v>1674</v>
      </c>
      <c r="P216" s="1344" t="s">
        <v>1675</v>
      </c>
      <c r="Q216" s="1343" t="s">
        <v>1674</v>
      </c>
      <c r="R216" s="1346">
        <v>11076687</v>
      </c>
    </row>
    <row r="217" spans="15:18" ht="17.25" x14ac:dyDescent="0.2">
      <c r="O217" s="1343" t="s">
        <v>1676</v>
      </c>
      <c r="P217" s="1344" t="s">
        <v>1677</v>
      </c>
      <c r="Q217" s="1343" t="s">
        <v>1676</v>
      </c>
      <c r="R217" s="1346">
        <v>8520000</v>
      </c>
    </row>
    <row r="218" spans="15:18" ht="17.25" x14ac:dyDescent="0.2">
      <c r="O218" s="1343" t="s">
        <v>1678</v>
      </c>
      <c r="P218" s="1344" t="s">
        <v>1679</v>
      </c>
      <c r="Q218" s="1343" t="s">
        <v>1678</v>
      </c>
      <c r="R218" s="1346">
        <v>8250000</v>
      </c>
    </row>
    <row r="219" spans="15:18" ht="17.25" x14ac:dyDescent="0.2">
      <c r="O219" s="1343" t="s">
        <v>1680</v>
      </c>
      <c r="P219" s="1344" t="s">
        <v>1681</v>
      </c>
      <c r="Q219" s="1343" t="s">
        <v>1680</v>
      </c>
      <c r="R219" s="1346">
        <v>7000000</v>
      </c>
    </row>
    <row r="220" spans="15:18" ht="17.25" x14ac:dyDescent="0.2">
      <c r="O220" s="1343" t="s">
        <v>1682</v>
      </c>
      <c r="P220" s="1344" t="s">
        <v>1683</v>
      </c>
      <c r="Q220" s="1343" t="s">
        <v>1682</v>
      </c>
      <c r="R220" s="1346">
        <v>6634739</v>
      </c>
    </row>
    <row r="221" spans="15:18" ht="17.25" x14ac:dyDescent="0.2">
      <c r="O221" s="1343" t="s">
        <v>1684</v>
      </c>
      <c r="P221" s="1344" t="s">
        <v>1685</v>
      </c>
      <c r="Q221" s="1343" t="s">
        <v>1684</v>
      </c>
      <c r="R221" s="1346">
        <v>5250000</v>
      </c>
    </row>
    <row r="222" spans="15:18" ht="17.25" x14ac:dyDescent="0.2">
      <c r="O222" s="1343" t="s">
        <v>1686</v>
      </c>
      <c r="P222" s="1344" t="s">
        <v>1687</v>
      </c>
      <c r="Q222" s="1343" t="s">
        <v>1686</v>
      </c>
      <c r="R222" s="1346">
        <v>5110000</v>
      </c>
    </row>
    <row r="223" spans="15:18" ht="17.25" x14ac:dyDescent="0.2">
      <c r="O223" s="1343" t="s">
        <v>1688</v>
      </c>
      <c r="P223" s="1344" t="s">
        <v>1689</v>
      </c>
      <c r="Q223" s="1343" t="s">
        <v>1688</v>
      </c>
      <c r="R223" s="1346">
        <v>4863524</v>
      </c>
    </row>
    <row r="224" spans="15:18" ht="17.25" x14ac:dyDescent="0.2">
      <c r="O224" s="1343" t="s">
        <v>1690</v>
      </c>
      <c r="P224" s="1344" t="s">
        <v>1691</v>
      </c>
      <c r="Q224" s="1343" t="s">
        <v>1690</v>
      </c>
      <c r="R224" s="1346">
        <v>3000000</v>
      </c>
    </row>
    <row r="225" spans="15:18" ht="17.25" x14ac:dyDescent="0.2">
      <c r="O225" s="1343" t="s">
        <v>1692</v>
      </c>
      <c r="P225" s="1344" t="s">
        <v>1693</v>
      </c>
      <c r="Q225" s="1343" t="s">
        <v>1692</v>
      </c>
      <c r="R225" s="1346">
        <v>2180000</v>
      </c>
    </row>
    <row r="226" spans="15:18" ht="17.25" x14ac:dyDescent="0.2">
      <c r="O226" s="1343" t="s">
        <v>1694</v>
      </c>
      <c r="P226" s="1344" t="s">
        <v>1695</v>
      </c>
      <c r="Q226" s="1343" t="s">
        <v>1694</v>
      </c>
      <c r="R226" s="1346">
        <v>1300000</v>
      </c>
    </row>
    <row r="227" spans="15:18" ht="17.25" x14ac:dyDescent="0.2">
      <c r="O227" s="1343" t="s">
        <v>1696</v>
      </c>
      <c r="P227" s="1344" t="s">
        <v>1697</v>
      </c>
      <c r="Q227" s="1343" t="s">
        <v>1696</v>
      </c>
      <c r="R227" s="1346">
        <v>604110</v>
      </c>
    </row>
    <row r="228" spans="15:18" ht="17.25" x14ac:dyDescent="0.2">
      <c r="O228" s="1343" t="s">
        <v>1698</v>
      </c>
      <c r="P228" s="1344" t="s">
        <v>1699</v>
      </c>
      <c r="Q228" s="1343" t="s">
        <v>1698</v>
      </c>
      <c r="R228" s="1346">
        <v>100000</v>
      </c>
    </row>
    <row r="229" spans="15:18" ht="17.25" x14ac:dyDescent="0.2">
      <c r="O229" s="1344"/>
      <c r="P229" s="1344"/>
      <c r="Q229" s="1344"/>
      <c r="R229" s="1346">
        <v>3145490487011</v>
      </c>
    </row>
    <row r="230" spans="15:18" x14ac:dyDescent="0.2">
      <c r="R230" s="706">
        <f>SUM(R91:R228)</f>
        <v>232596094695</v>
      </c>
    </row>
  </sheetData>
  <mergeCells count="95">
    <mergeCell ref="F10:G10"/>
    <mergeCell ref="F35:G35"/>
    <mergeCell ref="F33:G33"/>
    <mergeCell ref="U94:V94"/>
    <mergeCell ref="U95:V95"/>
    <mergeCell ref="F62:G62"/>
    <mergeCell ref="F16:G16"/>
    <mergeCell ref="F15:G15"/>
    <mergeCell ref="F63:G63"/>
    <mergeCell ref="F13:G13"/>
    <mergeCell ref="F37:G37"/>
    <mergeCell ref="F55:G55"/>
    <mergeCell ref="C69:I69"/>
    <mergeCell ref="C54:G54"/>
    <mergeCell ref="C67:G67"/>
    <mergeCell ref="D65:G65"/>
    <mergeCell ref="AB95:AC95"/>
    <mergeCell ref="U90:V90"/>
    <mergeCell ref="C55:C66"/>
    <mergeCell ref="F57:G57"/>
    <mergeCell ref="F58:G58"/>
    <mergeCell ref="F59:G59"/>
    <mergeCell ref="F64:G64"/>
    <mergeCell ref="F56:G56"/>
    <mergeCell ref="AB97:AC97"/>
    <mergeCell ref="AB94:AC94"/>
    <mergeCell ref="F43:G43"/>
    <mergeCell ref="AB96:AC96"/>
    <mergeCell ref="F52:G52"/>
    <mergeCell ref="AB92:AC92"/>
    <mergeCell ref="U93:V93"/>
    <mergeCell ref="U88:V88"/>
    <mergeCell ref="U91:V91"/>
    <mergeCell ref="U92:V92"/>
    <mergeCell ref="AB93:AC93"/>
    <mergeCell ref="F44:G44"/>
    <mergeCell ref="U97:V97"/>
    <mergeCell ref="AB91:AC91"/>
    <mergeCell ref="D66:G66"/>
    <mergeCell ref="F45:G45"/>
    <mergeCell ref="F1:I1"/>
    <mergeCell ref="F2:I2"/>
    <mergeCell ref="F3:I3"/>
    <mergeCell ref="F4:I4"/>
    <mergeCell ref="F8:G9"/>
    <mergeCell ref="C6:I6"/>
    <mergeCell ref="H7:I7"/>
    <mergeCell ref="I8:I9"/>
    <mergeCell ref="C8:C9"/>
    <mergeCell ref="E8:E9"/>
    <mergeCell ref="H8:H9"/>
    <mergeCell ref="D8:D9"/>
    <mergeCell ref="U99:V99"/>
    <mergeCell ref="U100:V100"/>
    <mergeCell ref="C10:C53"/>
    <mergeCell ref="F60:G60"/>
    <mergeCell ref="U96:V96"/>
    <mergeCell ref="U98:V98"/>
    <mergeCell ref="F51:G51"/>
    <mergeCell ref="F21:G21"/>
    <mergeCell ref="U89:V89"/>
    <mergeCell ref="F38:G38"/>
    <mergeCell ref="U86:V86"/>
    <mergeCell ref="U87:V87"/>
    <mergeCell ref="C70:I70"/>
    <mergeCell ref="F34:G34"/>
    <mergeCell ref="F12:G12"/>
    <mergeCell ref="F25:G25"/>
    <mergeCell ref="F28:G28"/>
    <mergeCell ref="F11:G11"/>
    <mergeCell ref="F14:G14"/>
    <mergeCell ref="F18:G18"/>
    <mergeCell ref="F19:G19"/>
    <mergeCell ref="F20:G20"/>
    <mergeCell ref="F23:G23"/>
    <mergeCell ref="F22:G22"/>
    <mergeCell ref="F24:G24"/>
    <mergeCell ref="F26:G26"/>
    <mergeCell ref="F27:G27"/>
    <mergeCell ref="F40:G40"/>
    <mergeCell ref="F29:G29"/>
    <mergeCell ref="F61:G61"/>
    <mergeCell ref="F17:G17"/>
    <mergeCell ref="F42:G42"/>
    <mergeCell ref="F39:G39"/>
    <mergeCell ref="D53:G53"/>
    <mergeCell ref="F46:G46"/>
    <mergeCell ref="F47:G47"/>
    <mergeCell ref="F48:G48"/>
    <mergeCell ref="F49:G49"/>
    <mergeCell ref="F50:G50"/>
    <mergeCell ref="F31:G31"/>
    <mergeCell ref="F32:G32"/>
    <mergeCell ref="F36:G36"/>
    <mergeCell ref="F41:G41"/>
  </mergeCells>
  <printOptions horizontalCentered="1"/>
  <pageMargins left="0.90551181102362199" right="0.511811023622047" top="0" bottom="0" header="0" footer="0"/>
  <pageSetup scale="86" fitToWidth="0" fitToHeight="0" orientation="portrait" r:id="rId1"/>
  <colBreaks count="1" manualBreakCount="1">
    <brk id="10" max="69" man="1"/>
  </colBreaks>
  <drawing r:id="rId2"/>
  <legacyDrawing r:id="rId3"/>
  <oleObjects>
    <mc:AlternateContent xmlns:mc="http://schemas.openxmlformats.org/markup-compatibility/2006">
      <mc:Choice Requires="x14">
        <oleObject progId="Excel.Sheet.12" shapeId="488449" r:id="rId4">
          <objectPr defaultSize="0" r:id="rId5">
            <anchor moveWithCells="1">
              <from>
                <xdr:col>33</xdr:col>
                <xdr:colOff>438150</xdr:colOff>
                <xdr:row>48</xdr:row>
                <xdr:rowOff>133350</xdr:rowOff>
              </from>
              <to>
                <xdr:col>36</xdr:col>
                <xdr:colOff>0</xdr:colOff>
                <xdr:row>50</xdr:row>
                <xdr:rowOff>28575</xdr:rowOff>
              </to>
            </anchor>
          </objectPr>
        </oleObject>
      </mc:Choice>
      <mc:Fallback>
        <oleObject progId="Excel.Sheet.12" shapeId="488449" r:id="rId4"/>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sheetPr>
  <dimension ref="A1:BV488"/>
  <sheetViews>
    <sheetView rightToLeft="1" view="pageBreakPreview" topLeftCell="A466" zoomScale="80" zoomScaleNormal="99" zoomScaleSheetLayoutView="80" workbookViewId="0">
      <selection activeCell="D479" sqref="D479"/>
    </sheetView>
  </sheetViews>
  <sheetFormatPr defaultColWidth="9.140625" defaultRowHeight="17.25" x14ac:dyDescent="0.2"/>
  <cols>
    <col min="1" max="1" width="1.28515625" style="2204" customWidth="1"/>
    <col min="2" max="2" width="2.7109375" style="2206" customWidth="1"/>
    <col min="3" max="3" width="15.7109375" style="2206" customWidth="1"/>
    <col min="4" max="4" width="35.42578125" style="992" customWidth="1"/>
    <col min="5" max="5" width="10.28515625" style="1239" customWidth="1"/>
    <col min="6" max="6" width="8.5703125" style="1239" hidden="1" customWidth="1"/>
    <col min="7" max="7" width="8.85546875" style="1239" hidden="1" customWidth="1"/>
    <col min="8" max="8" width="9.140625" style="1239" hidden="1" customWidth="1"/>
    <col min="9" max="9" width="0.140625" style="2207" customWidth="1"/>
    <col min="10" max="10" width="10.7109375" style="2207" customWidth="1"/>
    <col min="11" max="11" width="7.5703125" style="2207" hidden="1" customWidth="1"/>
    <col min="12" max="13" width="11.5703125" style="2207" hidden="1" customWidth="1"/>
    <col min="14" max="14" width="6.85546875" style="2207" customWidth="1"/>
    <col min="15" max="15" width="9.28515625" style="2207" customWidth="1"/>
    <col min="16" max="16" width="7.85546875" style="2207" customWidth="1"/>
    <col min="17" max="17" width="6.5703125" style="2207" customWidth="1"/>
    <col min="18" max="18" width="6.140625" style="2207" hidden="1" customWidth="1"/>
    <col min="19" max="19" width="2.7109375" style="2207" hidden="1" customWidth="1"/>
    <col min="20" max="20" width="8.42578125" style="2207" hidden="1" customWidth="1"/>
    <col min="21" max="21" width="3.42578125" style="2207" hidden="1" customWidth="1"/>
    <col min="22" max="22" width="5.28515625" style="2207" customWidth="1"/>
    <col min="23" max="23" width="9" style="2207" customWidth="1"/>
    <col min="24" max="24" width="9.7109375" style="2208" customWidth="1"/>
    <col min="25" max="25" width="6.85546875" style="2204" hidden="1" customWidth="1"/>
    <col min="26" max="26" width="6.28515625" style="2204" hidden="1" customWidth="1"/>
    <col min="27" max="27" width="0.42578125" style="2204" hidden="1" customWidth="1"/>
    <col min="28" max="28" width="12.28515625" style="2204" customWidth="1"/>
    <col min="29" max="29" width="0.7109375" style="2204" customWidth="1"/>
    <col min="30" max="30" width="17.85546875" style="2205" hidden="1" customWidth="1"/>
    <col min="31" max="32" width="9.140625" style="2204" hidden="1" customWidth="1"/>
    <col min="33" max="35" width="0" style="2204" hidden="1" customWidth="1"/>
    <col min="36" max="38" width="9.140625" style="2204" hidden="1" customWidth="1"/>
    <col min="39" max="39" width="0" style="2204" hidden="1" customWidth="1"/>
    <col min="40" max="40" width="9.7109375" style="2204" customWidth="1"/>
    <col min="41" max="41" width="9.140625" style="2204"/>
    <col min="42" max="42" width="22.5703125" style="2204" customWidth="1"/>
    <col min="43" max="46" width="9.140625" style="2204"/>
    <col min="47" max="47" width="8.42578125" style="2204" customWidth="1"/>
    <col min="48" max="16384" width="9.140625" style="2204"/>
  </cols>
  <sheetData>
    <row r="1" spans="2:47" ht="18" customHeight="1" x14ac:dyDescent="0.2">
      <c r="B1" s="3574" t="s">
        <v>32</v>
      </c>
      <c r="C1" s="3574"/>
      <c r="D1" s="3574"/>
      <c r="E1" s="3574"/>
      <c r="F1" s="3574"/>
      <c r="G1" s="3574"/>
      <c r="H1" s="3574"/>
      <c r="I1" s="3574"/>
      <c r="J1" s="3574"/>
      <c r="K1" s="3574"/>
      <c r="L1" s="3574"/>
      <c r="M1" s="3574"/>
      <c r="N1" s="3574"/>
      <c r="O1" s="3574"/>
      <c r="P1" s="3574"/>
      <c r="Q1" s="3574"/>
      <c r="R1" s="3574"/>
      <c r="S1" s="3574"/>
      <c r="T1" s="3574"/>
      <c r="U1" s="3574"/>
      <c r="V1" s="3574"/>
      <c r="W1" s="3574"/>
      <c r="X1" s="3574"/>
    </row>
    <row r="2" spans="2:47" ht="18" customHeight="1" x14ac:dyDescent="0.2">
      <c r="B2" s="3574" t="s">
        <v>45</v>
      </c>
      <c r="C2" s="3574"/>
      <c r="D2" s="3574"/>
      <c r="E2" s="3574"/>
      <c r="F2" s="3574"/>
      <c r="G2" s="3574"/>
      <c r="H2" s="3574"/>
      <c r="I2" s="3574"/>
      <c r="J2" s="3574"/>
      <c r="K2" s="3574"/>
      <c r="L2" s="3574"/>
      <c r="M2" s="3574"/>
      <c r="N2" s="3574"/>
      <c r="O2" s="3574"/>
      <c r="P2" s="3574"/>
      <c r="Q2" s="3574"/>
      <c r="R2" s="3574"/>
      <c r="S2" s="3574"/>
      <c r="T2" s="3574"/>
      <c r="U2" s="3574"/>
      <c r="V2" s="3574"/>
      <c r="W2" s="3574"/>
      <c r="X2" s="3574"/>
    </row>
    <row r="3" spans="2:47" ht="18" customHeight="1" x14ac:dyDescent="0.2">
      <c r="B3" s="3574" t="s">
        <v>46</v>
      </c>
      <c r="C3" s="3574"/>
      <c r="D3" s="3574"/>
      <c r="E3" s="3574"/>
      <c r="F3" s="3574"/>
      <c r="G3" s="3574"/>
      <c r="H3" s="3574"/>
      <c r="I3" s="3574"/>
      <c r="J3" s="3574"/>
      <c r="K3" s="3574"/>
      <c r="L3" s="3574"/>
      <c r="M3" s="3574"/>
      <c r="N3" s="3574"/>
      <c r="O3" s="3574"/>
      <c r="P3" s="3574"/>
      <c r="Q3" s="3574"/>
      <c r="R3" s="3574"/>
      <c r="S3" s="3574"/>
      <c r="T3" s="3574"/>
      <c r="U3" s="3574"/>
      <c r="V3" s="3574"/>
      <c r="W3" s="3574"/>
      <c r="X3" s="3574"/>
    </row>
    <row r="4" spans="2:47" ht="18" customHeight="1" x14ac:dyDescent="0.2">
      <c r="B4" s="3572" t="s">
        <v>1992</v>
      </c>
      <c r="C4" s="3572"/>
      <c r="D4" s="3572"/>
      <c r="E4" s="3572"/>
      <c r="F4" s="3572"/>
      <c r="G4" s="3572"/>
      <c r="H4" s="3572"/>
      <c r="I4" s="3572"/>
      <c r="J4" s="3572"/>
      <c r="K4" s="3572"/>
      <c r="L4" s="3572"/>
      <c r="M4" s="3572"/>
      <c r="N4" s="3572"/>
      <c r="O4" s="3572"/>
      <c r="P4" s="3572"/>
      <c r="Q4" s="3572"/>
      <c r="R4" s="3572"/>
      <c r="S4" s="3572"/>
      <c r="T4" s="3572"/>
      <c r="U4" s="3572"/>
      <c r="V4" s="3572"/>
      <c r="W4" s="3572"/>
      <c r="X4" s="3572"/>
    </row>
    <row r="5" spans="2:47" ht="7.15" customHeight="1" x14ac:dyDescent="0.2"/>
    <row r="6" spans="2:47" ht="21.75" customHeight="1" x14ac:dyDescent="0.2">
      <c r="B6" s="3696" t="s">
        <v>1007</v>
      </c>
      <c r="C6" s="3696"/>
      <c r="D6" s="3696"/>
      <c r="E6" s="3696"/>
      <c r="F6" s="3696"/>
      <c r="G6" s="3696"/>
      <c r="H6" s="3696"/>
      <c r="I6" s="3696"/>
      <c r="J6" s="3696"/>
      <c r="K6" s="3696"/>
      <c r="L6" s="3696"/>
      <c r="M6" s="3696"/>
      <c r="N6" s="3696"/>
      <c r="O6" s="3696"/>
      <c r="P6" s="3696"/>
      <c r="Q6" s="3696"/>
      <c r="R6" s="3696"/>
      <c r="S6" s="3696"/>
      <c r="T6" s="3696"/>
      <c r="U6" s="3696"/>
      <c r="V6" s="3696"/>
      <c r="W6" s="3696"/>
      <c r="X6" s="2209"/>
    </row>
    <row r="7" spans="2:47" ht="6.75" customHeight="1" x14ac:dyDescent="0.2">
      <c r="B7" s="2210"/>
      <c r="C7" s="2210"/>
      <c r="D7" s="1192"/>
      <c r="E7" s="1240"/>
      <c r="F7" s="1240"/>
      <c r="G7" s="1240"/>
      <c r="H7" s="1240"/>
      <c r="I7" s="2211"/>
      <c r="J7" s="2211"/>
      <c r="K7" s="2211"/>
      <c r="L7" s="2211"/>
      <c r="M7" s="2211"/>
      <c r="N7" s="2211"/>
      <c r="O7" s="2211"/>
      <c r="P7" s="2211"/>
      <c r="Q7" s="2211"/>
      <c r="R7" s="2211"/>
      <c r="S7" s="2211"/>
      <c r="T7" s="2211"/>
      <c r="U7" s="2211"/>
      <c r="V7" s="2211"/>
      <c r="W7" s="2211"/>
      <c r="X7" s="2212"/>
      <c r="Z7" s="2136"/>
      <c r="AU7" s="2136"/>
    </row>
    <row r="8" spans="2:47" ht="16.5" customHeight="1" x14ac:dyDescent="0.2">
      <c r="B8" s="3701" t="s">
        <v>1144</v>
      </c>
      <c r="C8" s="3701"/>
      <c r="D8" s="3701"/>
      <c r="E8" s="3701"/>
      <c r="F8" s="3701"/>
      <c r="G8" s="3701"/>
      <c r="H8" s="3701"/>
      <c r="I8" s="3701"/>
      <c r="J8" s="3701"/>
      <c r="K8" s="3701"/>
      <c r="L8" s="3701"/>
      <c r="M8" s="3701"/>
      <c r="N8" s="3701"/>
      <c r="O8" s="3701"/>
      <c r="P8" s="3701"/>
      <c r="Q8" s="3701"/>
      <c r="R8" s="3701"/>
      <c r="S8" s="3701"/>
      <c r="T8" s="3701"/>
      <c r="U8" s="3701"/>
      <c r="V8" s="3701"/>
      <c r="W8" s="3665" t="s">
        <v>338</v>
      </c>
      <c r="X8" s="3665"/>
      <c r="Y8" s="3697"/>
    </row>
    <row r="9" spans="2:47" ht="6.75" customHeight="1" x14ac:dyDescent="0.2">
      <c r="B9" s="2213"/>
      <c r="C9" s="2213"/>
      <c r="D9" s="1193"/>
      <c r="E9" s="1241"/>
      <c r="F9" s="1241"/>
      <c r="G9" s="1241"/>
      <c r="H9" s="1241"/>
      <c r="I9" s="2214"/>
      <c r="J9" s="2214"/>
      <c r="K9" s="2214"/>
      <c r="L9" s="2214"/>
      <c r="M9" s="2214"/>
      <c r="N9" s="2214"/>
      <c r="O9" s="2214"/>
      <c r="P9" s="2214"/>
      <c r="Q9" s="2214"/>
      <c r="R9" s="2214"/>
      <c r="S9" s="2214"/>
      <c r="T9" s="2214"/>
      <c r="U9" s="2214"/>
      <c r="V9" s="2214"/>
      <c r="W9" s="2214"/>
      <c r="X9" s="2215"/>
      <c r="Y9" s="3697"/>
      <c r="AU9" s="1831"/>
    </row>
    <row r="10" spans="2:47" s="2218" customFormat="1" ht="33.6" customHeight="1" x14ac:dyDescent="0.2">
      <c r="B10" s="3666" t="s">
        <v>419</v>
      </c>
      <c r="C10" s="3659" t="s">
        <v>196</v>
      </c>
      <c r="D10" s="3677" t="s">
        <v>197</v>
      </c>
      <c r="E10" s="3647" t="s">
        <v>1391</v>
      </c>
      <c r="F10" s="3682" t="s">
        <v>1116</v>
      </c>
      <c r="G10" s="3682"/>
      <c r="H10" s="3662" t="s">
        <v>1993</v>
      </c>
      <c r="I10" s="3650" t="s">
        <v>1244</v>
      </c>
      <c r="J10" s="3650"/>
      <c r="K10" s="2216" t="s">
        <v>340</v>
      </c>
      <c r="L10" s="2216"/>
      <c r="M10" s="2216"/>
      <c r="N10" s="3661" t="s">
        <v>341</v>
      </c>
      <c r="O10" s="3661"/>
      <c r="P10" s="3651" t="s">
        <v>1012</v>
      </c>
      <c r="Q10" s="3652"/>
      <c r="R10" s="3652"/>
      <c r="S10" s="3652"/>
      <c r="T10" s="3653"/>
      <c r="U10" s="2217"/>
      <c r="V10" s="3650" t="s">
        <v>1334</v>
      </c>
      <c r="W10" s="3649" t="s">
        <v>898</v>
      </c>
      <c r="X10" s="3648" t="s">
        <v>1986</v>
      </c>
      <c r="Y10" s="3702" t="s">
        <v>343</v>
      </c>
      <c r="Z10" s="3702" t="s">
        <v>339</v>
      </c>
      <c r="AD10" s="2219"/>
    </row>
    <row r="11" spans="2:47" s="2218" customFormat="1" ht="67.150000000000006" customHeight="1" x14ac:dyDescent="0.2">
      <c r="B11" s="3666"/>
      <c r="C11" s="3659"/>
      <c r="D11" s="3677"/>
      <c r="E11" s="3647"/>
      <c r="F11" s="1409" t="s">
        <v>1955</v>
      </c>
      <c r="G11" s="1409" t="s">
        <v>1956</v>
      </c>
      <c r="H11" s="3662"/>
      <c r="I11" s="3650"/>
      <c r="J11" s="3650"/>
      <c r="K11" s="2220" t="s">
        <v>315</v>
      </c>
      <c r="L11" s="2220" t="s">
        <v>891</v>
      </c>
      <c r="M11" s="2216" t="s">
        <v>314</v>
      </c>
      <c r="N11" s="2216" t="s">
        <v>1076</v>
      </c>
      <c r="O11" s="2216" t="s">
        <v>18</v>
      </c>
      <c r="P11" s="2220" t="s">
        <v>892</v>
      </c>
      <c r="Q11" s="2220" t="s">
        <v>826</v>
      </c>
      <c r="R11" s="2220" t="s">
        <v>315</v>
      </c>
      <c r="S11" s="2216"/>
      <c r="T11" s="2216" t="s">
        <v>1180</v>
      </c>
      <c r="U11" s="2216"/>
      <c r="V11" s="3650"/>
      <c r="W11" s="3649"/>
      <c r="X11" s="3648"/>
      <c r="Y11" s="3702"/>
      <c r="Z11" s="3702"/>
      <c r="AD11" s="2219"/>
      <c r="AU11" s="2221" t="s">
        <v>1180</v>
      </c>
    </row>
    <row r="12" spans="2:47" s="2224" customFormat="1" ht="19.149999999999999" customHeight="1" x14ac:dyDescent="0.2">
      <c r="B12" s="3704" t="s">
        <v>180</v>
      </c>
      <c r="C12" s="1735" t="s">
        <v>63</v>
      </c>
      <c r="D12" s="1194" t="s">
        <v>64</v>
      </c>
      <c r="E12" s="1242">
        <v>132260368</v>
      </c>
      <c r="F12" s="1242"/>
      <c r="G12" s="1242"/>
      <c r="H12" s="1242">
        <f>E12+G12+F12</f>
        <v>132260368</v>
      </c>
      <c r="I12" s="1243"/>
      <c r="J12" s="1244">
        <f>X12-O12-N12-P12-Q12-K12-R12-W12-E12-T12-I12-V12-F12-G12</f>
        <v>0</v>
      </c>
      <c r="K12" s="1243"/>
      <c r="L12" s="1243"/>
      <c r="M12" s="1243"/>
      <c r="N12" s="1243"/>
      <c r="O12" s="1243"/>
      <c r="P12" s="1243"/>
      <c r="Q12" s="1243"/>
      <c r="R12" s="1243"/>
      <c r="S12" s="2222"/>
      <c r="T12" s="1243"/>
      <c r="U12" s="2222"/>
      <c r="V12" s="1243"/>
      <c r="W12" s="1243"/>
      <c r="X12" s="1242">
        <v>132260368</v>
      </c>
      <c r="Y12" s="2223"/>
      <c r="Z12" s="88">
        <v>169290</v>
      </c>
      <c r="AD12" s="2225"/>
      <c r="AF12" s="2224">
        <f>SUM(E12:W12)</f>
        <v>264520736</v>
      </c>
      <c r="AG12" s="2224">
        <f>X12-AF12</f>
        <v>-132260368</v>
      </c>
      <c r="AK12" s="2224">
        <f>E12+H12+J12+N12+P12+Q12+R12+W12+O12</f>
        <v>264520736</v>
      </c>
      <c r="AL12" s="2224">
        <f>X12-AK12</f>
        <v>-132260368</v>
      </c>
      <c r="AP12" s="2224">
        <f>X12-AR12</f>
        <v>0</v>
      </c>
      <c r="AR12" s="2224">
        <f>W12+V12+T12+R12+Q12+P12+O12+N12+J12+E12+F12+G12</f>
        <v>132260368</v>
      </c>
      <c r="AU12" s="237"/>
    </row>
    <row r="13" spans="2:47" s="2224" customFormat="1" ht="19.149999999999999" customHeight="1" x14ac:dyDescent="0.2">
      <c r="B13" s="3704"/>
      <c r="C13" s="1737" t="s">
        <v>200</v>
      </c>
      <c r="D13" s="1195" t="s">
        <v>201</v>
      </c>
      <c r="E13" s="1245">
        <v>0</v>
      </c>
      <c r="F13" s="1245"/>
      <c r="G13" s="1245">
        <f>-'مطالبات بلند مدت دولت ياددا (2)'!E19</f>
        <v>0</v>
      </c>
      <c r="H13" s="1242">
        <f t="shared" ref="H13:H28" si="0">E13+G13+F13</f>
        <v>0</v>
      </c>
      <c r="I13" s="1246"/>
      <c r="J13" s="1244">
        <f t="shared" ref="J13:J27" si="1">X13-O13-N13-P13-Q13-K13-R13-W13-E13-T13-I13-V13-F13-G13</f>
        <v>0</v>
      </c>
      <c r="K13" s="510"/>
      <c r="L13" s="510"/>
      <c r="M13" s="510"/>
      <c r="N13" s="510"/>
      <c r="O13" s="510"/>
      <c r="P13" s="510"/>
      <c r="Q13" s="510">
        <f>-'مطالبات بلند مدت دولت ياددا (2)'!G19</f>
        <v>0</v>
      </c>
      <c r="R13" s="510"/>
      <c r="S13" s="2222"/>
      <c r="T13" s="510"/>
      <c r="U13" s="2222"/>
      <c r="V13" s="510"/>
      <c r="W13" s="510"/>
      <c r="X13" s="551"/>
      <c r="Y13" s="2223">
        <v>224</v>
      </c>
      <c r="Z13" s="88">
        <v>36363</v>
      </c>
      <c r="AD13" s="2225"/>
      <c r="AF13" s="2224">
        <f t="shared" ref="AF13:AF80" si="2">SUM(E13:W13)</f>
        <v>0</v>
      </c>
      <c r="AG13" s="2224">
        <f t="shared" ref="AG13:AG80" si="3">X13-AF13</f>
        <v>0</v>
      </c>
      <c r="AK13" s="2224">
        <f t="shared" ref="AK13:AK80" si="4">E13+H13+J13+N13+P13+Q13+R13+W13+O13</f>
        <v>0</v>
      </c>
      <c r="AL13" s="2224">
        <f t="shared" ref="AL13:AL80" si="5">X13-AK13</f>
        <v>0</v>
      </c>
      <c r="AP13" s="2224">
        <f>X13-AR13</f>
        <v>0</v>
      </c>
      <c r="AR13" s="2224">
        <f t="shared" ref="AR13:AR76" si="6">W13+V13+T13+R13+Q13+P13+O13+N13+J13+E13+F13+G13</f>
        <v>0</v>
      </c>
      <c r="AS13" s="2224">
        <f t="shared" ref="AS13:AS80" si="7">X13-AR13</f>
        <v>0</v>
      </c>
      <c r="AU13" s="234"/>
    </row>
    <row r="14" spans="2:47" s="2224" customFormat="1" ht="19.149999999999999" customHeight="1" x14ac:dyDescent="0.2">
      <c r="B14" s="3704"/>
      <c r="C14" s="1737" t="s">
        <v>66</v>
      </c>
      <c r="D14" s="1195" t="s">
        <v>67</v>
      </c>
      <c r="E14" s="1245">
        <v>4149589999</v>
      </c>
      <c r="F14" s="1247"/>
      <c r="G14" s="1247">
        <f>-'مطالبات بلند مدت دولت ياددا (2)'!E23</f>
        <v>0</v>
      </c>
      <c r="H14" s="1242">
        <f t="shared" si="0"/>
        <v>4149589999</v>
      </c>
      <c r="I14" s="240"/>
      <c r="J14" s="1244">
        <f t="shared" si="1"/>
        <v>0</v>
      </c>
      <c r="K14" s="510"/>
      <c r="L14" s="510"/>
      <c r="M14" s="510"/>
      <c r="N14" s="510"/>
      <c r="O14" s="510"/>
      <c r="P14" s="510"/>
      <c r="Q14" s="510">
        <f>-'مطالبات بلند مدت دولت ياددا (2)'!G23</f>
        <v>0</v>
      </c>
      <c r="R14" s="510"/>
      <c r="S14" s="2222"/>
      <c r="T14" s="510"/>
      <c r="U14" s="2222"/>
      <c r="V14" s="510"/>
      <c r="W14" s="510"/>
      <c r="X14" s="1245">
        <v>4149589999</v>
      </c>
      <c r="Y14" s="2223">
        <v>1796</v>
      </c>
      <c r="Z14" s="88">
        <v>16439</v>
      </c>
      <c r="AD14" s="2225"/>
      <c r="AF14" s="2224">
        <f t="shared" si="2"/>
        <v>8299179998</v>
      </c>
      <c r="AG14" s="2224">
        <f t="shared" si="3"/>
        <v>-4149589999</v>
      </c>
      <c r="AK14" s="2224">
        <f t="shared" si="4"/>
        <v>8299179998</v>
      </c>
      <c r="AL14" s="2224">
        <f t="shared" si="5"/>
        <v>-4149589999</v>
      </c>
      <c r="AP14" s="2224">
        <f t="shared" ref="AP14:AP80" si="8">X14-AR14</f>
        <v>0</v>
      </c>
      <c r="AR14" s="2224">
        <f t="shared" si="6"/>
        <v>4149589999</v>
      </c>
      <c r="AS14" s="2224">
        <f t="shared" si="7"/>
        <v>0</v>
      </c>
      <c r="AU14" s="234"/>
    </row>
    <row r="15" spans="2:47" s="2224" customFormat="1" ht="19.149999999999999" customHeight="1" x14ac:dyDescent="0.2">
      <c r="B15" s="3704"/>
      <c r="C15" s="1737" t="s">
        <v>68</v>
      </c>
      <c r="D15" s="1195" t="s">
        <v>70</v>
      </c>
      <c r="E15" s="1245">
        <v>199997279887</v>
      </c>
      <c r="F15" s="1247"/>
      <c r="G15" s="1247">
        <f>-'مطالبات بلند مدت دولت ياددا (2)'!E24</f>
        <v>0</v>
      </c>
      <c r="H15" s="1242">
        <f t="shared" si="0"/>
        <v>199997279887</v>
      </c>
      <c r="I15" s="2226"/>
      <c r="J15" s="1244">
        <f t="shared" si="1"/>
        <v>0</v>
      </c>
      <c r="K15" s="510"/>
      <c r="L15" s="510"/>
      <c r="M15" s="510"/>
      <c r="N15" s="510"/>
      <c r="O15" s="510"/>
      <c r="P15" s="510"/>
      <c r="Q15" s="510">
        <f>-'مطالبات بلند مدت دولت ياددا (2)'!G24</f>
        <v>0</v>
      </c>
      <c r="R15" s="510"/>
      <c r="S15" s="2222"/>
      <c r="T15" s="510"/>
      <c r="U15" s="2222"/>
      <c r="V15" s="510"/>
      <c r="W15" s="510">
        <f>-422830644</f>
        <v>-422830644</v>
      </c>
      <c r="X15" s="1739">
        <f>202044976876-X425</f>
        <v>199574449243</v>
      </c>
      <c r="Y15" s="2223"/>
      <c r="Z15" s="88">
        <v>426930</v>
      </c>
      <c r="AD15" s="2225">
        <f>X15-AE15</f>
        <v>-157186736624</v>
      </c>
      <c r="AE15" s="2227">
        <f>359231713500-X425</f>
        <v>356761185867</v>
      </c>
      <c r="AF15" s="2224">
        <f t="shared" si="2"/>
        <v>399571729130</v>
      </c>
      <c r="AG15" s="2224">
        <f t="shared" si="3"/>
        <v>-199997279887</v>
      </c>
      <c r="AK15" s="2224">
        <f t="shared" si="4"/>
        <v>399571729130</v>
      </c>
      <c r="AL15" s="2224">
        <f t="shared" si="5"/>
        <v>-199997279887</v>
      </c>
      <c r="AP15" s="2224">
        <f t="shared" si="8"/>
        <v>0</v>
      </c>
      <c r="AQ15" s="2224">
        <f>E15+E425</f>
        <v>202467807520</v>
      </c>
      <c r="AR15" s="2224">
        <f t="shared" si="6"/>
        <v>199574449243</v>
      </c>
      <c r="AS15" s="2224">
        <f t="shared" si="7"/>
        <v>0</v>
      </c>
      <c r="AU15" s="234"/>
    </row>
    <row r="16" spans="2:47" s="2224" customFormat="1" ht="19.149999999999999" customHeight="1" x14ac:dyDescent="0.2">
      <c r="B16" s="3704"/>
      <c r="C16" s="1737" t="s">
        <v>161</v>
      </c>
      <c r="D16" s="1195" t="s">
        <v>202</v>
      </c>
      <c r="E16" s="1245">
        <v>1091745528</v>
      </c>
      <c r="F16" s="1247"/>
      <c r="G16" s="1247">
        <f>-'مطالبات بلند مدت دولت ياددا (2)'!E88</f>
        <v>0</v>
      </c>
      <c r="H16" s="1242">
        <f t="shared" si="0"/>
        <v>1091745528</v>
      </c>
      <c r="I16" s="240"/>
      <c r="J16" s="1244">
        <f t="shared" si="1"/>
        <v>0</v>
      </c>
      <c r="K16" s="510"/>
      <c r="L16" s="510"/>
      <c r="M16" s="510"/>
      <c r="N16" s="510">
        <f>-'يادداشت_-5موجودی_جنسی__(2)'!K14</f>
        <v>0</v>
      </c>
      <c r="O16" s="510"/>
      <c r="P16" s="510"/>
      <c r="Q16" s="510">
        <f>-'مطالبات بلند مدت دولت ياددا (2)'!G88</f>
        <v>0</v>
      </c>
      <c r="R16" s="510"/>
      <c r="S16" s="2222"/>
      <c r="T16" s="510"/>
      <c r="U16" s="2222"/>
      <c r="V16" s="510"/>
      <c r="W16" s="510"/>
      <c r="X16" s="1245">
        <v>1091745528</v>
      </c>
      <c r="Y16" s="2223"/>
      <c r="Z16" s="88"/>
      <c r="AD16" s="2225"/>
      <c r="AF16" s="2224">
        <f t="shared" si="2"/>
        <v>2183491056</v>
      </c>
      <c r="AG16" s="2224">
        <f t="shared" si="3"/>
        <v>-1091745528</v>
      </c>
      <c r="AK16" s="2224">
        <f t="shared" si="4"/>
        <v>2183491056</v>
      </c>
      <c r="AL16" s="2224">
        <f t="shared" si="5"/>
        <v>-1091745528</v>
      </c>
      <c r="AP16" s="2224">
        <f t="shared" si="8"/>
        <v>0</v>
      </c>
      <c r="AR16" s="2224">
        <f t="shared" si="6"/>
        <v>1091745528</v>
      </c>
      <c r="AS16" s="2224">
        <f t="shared" si="7"/>
        <v>0</v>
      </c>
      <c r="AU16" s="234"/>
    </row>
    <row r="17" spans="1:47" s="2224" customFormat="1" ht="19.149999999999999" customHeight="1" x14ac:dyDescent="0.2">
      <c r="B17" s="3704"/>
      <c r="C17" s="1737" t="s">
        <v>69</v>
      </c>
      <c r="D17" s="1195" t="s">
        <v>70</v>
      </c>
      <c r="E17" s="1245">
        <v>12651843711</v>
      </c>
      <c r="F17" s="1247"/>
      <c r="G17" s="1247">
        <f>-'مطالبات بلند مدت دولت ياددا (2)'!E25</f>
        <v>0</v>
      </c>
      <c r="H17" s="1242">
        <f t="shared" si="0"/>
        <v>12651843711</v>
      </c>
      <c r="I17" s="240"/>
      <c r="J17" s="1244">
        <f t="shared" si="1"/>
        <v>0</v>
      </c>
      <c r="K17" s="510"/>
      <c r="L17" s="510"/>
      <c r="M17" s="510"/>
      <c r="N17" s="510">
        <f>-'يادداشت_-5موجودی_جنسی__(2)'!K30</f>
        <v>0</v>
      </c>
      <c r="O17" s="510"/>
      <c r="P17" s="510"/>
      <c r="Q17" s="510">
        <f>-'مطالبات بلند مدت دولت ياددا (2)'!G25</f>
        <v>0</v>
      </c>
      <c r="R17" s="510"/>
      <c r="S17" s="2222"/>
      <c r="T17" s="510"/>
      <c r="U17" s="2222"/>
      <c r="V17" s="510"/>
      <c r="W17" s="510"/>
      <c r="X17" s="1245">
        <v>12651843711</v>
      </c>
      <c r="Y17" s="2223">
        <v>692</v>
      </c>
      <c r="Z17" s="88">
        <v>2451</v>
      </c>
      <c r="AD17" s="2225"/>
      <c r="AF17" s="2224">
        <f t="shared" si="2"/>
        <v>25303687422</v>
      </c>
      <c r="AG17" s="2224">
        <f t="shared" si="3"/>
        <v>-12651843711</v>
      </c>
      <c r="AK17" s="2224">
        <f t="shared" si="4"/>
        <v>25303687422</v>
      </c>
      <c r="AL17" s="2224">
        <f t="shared" si="5"/>
        <v>-12651843711</v>
      </c>
      <c r="AN17" s="2224">
        <v>-6847384410</v>
      </c>
      <c r="AP17" s="2224">
        <f>X17-AR17</f>
        <v>0</v>
      </c>
      <c r="AR17" s="2224">
        <f t="shared" si="6"/>
        <v>12651843711</v>
      </c>
      <c r="AS17" s="2224">
        <f t="shared" si="7"/>
        <v>0</v>
      </c>
      <c r="AU17" s="234"/>
    </row>
    <row r="18" spans="1:47" s="2224" customFormat="1" ht="19.149999999999999" hidden="1" customHeight="1" x14ac:dyDescent="0.2">
      <c r="B18" s="3704"/>
      <c r="C18" s="1737" t="s">
        <v>344</v>
      </c>
      <c r="D18" s="1195" t="s">
        <v>345</v>
      </c>
      <c r="E18" s="1245"/>
      <c r="F18" s="1245"/>
      <c r="G18" s="1245"/>
      <c r="H18" s="1242">
        <f t="shared" si="0"/>
        <v>0</v>
      </c>
      <c r="I18" s="1243"/>
      <c r="J18" s="1244">
        <f t="shared" si="1"/>
        <v>0</v>
      </c>
      <c r="K18" s="510"/>
      <c r="L18" s="510"/>
      <c r="M18" s="510"/>
      <c r="N18" s="510"/>
      <c r="O18" s="510"/>
      <c r="P18" s="510"/>
      <c r="Q18" s="510"/>
      <c r="R18" s="510"/>
      <c r="S18" s="2222"/>
      <c r="T18" s="510"/>
      <c r="U18" s="2222"/>
      <c r="V18" s="510"/>
      <c r="W18" s="510"/>
      <c r="X18" s="2228"/>
      <c r="Y18" s="2223">
        <v>7020</v>
      </c>
      <c r="Z18" s="88">
        <v>8488</v>
      </c>
      <c r="AD18" s="2225"/>
      <c r="AF18" s="2224">
        <f t="shared" si="2"/>
        <v>0</v>
      </c>
      <c r="AG18" s="2224">
        <f t="shared" si="3"/>
        <v>0</v>
      </c>
      <c r="AK18" s="2224">
        <f t="shared" si="4"/>
        <v>0</v>
      </c>
      <c r="AL18" s="2224">
        <f t="shared" si="5"/>
        <v>0</v>
      </c>
      <c r="AP18" s="2224">
        <f t="shared" si="8"/>
        <v>0</v>
      </c>
      <c r="AR18" s="2224">
        <f t="shared" si="6"/>
        <v>0</v>
      </c>
      <c r="AS18" s="2224">
        <f t="shared" si="7"/>
        <v>0</v>
      </c>
      <c r="AU18" s="234"/>
    </row>
    <row r="19" spans="1:47" s="2224" customFormat="1" ht="21" customHeight="1" x14ac:dyDescent="0.2">
      <c r="A19" s="2224" t="s">
        <v>565</v>
      </c>
      <c r="B19" s="3704"/>
      <c r="C19" s="1737">
        <v>1307002010</v>
      </c>
      <c r="D19" s="1195" t="s">
        <v>592</v>
      </c>
      <c r="E19" s="1245">
        <v>5683941333683</v>
      </c>
      <c r="F19" s="1245"/>
      <c r="G19" s="1245">
        <f>-'مطالبات بلند مدت دولت ياددا (2)'!E26</f>
        <v>0</v>
      </c>
      <c r="H19" s="1242">
        <f t="shared" si="0"/>
        <v>5683941333683</v>
      </c>
      <c r="I19" s="510"/>
      <c r="J19" s="1244">
        <f t="shared" si="1"/>
        <v>1165577567838</v>
      </c>
      <c r="K19" s="510"/>
      <c r="L19" s="510"/>
      <c r="M19" s="510"/>
      <c r="N19" s="510">
        <f>-'يادداشت_-5موجودی_جنسی__(2)'!K15</f>
        <v>83366894790</v>
      </c>
      <c r="O19" s="2229">
        <f>-('پيش پرداخت سرمايه اي يادداشت 6'!I12+'پيش پرداخت يادداشت-6'!L24)</f>
        <v>79506603008</v>
      </c>
      <c r="P19" s="510"/>
      <c r="Q19" s="510">
        <f>-'مطالبات بلند مدت دولت ياددا (2)'!G26</f>
        <v>-313393675963</v>
      </c>
      <c r="R19" s="510"/>
      <c r="S19" s="2222"/>
      <c r="T19" s="2230"/>
      <c r="U19" s="2222"/>
      <c r="V19" s="510">
        <f>-1800901319</f>
        <v>-1800901319</v>
      </c>
      <c r="W19" s="1248">
        <f>-9900000000+993273061-4038738663-148747895</f>
        <v>-13094213497</v>
      </c>
      <c r="X19" s="1740">
        <f>7351250251946+1593383999-X414</f>
        <v>6684103608540</v>
      </c>
      <c r="Y19" s="2231"/>
      <c r="Z19" s="88"/>
      <c r="AD19" s="2225"/>
      <c r="AF19" s="2224">
        <f t="shared" si="2"/>
        <v>12368044942223</v>
      </c>
      <c r="AG19" s="2224">
        <f t="shared" si="3"/>
        <v>-5683941333683</v>
      </c>
      <c r="AK19" s="2224">
        <f t="shared" si="4"/>
        <v>12369845843542</v>
      </c>
      <c r="AL19" s="2224">
        <f t="shared" si="5"/>
        <v>-5685742235002</v>
      </c>
      <c r="AN19" s="2224">
        <f>W20+W410</f>
        <v>104679578459</v>
      </c>
      <c r="AO19" s="237"/>
      <c r="AP19" s="2224">
        <f>X19-AR19</f>
        <v>0</v>
      </c>
      <c r="AR19" s="2224">
        <f t="shared" si="6"/>
        <v>6684103608540</v>
      </c>
      <c r="AS19" s="2224">
        <f t="shared" si="7"/>
        <v>0</v>
      </c>
      <c r="AU19" s="2127">
        <v>-162393000000</v>
      </c>
    </row>
    <row r="20" spans="1:47" s="2224" customFormat="1" ht="21" customHeight="1" x14ac:dyDescent="0.2">
      <c r="B20" s="3704"/>
      <c r="C20" s="1741">
        <v>1307002080</v>
      </c>
      <c r="D20" s="1195" t="s">
        <v>323</v>
      </c>
      <c r="E20" s="1245">
        <v>5688506352010</v>
      </c>
      <c r="F20" s="1245"/>
      <c r="G20" s="1245">
        <f>-'مطالبات بلند مدت دولت ياددا (2)'!E27</f>
        <v>0</v>
      </c>
      <c r="H20" s="1242">
        <f t="shared" si="0"/>
        <v>5688506352010</v>
      </c>
      <c r="I20" s="510"/>
      <c r="J20" s="1244">
        <f t="shared" si="1"/>
        <v>6135109838377</v>
      </c>
      <c r="K20" s="510"/>
      <c r="L20" s="510"/>
      <c r="M20" s="510"/>
      <c r="N20" s="510">
        <f>-'يادداشت_-5موجودی_جنسی__(2)'!K35</f>
        <v>182231350707</v>
      </c>
      <c r="O20" s="510">
        <f>-('پيش پرداخت سرمايه اي يادداشت 6'!I27+'پيش پرداخت يادداشت-6'!L25)</f>
        <v>150963145355</v>
      </c>
      <c r="P20" s="510"/>
      <c r="Q20" s="510">
        <f>-'مطالبات بلند مدت دولت ياددا (2)'!G27</f>
        <v>-466651101926</v>
      </c>
      <c r="R20" s="510"/>
      <c r="S20" s="2222"/>
      <c r="T20" s="510"/>
      <c r="U20" s="2222"/>
      <c r="V20" s="510">
        <f>-31592802721</f>
        <v>-31592802721</v>
      </c>
      <c r="W20" s="1248">
        <f>-W410-19010750182+4850406631+40000000000-4383417304+800275-6348210579-7251124704-1358300881-1000000000+96791646531+3258343613+29000000-160052207-703854982-34907752</f>
        <v>498976416676</v>
      </c>
      <c r="X20" s="1742">
        <f>14934025843711-X410</f>
        <v>12157543198478</v>
      </c>
      <c r="Y20" s="2231"/>
      <c r="Z20" s="88"/>
      <c r="AD20" s="2225">
        <f>X20-AE20</f>
        <v>11752897643182</v>
      </c>
      <c r="AE20" s="2227">
        <f>3181128200529-X410</f>
        <v>404645555296</v>
      </c>
      <c r="AF20" s="2224">
        <f>SUM(E20:W20)</f>
        <v>17846049550488</v>
      </c>
      <c r="AG20" s="2224">
        <f>X20-AF20</f>
        <v>-5688506352010</v>
      </c>
      <c r="AH20" s="2224">
        <v>1315033718963</v>
      </c>
      <c r="AK20" s="2224">
        <f t="shared" si="4"/>
        <v>17877642353209</v>
      </c>
      <c r="AL20" s="2224">
        <f t="shared" si="5"/>
        <v>-5720099154731</v>
      </c>
      <c r="AO20" s="237">
        <f>X20+X410</f>
        <v>14934025843711</v>
      </c>
      <c r="AP20" s="2224">
        <f t="shared" si="8"/>
        <v>0</v>
      </c>
      <c r="AR20" s="2224">
        <f t="shared" si="6"/>
        <v>12157543198478</v>
      </c>
      <c r="AS20" s="2224">
        <f t="shared" si="7"/>
        <v>0</v>
      </c>
      <c r="AU20" s="234">
        <v>-140372000000</v>
      </c>
    </row>
    <row r="21" spans="1:47" s="2224" customFormat="1" ht="21" customHeight="1" x14ac:dyDescent="0.2">
      <c r="B21" s="3704"/>
      <c r="C21" s="1737">
        <v>1503002046</v>
      </c>
      <c r="D21" s="1195" t="s">
        <v>83</v>
      </c>
      <c r="E21" s="1245">
        <v>3929044209723</v>
      </c>
      <c r="F21" s="1245"/>
      <c r="G21" s="1245">
        <f>-'مطالبات بلند مدت دولت ياددا (2)'!E28</f>
        <v>0</v>
      </c>
      <c r="H21" s="1242">
        <f t="shared" si="0"/>
        <v>3929044209723</v>
      </c>
      <c r="I21" s="510"/>
      <c r="J21" s="1244">
        <f t="shared" si="1"/>
        <v>904642224854</v>
      </c>
      <c r="K21" s="510"/>
      <c r="L21" s="510"/>
      <c r="M21" s="510"/>
      <c r="N21" s="510">
        <f>-'يادداشت_-5موجودی_جنسی__(2)'!K16</f>
        <v>1452708618</v>
      </c>
      <c r="O21" s="510">
        <f>-'پيش پرداخت سرمايه اي يادداشت 6'!I9</f>
        <v>40958082411</v>
      </c>
      <c r="P21" s="510"/>
      <c r="Q21" s="510">
        <f>-'مطالبات بلند مدت دولت ياددا (2)'!G28</f>
        <v>-191903677100</v>
      </c>
      <c r="R21" s="510"/>
      <c r="S21" s="2222"/>
      <c r="T21" s="2230"/>
      <c r="U21" s="2222"/>
      <c r="V21" s="510">
        <f>-'پيش پرداخت سرمايه اي يادداشت 6'!O9</f>
        <v>-949209253</v>
      </c>
      <c r="W21" s="1248">
        <f>-W408-112644855+282496307+288624</f>
        <v>99167836045</v>
      </c>
      <c r="X21" s="1740">
        <f>4935429750872-X408</f>
        <v>4782412175298</v>
      </c>
      <c r="Y21" s="2231"/>
      <c r="Z21" s="88">
        <v>10043</v>
      </c>
      <c r="AD21" s="2225"/>
      <c r="AF21" s="2224">
        <f t="shared" si="2"/>
        <v>8711456385021</v>
      </c>
      <c r="AG21" s="2224">
        <f t="shared" si="3"/>
        <v>-3929044209723</v>
      </c>
      <c r="AK21" s="2224">
        <f t="shared" si="4"/>
        <v>8712405594274</v>
      </c>
      <c r="AL21" s="2224">
        <f t="shared" si="5"/>
        <v>-3929993418976</v>
      </c>
      <c r="AO21" s="237"/>
      <c r="AP21" s="2224">
        <f t="shared" si="8"/>
        <v>0</v>
      </c>
      <c r="AR21" s="2224">
        <f t="shared" si="6"/>
        <v>4782412175298</v>
      </c>
      <c r="AS21" s="2224">
        <f t="shared" si="7"/>
        <v>0</v>
      </c>
      <c r="AU21" s="2127">
        <v>-37181000000</v>
      </c>
    </row>
    <row r="22" spans="1:47" s="2224" customFormat="1" ht="21" customHeight="1" x14ac:dyDescent="0.2">
      <c r="B22" s="3704"/>
      <c r="C22" s="1737">
        <v>1503002096</v>
      </c>
      <c r="D22" s="1195" t="s">
        <v>84</v>
      </c>
      <c r="E22" s="1245">
        <v>422913146164</v>
      </c>
      <c r="F22" s="1245"/>
      <c r="G22" s="1245">
        <f>-'مطالبات بلند مدت دولت ياددا (2)'!E29</f>
        <v>0</v>
      </c>
      <c r="H22" s="1242">
        <f t="shared" si="0"/>
        <v>422913146164</v>
      </c>
      <c r="I22" s="510"/>
      <c r="J22" s="1244">
        <f t="shared" si="1"/>
        <v>58449850334</v>
      </c>
      <c r="K22" s="510"/>
      <c r="L22" s="510"/>
      <c r="M22" s="510"/>
      <c r="N22" s="510"/>
      <c r="O22" s="510">
        <f>-'پيش پرداخت سرمايه اي يادداشت 6'!I10</f>
        <v>476809205</v>
      </c>
      <c r="P22" s="510"/>
      <c r="Q22" s="510">
        <f>-'مطالبات بلند مدت دولت ياددا (2)'!G29</f>
        <v>-8129752971</v>
      </c>
      <c r="R22" s="510"/>
      <c r="S22" s="2222"/>
      <c r="T22" s="510"/>
      <c r="U22" s="2222"/>
      <c r="V22" s="77">
        <v>-25282840</v>
      </c>
      <c r="W22" s="510"/>
      <c r="X22" s="1743">
        <f>480855888213-X417</f>
        <v>473684769892</v>
      </c>
      <c r="Y22" s="2223"/>
      <c r="Z22" s="88"/>
      <c r="AD22" s="2225"/>
      <c r="AF22" s="2224">
        <f t="shared" si="2"/>
        <v>896597916056</v>
      </c>
      <c r="AG22" s="2224">
        <f t="shared" si="3"/>
        <v>-422913146164</v>
      </c>
      <c r="AK22" s="2224">
        <f t="shared" si="4"/>
        <v>896623198896</v>
      </c>
      <c r="AL22" s="2224">
        <f t="shared" si="5"/>
        <v>-422938429004</v>
      </c>
      <c r="AO22" s="2224">
        <f>X22+X416</f>
        <v>482338834999</v>
      </c>
      <c r="AP22" s="2224">
        <f t="shared" si="8"/>
        <v>0</v>
      </c>
      <c r="AR22" s="2224">
        <f t="shared" si="6"/>
        <v>473684769892</v>
      </c>
      <c r="AS22" s="2224">
        <f t="shared" si="7"/>
        <v>0</v>
      </c>
      <c r="AU22" s="234"/>
    </row>
    <row r="23" spans="1:47" s="2224" customFormat="1" ht="21" customHeight="1" x14ac:dyDescent="0.2">
      <c r="B23" s="3704"/>
      <c r="C23" s="1737">
        <v>1503002173</v>
      </c>
      <c r="D23" s="1195" t="s">
        <v>85</v>
      </c>
      <c r="E23" s="1245">
        <v>1591766610789</v>
      </c>
      <c r="F23" s="1245"/>
      <c r="G23" s="1245">
        <f>-'مطالبات بلند مدت دولت ياددا (2)'!E30</f>
        <v>0</v>
      </c>
      <c r="H23" s="1242">
        <f t="shared" si="0"/>
        <v>1591766610789</v>
      </c>
      <c r="I23" s="510"/>
      <c r="J23" s="1244">
        <f t="shared" si="1"/>
        <v>437848190035</v>
      </c>
      <c r="K23" s="510"/>
      <c r="L23" s="510"/>
      <c r="M23" s="510"/>
      <c r="N23" s="510">
        <f>-'يادداشت_-5موجودی_جنسی__(2)'!K17</f>
        <v>9962000000</v>
      </c>
      <c r="O23" s="510">
        <f>-'پيش پرداخت سرمايه اي يادداشت 6'!I11</f>
        <v>18437938288</v>
      </c>
      <c r="P23" s="510"/>
      <c r="Q23" s="510">
        <f>-'مطالبات بلند مدت دولت ياددا (2)'!G30</f>
        <v>-78336658055</v>
      </c>
      <c r="R23" s="510"/>
      <c r="S23" s="2222"/>
      <c r="T23" s="510"/>
      <c r="U23" s="2222"/>
      <c r="V23" s="510">
        <f>-126176779</f>
        <v>-126176779</v>
      </c>
      <c r="W23" s="510">
        <f>-W428</f>
        <v>3779643048</v>
      </c>
      <c r="X23" s="1739">
        <f>2080729636228-X428</f>
        <v>1983331547326</v>
      </c>
      <c r="Y23" s="2223"/>
      <c r="Z23" s="88"/>
      <c r="AD23" s="2225"/>
      <c r="AF23" s="2224">
        <f t="shared" si="2"/>
        <v>3575098158115</v>
      </c>
      <c r="AG23" s="2224">
        <f t="shared" si="3"/>
        <v>-1591766610789</v>
      </c>
      <c r="AK23" s="2224">
        <f t="shared" si="4"/>
        <v>3575224334894</v>
      </c>
      <c r="AL23" s="2224">
        <f t="shared" si="5"/>
        <v>-1591892787568</v>
      </c>
      <c r="AO23" s="237">
        <f>'پيش پرداخت سرمايه اي يادداشت 6'!T7</f>
        <v>352989178850</v>
      </c>
      <c r="AP23" s="2224">
        <f t="shared" si="8"/>
        <v>0</v>
      </c>
      <c r="AR23" s="2224">
        <f t="shared" si="6"/>
        <v>1983331547326</v>
      </c>
      <c r="AS23" s="2224">
        <f>X23-AR23</f>
        <v>0</v>
      </c>
      <c r="AU23" s="234">
        <v>-13248000000</v>
      </c>
    </row>
    <row r="24" spans="1:47" s="2224" customFormat="1" ht="21" customHeight="1" x14ac:dyDescent="0.2">
      <c r="B24" s="3704"/>
      <c r="C24" s="1737">
        <v>1503002067</v>
      </c>
      <c r="D24" s="1195" t="s">
        <v>86</v>
      </c>
      <c r="E24" s="1245">
        <v>138699989434</v>
      </c>
      <c r="F24" s="1245"/>
      <c r="G24" s="1245"/>
      <c r="H24" s="1242">
        <f t="shared" si="0"/>
        <v>138699989434</v>
      </c>
      <c r="I24" s="510"/>
      <c r="J24" s="1244">
        <f t="shared" si="1"/>
        <v>7230171004</v>
      </c>
      <c r="K24" s="510"/>
      <c r="L24" s="510"/>
      <c r="M24" s="510"/>
      <c r="N24" s="510">
        <f>-'يادداشت_-5موجودی_جنسی__(2)'!K18</f>
        <v>0</v>
      </c>
      <c r="O24" s="510"/>
      <c r="P24" s="510"/>
      <c r="Q24" s="510"/>
      <c r="R24" s="510"/>
      <c r="S24" s="2222"/>
      <c r="T24" s="510"/>
      <c r="U24" s="2222"/>
      <c r="V24" s="510"/>
      <c r="W24" s="510"/>
      <c r="X24" s="1739">
        <f>146930160438-X429</f>
        <v>145930160438</v>
      </c>
      <c r="Y24" s="2223"/>
      <c r="Z24" s="88"/>
      <c r="AD24" s="2225"/>
      <c r="AF24" s="2224">
        <f t="shared" si="2"/>
        <v>284630149872</v>
      </c>
      <c r="AG24" s="2224">
        <f t="shared" si="3"/>
        <v>-138699989434</v>
      </c>
      <c r="AK24" s="2224">
        <f t="shared" si="4"/>
        <v>284630149872</v>
      </c>
      <c r="AL24" s="2224">
        <f t="shared" si="5"/>
        <v>-138699989434</v>
      </c>
      <c r="AP24" s="2224">
        <f t="shared" si="8"/>
        <v>0</v>
      </c>
      <c r="AR24" s="2224">
        <f t="shared" si="6"/>
        <v>145930160438</v>
      </c>
      <c r="AS24" s="2224">
        <f t="shared" si="7"/>
        <v>0</v>
      </c>
      <c r="AU24" s="234"/>
    </row>
    <row r="25" spans="1:47" s="2224" customFormat="1" ht="21" customHeight="1" x14ac:dyDescent="0.2">
      <c r="B25" s="3704"/>
      <c r="C25" s="1737">
        <v>1307006001</v>
      </c>
      <c r="D25" s="1195" t="s">
        <v>87</v>
      </c>
      <c r="E25" s="1245">
        <v>211663935620</v>
      </c>
      <c r="F25" s="1245">
        <f>-'يادداشت 8سرمايه گذاري در شركتها'!E66</f>
        <v>0</v>
      </c>
      <c r="G25" s="1245"/>
      <c r="H25" s="1242">
        <f>E25+G25+F25</f>
        <v>211663935620</v>
      </c>
      <c r="I25" s="510"/>
      <c r="J25" s="1244">
        <f t="shared" si="1"/>
        <v>723504859743</v>
      </c>
      <c r="K25" s="510"/>
      <c r="L25" s="1246"/>
      <c r="M25" s="1246"/>
      <c r="N25" s="510"/>
      <c r="O25" s="510"/>
      <c r="P25" s="1246">
        <f>-'يادداشت 8سرمايه گذاري در شركتها'!G66</f>
        <v>-13412068761</v>
      </c>
      <c r="Q25" s="1246"/>
      <c r="R25" s="1246"/>
      <c r="S25" s="2222"/>
      <c r="T25" s="510"/>
      <c r="U25" s="2222"/>
      <c r="V25" s="510"/>
      <c r="W25" s="510">
        <f>18627169817</f>
        <v>18627169817</v>
      </c>
      <c r="X25" s="1739">
        <v>940383896419</v>
      </c>
      <c r="Y25" s="2223"/>
      <c r="Z25" s="88"/>
      <c r="AD25" s="2225"/>
      <c r="AF25" s="2224">
        <f t="shared" si="2"/>
        <v>1152047832039</v>
      </c>
      <c r="AG25" s="2224">
        <f t="shared" si="3"/>
        <v>-211663935620</v>
      </c>
      <c r="AK25" s="2224">
        <f t="shared" si="4"/>
        <v>1152047832039</v>
      </c>
      <c r="AL25" s="2224">
        <f t="shared" si="5"/>
        <v>-211663935620</v>
      </c>
      <c r="AP25" s="2224">
        <f t="shared" si="8"/>
        <v>0</v>
      </c>
      <c r="AR25" s="2224">
        <f t="shared" si="6"/>
        <v>940383896419</v>
      </c>
      <c r="AS25" s="2224">
        <f t="shared" si="7"/>
        <v>0</v>
      </c>
      <c r="AU25" s="234">
        <f>-5790000000</f>
        <v>-5790000000</v>
      </c>
    </row>
    <row r="26" spans="1:47" s="2224" customFormat="1" ht="21" customHeight="1" x14ac:dyDescent="0.2">
      <c r="B26" s="3704"/>
      <c r="C26" s="1737" t="s">
        <v>89</v>
      </c>
      <c r="D26" s="1195" t="s">
        <v>255</v>
      </c>
      <c r="E26" s="1245">
        <v>9513088116</v>
      </c>
      <c r="F26" s="1245"/>
      <c r="G26" s="1245">
        <f>-'مطالبات بلند مدت دولت ياددا (2)'!E33</f>
        <v>0</v>
      </c>
      <c r="H26" s="1242">
        <f t="shared" si="0"/>
        <v>9513088116</v>
      </c>
      <c r="I26" s="510"/>
      <c r="J26" s="1244">
        <f t="shared" si="1"/>
        <v>0</v>
      </c>
      <c r="K26" s="510"/>
      <c r="L26" s="510"/>
      <c r="M26" s="510"/>
      <c r="N26" s="510">
        <f>-'يادداشت_-5موجودی_جنسی__(2)'!K21</f>
        <v>0</v>
      </c>
      <c r="O26" s="510"/>
      <c r="P26" s="510"/>
      <c r="Q26" s="510">
        <f>-'مطالبات بلند مدت دولت ياددا (2)'!G33</f>
        <v>0</v>
      </c>
      <c r="R26" s="510"/>
      <c r="S26" s="2222"/>
      <c r="T26" s="510"/>
      <c r="U26" s="2222"/>
      <c r="V26" s="510"/>
      <c r="W26" s="510"/>
      <c r="X26" s="551">
        <v>9513088116</v>
      </c>
      <c r="Y26" s="2232"/>
      <c r="Z26" s="90"/>
      <c r="AD26" s="2225"/>
      <c r="AF26" s="2224">
        <f t="shared" si="2"/>
        <v>19026176232</v>
      </c>
      <c r="AG26" s="2224">
        <f t="shared" si="3"/>
        <v>-9513088116</v>
      </c>
      <c r="AK26" s="2224">
        <f t="shared" si="4"/>
        <v>19026176232</v>
      </c>
      <c r="AL26" s="2224">
        <f t="shared" si="5"/>
        <v>-9513088116</v>
      </c>
      <c r="AP26" s="2224">
        <f t="shared" si="8"/>
        <v>0</v>
      </c>
      <c r="AR26" s="2224">
        <f t="shared" si="6"/>
        <v>9513088116</v>
      </c>
      <c r="AS26" s="2224">
        <f t="shared" si="7"/>
        <v>0</v>
      </c>
      <c r="AU26" s="234"/>
    </row>
    <row r="27" spans="1:47" s="2224" customFormat="1" ht="21" customHeight="1" x14ac:dyDescent="0.2">
      <c r="B27" s="3704"/>
      <c r="C27" s="1737" t="s">
        <v>90</v>
      </c>
      <c r="D27" s="1195" t="s">
        <v>91</v>
      </c>
      <c r="E27" s="1245">
        <v>44699028477</v>
      </c>
      <c r="F27" s="1245"/>
      <c r="G27" s="1245"/>
      <c r="H27" s="1242">
        <f t="shared" si="0"/>
        <v>44699028477</v>
      </c>
      <c r="I27" s="510"/>
      <c r="J27" s="1244">
        <f t="shared" si="1"/>
        <v>0</v>
      </c>
      <c r="K27" s="510"/>
      <c r="L27" s="510"/>
      <c r="M27" s="510"/>
      <c r="N27" s="510"/>
      <c r="O27" s="510"/>
      <c r="P27" s="510"/>
      <c r="Q27" s="510"/>
      <c r="R27" s="510"/>
      <c r="S27" s="2222"/>
      <c r="T27" s="510"/>
      <c r="U27" s="2222"/>
      <c r="V27" s="510"/>
      <c r="W27" s="510"/>
      <c r="X27" s="1739">
        <v>44699028477</v>
      </c>
      <c r="Y27" s="2232"/>
      <c r="Z27" s="90"/>
      <c r="AD27" s="2225"/>
      <c r="AF27" s="2224">
        <f t="shared" si="2"/>
        <v>89398056954</v>
      </c>
      <c r="AG27" s="2224">
        <f t="shared" si="3"/>
        <v>-44699028477</v>
      </c>
      <c r="AK27" s="2224">
        <f t="shared" si="4"/>
        <v>89398056954</v>
      </c>
      <c r="AL27" s="2224">
        <f t="shared" si="5"/>
        <v>-44699028477</v>
      </c>
      <c r="AP27" s="2224">
        <f t="shared" si="8"/>
        <v>0</v>
      </c>
      <c r="AR27" s="2224">
        <f t="shared" si="6"/>
        <v>44699028477</v>
      </c>
      <c r="AS27" s="2224">
        <f t="shared" si="7"/>
        <v>0</v>
      </c>
      <c r="AU27" s="234"/>
    </row>
    <row r="28" spans="1:47" s="2224" customFormat="1" ht="21" customHeight="1" x14ac:dyDescent="0.2">
      <c r="B28" s="3704"/>
      <c r="C28" s="1737" t="s">
        <v>92</v>
      </c>
      <c r="D28" s="1195" t="s">
        <v>93</v>
      </c>
      <c r="E28" s="1245">
        <v>15544896962</v>
      </c>
      <c r="F28" s="1245"/>
      <c r="G28" s="1245">
        <f>-'مطالبات بلند مدت دولت ياددا (2)'!E35</f>
        <v>0</v>
      </c>
      <c r="H28" s="1242">
        <f t="shared" si="0"/>
        <v>15544896962</v>
      </c>
      <c r="I28" s="510"/>
      <c r="J28" s="1244">
        <f>X28-O28-N28-P28-Q28-K28-R28-W28-E28-T28-I28-V28-F28-G28</f>
        <v>0</v>
      </c>
      <c r="K28" s="510"/>
      <c r="L28" s="510"/>
      <c r="M28" s="510"/>
      <c r="N28" s="510"/>
      <c r="O28" s="510"/>
      <c r="P28" s="510"/>
      <c r="Q28" s="510">
        <f>-'مطالبات بلند مدت دولت ياددا (2)'!G35</f>
        <v>0</v>
      </c>
      <c r="R28" s="510"/>
      <c r="S28" s="2222"/>
      <c r="T28" s="510"/>
      <c r="U28" s="2222"/>
      <c r="V28" s="510"/>
      <c r="W28" s="510"/>
      <c r="X28" s="1245">
        <v>15544896962</v>
      </c>
      <c r="Y28" s="2232"/>
      <c r="Z28" s="90"/>
      <c r="AD28" s="2225"/>
      <c r="AF28" s="2224">
        <f t="shared" si="2"/>
        <v>31089793924</v>
      </c>
      <c r="AG28" s="2224">
        <f t="shared" si="3"/>
        <v>-15544896962</v>
      </c>
      <c r="AK28" s="2224">
        <f t="shared" si="4"/>
        <v>31089793924</v>
      </c>
      <c r="AL28" s="2224">
        <f t="shared" si="5"/>
        <v>-15544896962</v>
      </c>
      <c r="AP28" s="2224">
        <f t="shared" si="8"/>
        <v>0</v>
      </c>
      <c r="AR28" s="2224">
        <f t="shared" si="6"/>
        <v>15544896962</v>
      </c>
      <c r="AS28" s="2224">
        <f t="shared" si="7"/>
        <v>0</v>
      </c>
      <c r="AU28" s="234"/>
    </row>
    <row r="29" spans="1:47" s="2224" customFormat="1" ht="19.149999999999999" customHeight="1" x14ac:dyDescent="0.2">
      <c r="B29" s="3705"/>
      <c r="C29" s="2233"/>
      <c r="D29" s="1196" t="s">
        <v>94</v>
      </c>
      <c r="E29" s="1249">
        <f>SUM(E12:E28)</f>
        <v>17954315310471</v>
      </c>
      <c r="F29" s="1249">
        <f>SUM(F12:F28)</f>
        <v>0</v>
      </c>
      <c r="G29" s="1249">
        <f>SUM(G12:G28)</f>
        <v>0</v>
      </c>
      <c r="H29" s="1249">
        <f>SUM(H12:H28)</f>
        <v>17954315310471</v>
      </c>
      <c r="I29" s="1250">
        <f t="shared" ref="I29:X29" si="9">SUM(I12:I28)</f>
        <v>0</v>
      </c>
      <c r="J29" s="1250">
        <f>SUM(J12:J28)</f>
        <v>9432362702185</v>
      </c>
      <c r="K29" s="1250">
        <f t="shared" si="9"/>
        <v>0</v>
      </c>
      <c r="L29" s="1250">
        <f t="shared" si="9"/>
        <v>0</v>
      </c>
      <c r="M29" s="1250">
        <f t="shared" si="9"/>
        <v>0</v>
      </c>
      <c r="N29" s="1250">
        <f t="shared" si="9"/>
        <v>277012954115</v>
      </c>
      <c r="O29" s="1250">
        <f t="shared" si="9"/>
        <v>290342578267</v>
      </c>
      <c r="P29" s="1250">
        <f t="shared" si="9"/>
        <v>-13412068761</v>
      </c>
      <c r="Q29" s="1250">
        <f t="shared" si="9"/>
        <v>-1058414866015</v>
      </c>
      <c r="R29" s="1250">
        <f t="shared" si="9"/>
        <v>0</v>
      </c>
      <c r="S29" s="1250">
        <f t="shared" si="9"/>
        <v>0</v>
      </c>
      <c r="T29" s="1250">
        <f t="shared" si="9"/>
        <v>0</v>
      </c>
      <c r="U29" s="1250">
        <f t="shared" si="9"/>
        <v>0</v>
      </c>
      <c r="V29" s="1250">
        <f>SUM(V12:V28)</f>
        <v>-34494372912</v>
      </c>
      <c r="W29" s="1250">
        <f>SUM(W12:W28)</f>
        <v>607034021445</v>
      </c>
      <c r="X29" s="1251">
        <f t="shared" si="9"/>
        <v>27454746258795</v>
      </c>
      <c r="Y29" s="2232"/>
      <c r="Z29" s="90"/>
      <c r="AD29" s="2225"/>
      <c r="AF29" s="2224">
        <f t="shared" si="2"/>
        <v>45409061569266</v>
      </c>
      <c r="AG29" s="2224">
        <f t="shared" si="3"/>
        <v>-17954315310471</v>
      </c>
      <c r="AK29" s="2224">
        <f t="shared" si="4"/>
        <v>45443555942178</v>
      </c>
      <c r="AL29" s="2224">
        <f t="shared" si="5"/>
        <v>-17988809683383</v>
      </c>
      <c r="AP29" s="2224">
        <f t="shared" si="8"/>
        <v>0</v>
      </c>
      <c r="AR29" s="2224">
        <f t="shared" si="6"/>
        <v>27454746258795</v>
      </c>
      <c r="AS29" s="2224">
        <f t="shared" si="7"/>
        <v>0</v>
      </c>
      <c r="AU29" s="241">
        <f>SUM(AU12:AU28)</f>
        <v>-358984000000</v>
      </c>
    </row>
    <row r="30" spans="1:47" s="2224" customFormat="1" ht="19.149999999999999" customHeight="1" x14ac:dyDescent="0.2">
      <c r="B30" s="2234"/>
      <c r="C30" s="2235"/>
      <c r="D30" s="1202"/>
      <c r="E30" s="1272"/>
      <c r="F30" s="1272"/>
      <c r="G30" s="1272"/>
      <c r="H30" s="1272"/>
      <c r="I30" s="1273"/>
      <c r="J30" s="1273"/>
      <c r="K30" s="1273"/>
      <c r="L30" s="1273"/>
      <c r="M30" s="1273"/>
      <c r="N30" s="1273"/>
      <c r="O30" s="1273"/>
      <c r="P30" s="1273"/>
      <c r="Q30" s="1273"/>
      <c r="R30" s="1273"/>
      <c r="S30" s="1273"/>
      <c r="T30" s="1273"/>
      <c r="U30" s="1273"/>
      <c r="V30" s="1273"/>
      <c r="W30" s="1273"/>
      <c r="X30" s="1274"/>
      <c r="Y30" s="2236"/>
      <c r="Z30" s="231"/>
      <c r="AD30" s="2225"/>
      <c r="AR30" s="2224">
        <f t="shared" si="6"/>
        <v>0</v>
      </c>
      <c r="AU30" s="246"/>
    </row>
    <row r="31" spans="1:47" s="2224" customFormat="1" ht="19.149999999999999" customHeight="1" x14ac:dyDescent="0.2">
      <c r="B31" s="2234"/>
      <c r="C31" s="2235"/>
      <c r="D31" s="1202"/>
      <c r="E31" s="1272"/>
      <c r="F31" s="1272"/>
      <c r="G31" s="1272"/>
      <c r="H31" s="1272"/>
      <c r="I31" s="1273"/>
      <c r="J31" s="1273"/>
      <c r="K31" s="1273"/>
      <c r="L31" s="1273"/>
      <c r="M31" s="1273"/>
      <c r="N31" s="1273"/>
      <c r="O31" s="1273"/>
      <c r="P31" s="1273"/>
      <c r="Q31" s="1273"/>
      <c r="R31" s="1273"/>
      <c r="S31" s="1273"/>
      <c r="T31" s="1273"/>
      <c r="U31" s="1273"/>
      <c r="V31" s="1273"/>
      <c r="W31" s="1273"/>
      <c r="X31" s="1274"/>
      <c r="Y31" s="2236"/>
      <c r="Z31" s="231"/>
      <c r="AD31" s="2225"/>
      <c r="AR31" s="2224">
        <f t="shared" si="6"/>
        <v>0</v>
      </c>
      <c r="AU31" s="246"/>
    </row>
    <row r="32" spans="1:47" s="2224" customFormat="1" ht="20.45" customHeight="1" x14ac:dyDescent="0.2">
      <c r="B32" s="2237"/>
      <c r="C32" s="3700" t="s">
        <v>264</v>
      </c>
      <c r="D32" s="3700"/>
      <c r="E32" s="3700"/>
      <c r="F32" s="3700"/>
      <c r="G32" s="3700"/>
      <c r="H32" s="3700"/>
      <c r="I32" s="3700"/>
      <c r="J32" s="3700"/>
      <c r="K32" s="3700"/>
      <c r="L32" s="3700"/>
      <c r="M32" s="3700"/>
      <c r="N32" s="3700"/>
      <c r="O32" s="3700"/>
      <c r="P32" s="3700"/>
      <c r="Q32" s="3700"/>
      <c r="R32" s="3700"/>
      <c r="S32" s="3700"/>
      <c r="T32" s="3700"/>
      <c r="U32" s="3700"/>
      <c r="V32" s="3700"/>
      <c r="W32" s="3700"/>
      <c r="X32" s="3700"/>
      <c r="Z32" s="91"/>
      <c r="AD32" s="2225"/>
      <c r="AF32" s="2224">
        <f t="shared" si="2"/>
        <v>0</v>
      </c>
      <c r="AG32" s="2224">
        <f t="shared" si="3"/>
        <v>0</v>
      </c>
      <c r="AK32" s="2224">
        <f t="shared" si="4"/>
        <v>0</v>
      </c>
      <c r="AL32" s="2224">
        <f t="shared" si="5"/>
        <v>0</v>
      </c>
      <c r="AP32" s="2224">
        <f t="shared" si="8"/>
        <v>0</v>
      </c>
      <c r="AR32" s="2224">
        <f t="shared" si="6"/>
        <v>0</v>
      </c>
      <c r="AS32" s="2224">
        <f t="shared" si="7"/>
        <v>0</v>
      </c>
    </row>
    <row r="33" spans="2:47" s="2224" customFormat="1" ht="24.6" customHeight="1" x14ac:dyDescent="0.2">
      <c r="B33" s="3703" t="s">
        <v>32</v>
      </c>
      <c r="C33" s="3703"/>
      <c r="D33" s="3703"/>
      <c r="E33" s="3703"/>
      <c r="F33" s="3703"/>
      <c r="G33" s="3703"/>
      <c r="H33" s="3703"/>
      <c r="I33" s="3703"/>
      <c r="J33" s="3703"/>
      <c r="K33" s="3703"/>
      <c r="L33" s="3703"/>
      <c r="M33" s="3703"/>
      <c r="N33" s="3703"/>
      <c r="O33" s="3703"/>
      <c r="P33" s="3703"/>
      <c r="Q33" s="3703"/>
      <c r="R33" s="3703"/>
      <c r="S33" s="3703"/>
      <c r="T33" s="3703"/>
      <c r="U33" s="3703"/>
      <c r="V33" s="3703"/>
      <c r="W33" s="3703"/>
      <c r="X33" s="3703"/>
      <c r="Y33" s="2238"/>
      <c r="Z33" s="92"/>
      <c r="AD33" s="2225"/>
      <c r="AF33" s="2224">
        <f t="shared" si="2"/>
        <v>0</v>
      </c>
      <c r="AG33" s="2224">
        <f t="shared" si="3"/>
        <v>0</v>
      </c>
      <c r="AK33" s="2224">
        <f t="shared" si="4"/>
        <v>0</v>
      </c>
      <c r="AL33" s="2224">
        <f t="shared" si="5"/>
        <v>0</v>
      </c>
      <c r="AP33" s="2224">
        <f t="shared" si="8"/>
        <v>0</v>
      </c>
      <c r="AR33" s="2224">
        <f t="shared" si="6"/>
        <v>0</v>
      </c>
      <c r="AS33" s="2224">
        <f t="shared" si="7"/>
        <v>0</v>
      </c>
    </row>
    <row r="34" spans="2:47" s="2224" customFormat="1" ht="24.6" customHeight="1" x14ac:dyDescent="0.2">
      <c r="B34" s="3703" t="s">
        <v>45</v>
      </c>
      <c r="C34" s="3703"/>
      <c r="D34" s="3703"/>
      <c r="E34" s="3703"/>
      <c r="F34" s="3703"/>
      <c r="G34" s="3703"/>
      <c r="H34" s="3703"/>
      <c r="I34" s="3703"/>
      <c r="J34" s="3703"/>
      <c r="K34" s="3703"/>
      <c r="L34" s="3703"/>
      <c r="M34" s="3703"/>
      <c r="N34" s="3703"/>
      <c r="O34" s="3703"/>
      <c r="P34" s="3703"/>
      <c r="Q34" s="3703"/>
      <c r="R34" s="3703"/>
      <c r="S34" s="3703"/>
      <c r="T34" s="3703"/>
      <c r="U34" s="3703"/>
      <c r="V34" s="3703"/>
      <c r="W34" s="3703"/>
      <c r="X34" s="3703"/>
      <c r="Y34" s="2231"/>
      <c r="Z34" s="88"/>
      <c r="AD34" s="2225"/>
      <c r="AF34" s="2224">
        <f t="shared" si="2"/>
        <v>0</v>
      </c>
      <c r="AG34" s="2224">
        <f t="shared" si="3"/>
        <v>0</v>
      </c>
      <c r="AK34" s="2224">
        <f t="shared" si="4"/>
        <v>0</v>
      </c>
      <c r="AL34" s="2224">
        <f t="shared" si="5"/>
        <v>0</v>
      </c>
      <c r="AP34" s="2224">
        <f t="shared" si="8"/>
        <v>0</v>
      </c>
      <c r="AR34" s="2224">
        <f t="shared" si="6"/>
        <v>0</v>
      </c>
      <c r="AS34" s="2224">
        <f t="shared" si="7"/>
        <v>0</v>
      </c>
    </row>
    <row r="35" spans="2:47" s="2224" customFormat="1" ht="24.6" customHeight="1" x14ac:dyDescent="0.2">
      <c r="B35" s="3703" t="s">
        <v>46</v>
      </c>
      <c r="C35" s="3703"/>
      <c r="D35" s="3703"/>
      <c r="E35" s="3703"/>
      <c r="F35" s="3703"/>
      <c r="G35" s="3703"/>
      <c r="H35" s="3703"/>
      <c r="I35" s="3703"/>
      <c r="J35" s="3703"/>
      <c r="K35" s="3703"/>
      <c r="L35" s="3703"/>
      <c r="M35" s="3703"/>
      <c r="N35" s="3703"/>
      <c r="O35" s="3703"/>
      <c r="P35" s="3703"/>
      <c r="Q35" s="3703"/>
      <c r="R35" s="3703"/>
      <c r="S35" s="3703"/>
      <c r="T35" s="3703"/>
      <c r="U35" s="3703"/>
      <c r="V35" s="3703"/>
      <c r="W35" s="3703"/>
      <c r="X35" s="3703"/>
      <c r="Y35" s="2231"/>
      <c r="Z35" s="88"/>
      <c r="AD35" s="2225"/>
      <c r="AF35" s="2224">
        <f t="shared" si="2"/>
        <v>0</v>
      </c>
      <c r="AG35" s="2224">
        <f t="shared" si="3"/>
        <v>0</v>
      </c>
      <c r="AK35" s="2224">
        <f t="shared" si="4"/>
        <v>0</v>
      </c>
      <c r="AL35" s="2224">
        <f t="shared" si="5"/>
        <v>0</v>
      </c>
      <c r="AP35" s="2224">
        <f t="shared" si="8"/>
        <v>0</v>
      </c>
      <c r="AR35" s="2224">
        <f t="shared" si="6"/>
        <v>0</v>
      </c>
      <c r="AS35" s="2224">
        <f t="shared" si="7"/>
        <v>0</v>
      </c>
    </row>
    <row r="36" spans="2:47" s="2224" customFormat="1" ht="24.6" customHeight="1" x14ac:dyDescent="0.2">
      <c r="B36" s="3572" t="s">
        <v>1992</v>
      </c>
      <c r="C36" s="3572"/>
      <c r="D36" s="3572"/>
      <c r="E36" s="3572"/>
      <c r="F36" s="3572"/>
      <c r="G36" s="3572"/>
      <c r="H36" s="3572"/>
      <c r="I36" s="3572"/>
      <c r="J36" s="3572"/>
      <c r="K36" s="3572"/>
      <c r="L36" s="3572"/>
      <c r="M36" s="3572"/>
      <c r="N36" s="3572"/>
      <c r="O36" s="3572"/>
      <c r="P36" s="3572"/>
      <c r="Q36" s="3572"/>
      <c r="R36" s="3572"/>
      <c r="S36" s="3572"/>
      <c r="T36" s="3572"/>
      <c r="U36" s="3572"/>
      <c r="V36" s="3572"/>
      <c r="W36" s="3572"/>
      <c r="X36" s="3572"/>
      <c r="Y36" s="2231"/>
      <c r="Z36" s="88"/>
      <c r="AD36" s="2225"/>
      <c r="AF36" s="2224">
        <f t="shared" si="2"/>
        <v>0</v>
      </c>
      <c r="AG36" s="2224">
        <f t="shared" si="3"/>
        <v>0</v>
      </c>
      <c r="AK36" s="2224">
        <f t="shared" si="4"/>
        <v>0</v>
      </c>
      <c r="AL36" s="2224">
        <f t="shared" si="5"/>
        <v>0</v>
      </c>
      <c r="AP36" s="2224">
        <f t="shared" si="8"/>
        <v>0</v>
      </c>
      <c r="AR36" s="2224">
        <f t="shared" si="6"/>
        <v>0</v>
      </c>
      <c r="AS36" s="2224">
        <f t="shared" si="7"/>
        <v>0</v>
      </c>
    </row>
    <row r="37" spans="2:47" s="2224" customFormat="1" ht="14.25" customHeight="1" x14ac:dyDescent="0.2">
      <c r="B37" s="3664" t="s">
        <v>894</v>
      </c>
      <c r="C37" s="3672"/>
      <c r="D37" s="3672"/>
      <c r="E37" s="1252"/>
      <c r="F37" s="1252"/>
      <c r="G37" s="1252"/>
      <c r="H37" s="1252"/>
      <c r="I37" s="2239"/>
      <c r="J37" s="2239"/>
      <c r="K37" s="2239"/>
      <c r="L37" s="2239"/>
      <c r="M37" s="2239"/>
      <c r="N37" s="2239"/>
      <c r="O37" s="2239"/>
      <c r="P37" s="2239"/>
      <c r="Q37" s="2239"/>
      <c r="R37" s="2239"/>
      <c r="S37" s="2239"/>
      <c r="T37" s="2239"/>
      <c r="U37" s="2239"/>
      <c r="V37" s="2239"/>
      <c r="W37" s="3665" t="s">
        <v>338</v>
      </c>
      <c r="X37" s="3665"/>
      <c r="Y37" s="2240"/>
      <c r="Z37" s="2240"/>
      <c r="AA37" s="2240"/>
      <c r="AD37" s="2225"/>
      <c r="AF37" s="2224">
        <f t="shared" si="2"/>
        <v>0</v>
      </c>
      <c r="AG37" s="2224">
        <f t="shared" si="3"/>
        <v>0</v>
      </c>
      <c r="AK37" s="2224" t="e">
        <f t="shared" si="4"/>
        <v>#VALUE!</v>
      </c>
      <c r="AL37" s="2224" t="e">
        <f t="shared" si="5"/>
        <v>#VALUE!</v>
      </c>
      <c r="AP37" s="2224" t="e">
        <f t="shared" si="8"/>
        <v>#VALUE!</v>
      </c>
      <c r="AR37" s="2224" t="e">
        <f t="shared" si="6"/>
        <v>#VALUE!</v>
      </c>
      <c r="AS37" s="2224" t="e">
        <f t="shared" si="7"/>
        <v>#VALUE!</v>
      </c>
      <c r="AU37" s="2240"/>
    </row>
    <row r="38" spans="2:47" s="2224" customFormat="1" ht="36" customHeight="1" x14ac:dyDescent="0.2">
      <c r="B38" s="3666" t="s">
        <v>419</v>
      </c>
      <c r="C38" s="3659" t="s">
        <v>196</v>
      </c>
      <c r="D38" s="3677" t="s">
        <v>197</v>
      </c>
      <c r="E38" s="3647" t="s">
        <v>1391</v>
      </c>
      <c r="F38" s="3682" t="s">
        <v>1116</v>
      </c>
      <c r="G38" s="3682"/>
      <c r="H38" s="3662" t="s">
        <v>1993</v>
      </c>
      <c r="I38" s="3650" t="s">
        <v>1244</v>
      </c>
      <c r="J38" s="3650"/>
      <c r="K38" s="2216" t="s">
        <v>340</v>
      </c>
      <c r="L38" s="2216"/>
      <c r="M38" s="2216"/>
      <c r="N38" s="3661" t="s">
        <v>341</v>
      </c>
      <c r="O38" s="3661"/>
      <c r="P38" s="3651" t="s">
        <v>1012</v>
      </c>
      <c r="Q38" s="3652"/>
      <c r="R38" s="3652"/>
      <c r="S38" s="3652"/>
      <c r="T38" s="3653"/>
      <c r="U38" s="2217"/>
      <c r="V38" s="3650" t="s">
        <v>1334</v>
      </c>
      <c r="W38" s="3649" t="s">
        <v>898</v>
      </c>
      <c r="X38" s="3648" t="s">
        <v>1986</v>
      </c>
      <c r="Y38" s="3698" t="s">
        <v>347</v>
      </c>
      <c r="Z38" s="3698" t="s">
        <v>342</v>
      </c>
      <c r="AD38" s="2225"/>
      <c r="AF38" s="2224">
        <f t="shared" si="2"/>
        <v>0</v>
      </c>
      <c r="AG38" s="2224" t="e">
        <f t="shared" si="3"/>
        <v>#VALUE!</v>
      </c>
      <c r="AK38" s="2224" t="e">
        <f t="shared" si="4"/>
        <v>#VALUE!</v>
      </c>
      <c r="AL38" s="2224" t="e">
        <f t="shared" si="5"/>
        <v>#VALUE!</v>
      </c>
      <c r="AP38" s="2224" t="e">
        <f t="shared" si="8"/>
        <v>#VALUE!</v>
      </c>
      <c r="AR38" s="2224" t="e">
        <f t="shared" si="6"/>
        <v>#VALUE!</v>
      </c>
      <c r="AS38" s="2224" t="e">
        <f t="shared" si="7"/>
        <v>#VALUE!</v>
      </c>
    </row>
    <row r="39" spans="2:47" s="2224" customFormat="1" ht="68.45" customHeight="1" x14ac:dyDescent="0.2">
      <c r="B39" s="3666"/>
      <c r="C39" s="3659"/>
      <c r="D39" s="3677"/>
      <c r="E39" s="3647"/>
      <c r="F39" s="1409" t="s">
        <v>1955</v>
      </c>
      <c r="G39" s="1409" t="s">
        <v>1956</v>
      </c>
      <c r="H39" s="3662"/>
      <c r="I39" s="3650"/>
      <c r="J39" s="3650"/>
      <c r="K39" s="2220" t="s">
        <v>315</v>
      </c>
      <c r="L39" s="2220" t="s">
        <v>891</v>
      </c>
      <c r="M39" s="2216" t="s">
        <v>314</v>
      </c>
      <c r="N39" s="2216" t="s">
        <v>1076</v>
      </c>
      <c r="O39" s="2216" t="s">
        <v>18</v>
      </c>
      <c r="P39" s="2220" t="s">
        <v>892</v>
      </c>
      <c r="Q39" s="2220" t="s">
        <v>826</v>
      </c>
      <c r="R39" s="2220" t="s">
        <v>315</v>
      </c>
      <c r="S39" s="2216"/>
      <c r="T39" s="2216" t="s">
        <v>1180</v>
      </c>
      <c r="U39" s="2216"/>
      <c r="V39" s="3650"/>
      <c r="W39" s="3649"/>
      <c r="X39" s="3648"/>
      <c r="Y39" s="3699"/>
      <c r="Z39" s="3699"/>
      <c r="AD39" s="2225"/>
      <c r="AF39" s="2224">
        <f t="shared" si="2"/>
        <v>0</v>
      </c>
      <c r="AG39" s="2224">
        <f t="shared" si="3"/>
        <v>0</v>
      </c>
      <c r="AK39" s="2224" t="e">
        <f t="shared" si="4"/>
        <v>#VALUE!</v>
      </c>
      <c r="AL39" s="2224" t="e">
        <f t="shared" si="5"/>
        <v>#VALUE!</v>
      </c>
      <c r="AP39" s="2224" t="e">
        <f t="shared" si="8"/>
        <v>#VALUE!</v>
      </c>
      <c r="AR39" s="2224" t="e">
        <f t="shared" si="6"/>
        <v>#VALUE!</v>
      </c>
      <c r="AS39" s="2224" t="e">
        <f t="shared" si="7"/>
        <v>#VALUE!</v>
      </c>
      <c r="AU39" s="2221" t="s">
        <v>1180</v>
      </c>
    </row>
    <row r="40" spans="2:47" s="93" customFormat="1" ht="32.450000000000003" customHeight="1" x14ac:dyDescent="0.2">
      <c r="B40" s="3667" t="s">
        <v>180</v>
      </c>
      <c r="C40" s="3669" t="s">
        <v>181</v>
      </c>
      <c r="D40" s="3670"/>
      <c r="E40" s="1245">
        <f>E29</f>
        <v>17954315310471</v>
      </c>
      <c r="F40" s="1245">
        <f>F29</f>
        <v>0</v>
      </c>
      <c r="G40" s="1245">
        <f t="shared" ref="G40:X40" si="10">G29</f>
        <v>0</v>
      </c>
      <c r="H40" s="1245">
        <f>H29</f>
        <v>17954315310471</v>
      </c>
      <c r="I40" s="1253">
        <f t="shared" si="10"/>
        <v>0</v>
      </c>
      <c r="J40" s="1253">
        <f>J29</f>
        <v>9432362702185</v>
      </c>
      <c r="K40" s="1253">
        <f t="shared" si="10"/>
        <v>0</v>
      </c>
      <c r="L40" s="1253">
        <f t="shared" si="10"/>
        <v>0</v>
      </c>
      <c r="M40" s="1253">
        <f t="shared" si="10"/>
        <v>0</v>
      </c>
      <c r="N40" s="1253">
        <f t="shared" si="10"/>
        <v>277012954115</v>
      </c>
      <c r="O40" s="1253">
        <f t="shared" si="10"/>
        <v>290342578267</v>
      </c>
      <c r="P40" s="1253">
        <f t="shared" si="10"/>
        <v>-13412068761</v>
      </c>
      <c r="Q40" s="1253">
        <f t="shared" si="10"/>
        <v>-1058414866015</v>
      </c>
      <c r="R40" s="1253">
        <f t="shared" si="10"/>
        <v>0</v>
      </c>
      <c r="S40" s="1253">
        <f t="shared" si="10"/>
        <v>0</v>
      </c>
      <c r="T40" s="1253">
        <f t="shared" si="10"/>
        <v>0</v>
      </c>
      <c r="U40" s="1253">
        <f t="shared" si="10"/>
        <v>0</v>
      </c>
      <c r="V40" s="1253">
        <f t="shared" si="10"/>
        <v>-34494372912</v>
      </c>
      <c r="W40" s="1253">
        <f>W29</f>
        <v>607034021445</v>
      </c>
      <c r="X40" s="1254">
        <f t="shared" si="10"/>
        <v>27454746258795</v>
      </c>
      <c r="Y40" s="94">
        <f>Z29</f>
        <v>0</v>
      </c>
      <c r="Z40" s="95">
        <f>SUM(E40:Y40)</f>
        <v>72863807828061</v>
      </c>
      <c r="AC40" s="2224"/>
      <c r="AD40" s="411"/>
      <c r="AF40" s="2224">
        <f t="shared" si="2"/>
        <v>45409061569266</v>
      </c>
      <c r="AG40" s="2224">
        <f t="shared" si="3"/>
        <v>-17954315310471</v>
      </c>
      <c r="AK40" s="2224">
        <f t="shared" si="4"/>
        <v>45443555942178</v>
      </c>
      <c r="AL40" s="2224">
        <f t="shared" si="5"/>
        <v>-17988809683383</v>
      </c>
      <c r="AP40" s="2224">
        <f t="shared" si="8"/>
        <v>0</v>
      </c>
      <c r="AR40" s="2224">
        <f t="shared" si="6"/>
        <v>27454746258795</v>
      </c>
      <c r="AS40" s="2224">
        <f t="shared" si="7"/>
        <v>0</v>
      </c>
      <c r="AU40" s="267">
        <f>AU29</f>
        <v>-358984000000</v>
      </c>
    </row>
    <row r="41" spans="2:47" s="2224" customFormat="1" ht="22.9" customHeight="1" x14ac:dyDescent="0.2">
      <c r="B41" s="3667"/>
      <c r="C41" s="1737" t="s">
        <v>98</v>
      </c>
      <c r="D41" s="1197" t="s">
        <v>219</v>
      </c>
      <c r="E41" s="1245">
        <v>62575447</v>
      </c>
      <c r="F41" s="1245"/>
      <c r="G41" s="1245"/>
      <c r="H41" s="1245">
        <f>E41+G41+F41</f>
        <v>62575447</v>
      </c>
      <c r="I41" s="510"/>
      <c r="J41" s="510">
        <f>X41-O41-N41-P41-Q41-K41-R41-W41-E41-T41-I41-V41-F41-G41</f>
        <v>0</v>
      </c>
      <c r="K41" s="2241"/>
      <c r="L41" s="2241"/>
      <c r="M41" s="2241"/>
      <c r="N41" s="510"/>
      <c r="O41" s="510"/>
      <c r="P41" s="2241"/>
      <c r="Q41" s="2241">
        <f>-'مطالبات بلند مدت دولت ياددا (2)'!G37</f>
        <v>0</v>
      </c>
      <c r="R41" s="2241"/>
      <c r="S41" s="2222"/>
      <c r="T41" s="510"/>
      <c r="U41" s="2222"/>
      <c r="V41" s="510"/>
      <c r="W41" s="510"/>
      <c r="X41" s="550">
        <f>102974136-X441</f>
        <v>62575447</v>
      </c>
      <c r="Y41" s="88"/>
      <c r="Z41" s="2223" t="e">
        <f>#N/A</f>
        <v>#N/A</v>
      </c>
      <c r="AD41" s="2225"/>
      <c r="AF41" s="2224">
        <f t="shared" si="2"/>
        <v>125150894</v>
      </c>
      <c r="AG41" s="2224">
        <f t="shared" si="3"/>
        <v>-62575447</v>
      </c>
      <c r="AK41" s="2224">
        <f t="shared" si="4"/>
        <v>125150894</v>
      </c>
      <c r="AL41" s="2224">
        <f t="shared" si="5"/>
        <v>-62575447</v>
      </c>
      <c r="AP41" s="2224">
        <f t="shared" si="8"/>
        <v>0</v>
      </c>
      <c r="AR41" s="2224">
        <f t="shared" si="6"/>
        <v>62575447</v>
      </c>
      <c r="AS41" s="2224">
        <f t="shared" si="7"/>
        <v>0</v>
      </c>
      <c r="AU41" s="234"/>
    </row>
    <row r="42" spans="2:47" s="2224" customFormat="1" ht="22.9" customHeight="1" x14ac:dyDescent="0.2">
      <c r="B42" s="3667"/>
      <c r="C42" s="1737" t="s">
        <v>206</v>
      </c>
      <c r="D42" s="1197" t="s">
        <v>207</v>
      </c>
      <c r="E42" s="1245">
        <v>95030635890</v>
      </c>
      <c r="F42" s="1350"/>
      <c r="G42" s="1255">
        <f>-'مطالبات بلند مدت دولت ياددا (2)'!E38</f>
        <v>0</v>
      </c>
      <c r="H42" s="1245">
        <f t="shared" ref="H42:H55" si="11">E42+G42+F42</f>
        <v>95030635890</v>
      </c>
      <c r="I42" s="510"/>
      <c r="J42" s="510">
        <f t="shared" ref="J42:J55" si="12">X42-O42-N42-P42-Q42-K42-R42-W42-E42-T42-I42-V42-F42-G42</f>
        <v>0</v>
      </c>
      <c r="K42" s="510"/>
      <c r="L42" s="1248"/>
      <c r="M42" s="390"/>
      <c r="N42" s="240"/>
      <c r="O42" s="510"/>
      <c r="P42" s="240"/>
      <c r="Q42" s="240">
        <f>-'مطالبات بلند مدت دولت ياددا (2)'!G38</f>
        <v>0</v>
      </c>
      <c r="R42" s="240"/>
      <c r="S42" s="2222"/>
      <c r="T42" s="1256"/>
      <c r="U42" s="2222"/>
      <c r="V42" s="510"/>
      <c r="W42" s="510">
        <f>-377419605-278820014-40555555-110796178</f>
        <v>-807591352</v>
      </c>
      <c r="X42" s="551">
        <f>104378545144-X413</f>
        <v>94223044538</v>
      </c>
      <c r="Y42" s="88"/>
      <c r="Z42" s="2223" t="e">
        <f>#N/A</f>
        <v>#N/A</v>
      </c>
      <c r="AD42" s="2225"/>
      <c r="AF42" s="2224">
        <f t="shared" si="2"/>
        <v>189253680428</v>
      </c>
      <c r="AG42" s="2224">
        <f t="shared" si="3"/>
        <v>-95030635890</v>
      </c>
      <c r="AK42" s="2224">
        <f t="shared" si="4"/>
        <v>189253680428</v>
      </c>
      <c r="AL42" s="2224">
        <f t="shared" si="5"/>
        <v>-95030635890</v>
      </c>
      <c r="AP42" s="2224">
        <f t="shared" si="8"/>
        <v>0</v>
      </c>
      <c r="AR42" s="2224">
        <f t="shared" si="6"/>
        <v>94223044538</v>
      </c>
      <c r="AS42" s="2224">
        <f t="shared" si="7"/>
        <v>0</v>
      </c>
      <c r="AU42" s="236"/>
    </row>
    <row r="43" spans="2:47" s="2224" customFormat="1" ht="22.9" customHeight="1" x14ac:dyDescent="0.2">
      <c r="B43" s="3667"/>
      <c r="C43" s="1737" t="s">
        <v>162</v>
      </c>
      <c r="D43" s="1197" t="s">
        <v>256</v>
      </c>
      <c r="E43" s="1245">
        <v>3668152317</v>
      </c>
      <c r="F43" s="1245"/>
      <c r="G43" s="1245">
        <f>-'مطالبات بلند مدت دولت ياددا (2)'!E52</f>
        <v>0</v>
      </c>
      <c r="H43" s="1245">
        <f t="shared" si="11"/>
        <v>3668152317</v>
      </c>
      <c r="I43" s="510"/>
      <c r="J43" s="510">
        <f t="shared" si="12"/>
        <v>775685</v>
      </c>
      <c r="K43" s="510"/>
      <c r="L43" s="1248"/>
      <c r="M43" s="390"/>
      <c r="N43" s="240"/>
      <c r="O43" s="510"/>
      <c r="P43" s="240"/>
      <c r="Q43" s="240">
        <f>-'مطالبات بلند مدت دولت ياددا (2)'!G52</f>
        <v>0</v>
      </c>
      <c r="R43" s="240"/>
      <c r="S43" s="2222"/>
      <c r="T43" s="1256"/>
      <c r="U43" s="2222"/>
      <c r="V43" s="510"/>
      <c r="W43" s="510">
        <f>-775685</f>
        <v>-775685</v>
      </c>
      <c r="X43" s="1245">
        <v>3668152317</v>
      </c>
      <c r="Y43" s="88"/>
      <c r="Z43" s="2223" t="e">
        <f>#N/A</f>
        <v>#N/A</v>
      </c>
      <c r="AD43" s="2225"/>
      <c r="AF43" s="2224">
        <f t="shared" si="2"/>
        <v>7336304634</v>
      </c>
      <c r="AG43" s="2224">
        <f t="shared" si="3"/>
        <v>-3668152317</v>
      </c>
      <c r="AK43" s="2224">
        <f t="shared" si="4"/>
        <v>7336304634</v>
      </c>
      <c r="AL43" s="2224">
        <f t="shared" si="5"/>
        <v>-3668152317</v>
      </c>
      <c r="AP43" s="2224">
        <f t="shared" si="8"/>
        <v>0</v>
      </c>
      <c r="AR43" s="2224">
        <f t="shared" si="6"/>
        <v>3668152317</v>
      </c>
      <c r="AS43" s="2224">
        <f t="shared" si="7"/>
        <v>0</v>
      </c>
      <c r="AU43" s="236"/>
    </row>
    <row r="44" spans="2:47" s="2224" customFormat="1" ht="22.9" customHeight="1" x14ac:dyDescent="0.2">
      <c r="B44" s="3667"/>
      <c r="C44" s="1737" t="s">
        <v>103</v>
      </c>
      <c r="D44" s="1197" t="s">
        <v>208</v>
      </c>
      <c r="E44" s="1245">
        <v>465000000</v>
      </c>
      <c r="F44" s="1245"/>
      <c r="G44" s="1245">
        <f>-'مطالبات بلند مدت دولت ياددا (2)'!E39</f>
        <v>0</v>
      </c>
      <c r="H44" s="1245">
        <f t="shared" si="11"/>
        <v>465000000</v>
      </c>
      <c r="I44" s="510"/>
      <c r="J44" s="510">
        <f t="shared" si="12"/>
        <v>0</v>
      </c>
      <c r="K44" s="510"/>
      <c r="L44" s="1248"/>
      <c r="M44" s="390"/>
      <c r="N44" s="240"/>
      <c r="O44" s="510"/>
      <c r="P44" s="240"/>
      <c r="Q44" s="240">
        <f>-'مطالبات بلند مدت دولت ياددا (2)'!G39</f>
        <v>0</v>
      </c>
      <c r="R44" s="240"/>
      <c r="S44" s="2222"/>
      <c r="T44" s="1256"/>
      <c r="U44" s="2222"/>
      <c r="V44" s="510"/>
      <c r="W44" s="510"/>
      <c r="X44" s="1245">
        <v>465000000</v>
      </c>
      <c r="Y44" s="88"/>
      <c r="Z44" s="2223" t="e">
        <f>#N/A</f>
        <v>#N/A</v>
      </c>
      <c r="AD44" s="2225"/>
      <c r="AF44" s="2224">
        <f t="shared" si="2"/>
        <v>930000000</v>
      </c>
      <c r="AG44" s="2224">
        <f t="shared" si="3"/>
        <v>-465000000</v>
      </c>
      <c r="AK44" s="2224">
        <f t="shared" si="4"/>
        <v>930000000</v>
      </c>
      <c r="AL44" s="2224">
        <f t="shared" si="5"/>
        <v>-465000000</v>
      </c>
      <c r="AP44" s="2224">
        <f t="shared" si="8"/>
        <v>0</v>
      </c>
      <c r="AR44" s="2224">
        <f t="shared" si="6"/>
        <v>465000000</v>
      </c>
      <c r="AS44" s="2224">
        <f t="shared" si="7"/>
        <v>0</v>
      </c>
      <c r="AU44" s="236"/>
    </row>
    <row r="45" spans="2:47" s="2224" customFormat="1" ht="22.9" customHeight="1" x14ac:dyDescent="0.2">
      <c r="B45" s="3667"/>
      <c r="C45" s="1737" t="s">
        <v>163</v>
      </c>
      <c r="D45" s="1197" t="s">
        <v>348</v>
      </c>
      <c r="E45" s="1245">
        <v>2719173581</v>
      </c>
      <c r="F45" s="1245"/>
      <c r="G45" s="1245"/>
      <c r="H45" s="1245">
        <f t="shared" si="11"/>
        <v>2719173581</v>
      </c>
      <c r="I45" s="510"/>
      <c r="J45" s="510">
        <f t="shared" si="12"/>
        <v>0</v>
      </c>
      <c r="K45" s="510"/>
      <c r="L45" s="1248"/>
      <c r="M45" s="390"/>
      <c r="N45" s="240"/>
      <c r="O45" s="510"/>
      <c r="P45" s="240"/>
      <c r="Q45" s="240"/>
      <c r="R45" s="240"/>
      <c r="S45" s="2222"/>
      <c r="T45" s="1256"/>
      <c r="U45" s="2222"/>
      <c r="V45" s="510"/>
      <c r="W45" s="510">
        <f>-40882823</f>
        <v>-40882823</v>
      </c>
      <c r="X45" s="551">
        <v>2678290758</v>
      </c>
      <c r="Y45" s="88"/>
      <c r="Z45" s="2223" t="e">
        <f>#N/A</f>
        <v>#N/A</v>
      </c>
      <c r="AD45" s="2225"/>
      <c r="AF45" s="2224">
        <f t="shared" si="2"/>
        <v>5397464339</v>
      </c>
      <c r="AG45" s="2224">
        <f t="shared" si="3"/>
        <v>-2719173581</v>
      </c>
      <c r="AK45" s="2224">
        <f t="shared" si="4"/>
        <v>5397464339</v>
      </c>
      <c r="AL45" s="2224">
        <f t="shared" si="5"/>
        <v>-2719173581</v>
      </c>
      <c r="AP45" s="2224">
        <f t="shared" si="8"/>
        <v>0</v>
      </c>
      <c r="AR45" s="2224">
        <f t="shared" si="6"/>
        <v>2678290758</v>
      </c>
      <c r="AS45" s="2224">
        <f t="shared" si="7"/>
        <v>0</v>
      </c>
      <c r="AU45" s="236"/>
    </row>
    <row r="46" spans="2:47" s="2224" customFormat="1" ht="22.9" hidden="1" customHeight="1" x14ac:dyDescent="0.2">
      <c r="B46" s="3667"/>
      <c r="C46" s="1737" t="s">
        <v>209</v>
      </c>
      <c r="D46" s="1197" t="s">
        <v>210</v>
      </c>
      <c r="E46" s="1245"/>
      <c r="F46" s="1245"/>
      <c r="G46" s="1245"/>
      <c r="H46" s="1245">
        <f t="shared" si="11"/>
        <v>0</v>
      </c>
      <c r="I46" s="510"/>
      <c r="J46" s="510">
        <f t="shared" si="12"/>
        <v>0</v>
      </c>
      <c r="K46" s="510"/>
      <c r="L46" s="390"/>
      <c r="M46" s="390"/>
      <c r="N46" s="240"/>
      <c r="O46" s="510"/>
      <c r="P46" s="240"/>
      <c r="Q46" s="240"/>
      <c r="R46" s="240"/>
      <c r="S46" s="2222"/>
      <c r="T46" s="1256"/>
      <c r="U46" s="2222"/>
      <c r="V46" s="510"/>
      <c r="W46" s="510"/>
      <c r="X46" s="551"/>
      <c r="Y46" s="88"/>
      <c r="Z46" s="2223" t="e">
        <f>#N/A</f>
        <v>#N/A</v>
      </c>
      <c r="AD46" s="2225"/>
      <c r="AF46" s="2224">
        <f t="shared" si="2"/>
        <v>0</v>
      </c>
      <c r="AG46" s="2224">
        <f t="shared" si="3"/>
        <v>0</v>
      </c>
      <c r="AK46" s="2224">
        <f t="shared" si="4"/>
        <v>0</v>
      </c>
      <c r="AL46" s="2224">
        <f t="shared" si="5"/>
        <v>0</v>
      </c>
      <c r="AP46" s="2224">
        <f t="shared" si="8"/>
        <v>0</v>
      </c>
      <c r="AR46" s="2224">
        <f t="shared" si="6"/>
        <v>0</v>
      </c>
      <c r="AS46" s="2224">
        <f t="shared" si="7"/>
        <v>0</v>
      </c>
      <c r="AU46" s="236"/>
    </row>
    <row r="47" spans="2:47" s="2224" customFormat="1" ht="22.9" customHeight="1" x14ac:dyDescent="0.2">
      <c r="B47" s="3667"/>
      <c r="C47" s="1737" t="s">
        <v>104</v>
      </c>
      <c r="D47" s="1197" t="s">
        <v>198</v>
      </c>
      <c r="E47" s="1245">
        <v>44896654990</v>
      </c>
      <c r="F47" s="1245"/>
      <c r="G47" s="1245">
        <f>-'مطالبات بلند مدت دولت ياددا (2)'!E53</f>
        <v>0</v>
      </c>
      <c r="H47" s="1245">
        <f t="shared" si="11"/>
        <v>44896654990</v>
      </c>
      <c r="I47" s="510"/>
      <c r="J47" s="510">
        <f t="shared" si="12"/>
        <v>0</v>
      </c>
      <c r="K47" s="510"/>
      <c r="L47" s="1248"/>
      <c r="M47" s="390"/>
      <c r="N47" s="240"/>
      <c r="O47" s="510"/>
      <c r="P47" s="240"/>
      <c r="Q47" s="240">
        <f>-'مطالبات بلند مدت دولت ياددا (2)'!G53</f>
        <v>0</v>
      </c>
      <c r="R47" s="240"/>
      <c r="S47" s="2222"/>
      <c r="T47" s="1256"/>
      <c r="U47" s="2222"/>
      <c r="V47" s="510"/>
      <c r="W47" s="510">
        <f>-800275-119797170-154082676</f>
        <v>-274680121</v>
      </c>
      <c r="X47" s="551">
        <f>45121974869-X440</f>
        <v>44621974869</v>
      </c>
      <c r="Y47" s="88"/>
      <c r="Z47" s="2223" t="e">
        <f>#N/A</f>
        <v>#N/A</v>
      </c>
      <c r="AD47" s="2225"/>
      <c r="AF47" s="2224">
        <f t="shared" si="2"/>
        <v>89518629859</v>
      </c>
      <c r="AG47" s="2224">
        <f t="shared" si="3"/>
        <v>-44896654990</v>
      </c>
      <c r="AK47" s="2224">
        <f t="shared" si="4"/>
        <v>89518629859</v>
      </c>
      <c r="AL47" s="2224">
        <f t="shared" si="5"/>
        <v>-44896654990</v>
      </c>
      <c r="AP47" s="2224">
        <f t="shared" si="8"/>
        <v>0</v>
      </c>
      <c r="AR47" s="2224">
        <f t="shared" si="6"/>
        <v>44621974869</v>
      </c>
      <c r="AS47" s="2224">
        <f t="shared" si="7"/>
        <v>0</v>
      </c>
      <c r="AU47" s="236"/>
    </row>
    <row r="48" spans="2:47" s="2224" customFormat="1" ht="22.9" hidden="1" customHeight="1" x14ac:dyDescent="0.2">
      <c r="B48" s="3667"/>
      <c r="C48" s="1737" t="s">
        <v>231</v>
      </c>
      <c r="D48" s="1197" t="s">
        <v>232</v>
      </c>
      <c r="E48" s="1245"/>
      <c r="F48" s="1245"/>
      <c r="G48" s="1245"/>
      <c r="H48" s="1245">
        <f t="shared" si="11"/>
        <v>0</v>
      </c>
      <c r="I48" s="510"/>
      <c r="J48" s="510">
        <f t="shared" si="12"/>
        <v>0</v>
      </c>
      <c r="K48" s="510"/>
      <c r="L48" s="1248"/>
      <c r="M48" s="390"/>
      <c r="N48" s="240"/>
      <c r="O48" s="510"/>
      <c r="P48" s="240"/>
      <c r="Q48" s="240"/>
      <c r="R48" s="240"/>
      <c r="S48" s="2222"/>
      <c r="T48" s="1256"/>
      <c r="U48" s="2222"/>
      <c r="V48" s="510"/>
      <c r="W48" s="510"/>
      <c r="X48" s="551"/>
      <c r="Y48" s="88"/>
      <c r="Z48" s="2223" t="e">
        <f>#N/A</f>
        <v>#N/A</v>
      </c>
      <c r="AD48" s="2225"/>
      <c r="AF48" s="2224">
        <f t="shared" si="2"/>
        <v>0</v>
      </c>
      <c r="AG48" s="2224">
        <f t="shared" si="3"/>
        <v>0</v>
      </c>
      <c r="AK48" s="2224">
        <f t="shared" si="4"/>
        <v>0</v>
      </c>
      <c r="AL48" s="2224">
        <f t="shared" si="5"/>
        <v>0</v>
      </c>
      <c r="AP48" s="2224">
        <f t="shared" si="8"/>
        <v>0</v>
      </c>
      <c r="AR48" s="2224">
        <f t="shared" si="6"/>
        <v>0</v>
      </c>
      <c r="AS48" s="2224">
        <f t="shared" si="7"/>
        <v>0</v>
      </c>
      <c r="AU48" s="236"/>
    </row>
    <row r="49" spans="2:47" s="2224" customFormat="1" ht="22.9" customHeight="1" x14ac:dyDescent="0.2">
      <c r="B49" s="3667"/>
      <c r="C49" s="1737" t="s">
        <v>292</v>
      </c>
      <c r="D49" s="1197" t="s">
        <v>293</v>
      </c>
      <c r="E49" s="1245">
        <v>23817152</v>
      </c>
      <c r="F49" s="1245"/>
      <c r="G49" s="1245"/>
      <c r="H49" s="1245">
        <f t="shared" si="11"/>
        <v>23817152</v>
      </c>
      <c r="I49" s="510"/>
      <c r="J49" s="510">
        <f t="shared" si="12"/>
        <v>0</v>
      </c>
      <c r="K49" s="510"/>
      <c r="L49" s="510"/>
      <c r="M49" s="1243"/>
      <c r="N49" s="1243"/>
      <c r="O49" s="510"/>
      <c r="P49" s="1243"/>
      <c r="Q49" s="2222"/>
      <c r="R49" s="1243"/>
      <c r="S49" s="2222"/>
      <c r="T49" s="510"/>
      <c r="U49" s="2222"/>
      <c r="V49" s="510"/>
      <c r="W49" s="510"/>
      <c r="X49" s="1245">
        <v>23817152</v>
      </c>
      <c r="Y49" s="88"/>
      <c r="Z49" s="2223">
        <f>SUM(E49:T49)</f>
        <v>47634304</v>
      </c>
      <c r="AD49" s="2225"/>
      <c r="AF49" s="2224">
        <f t="shared" si="2"/>
        <v>47634304</v>
      </c>
      <c r="AG49" s="2224">
        <f t="shared" si="3"/>
        <v>-23817152</v>
      </c>
      <c r="AK49" s="2224">
        <f t="shared" si="4"/>
        <v>47634304</v>
      </c>
      <c r="AL49" s="2224">
        <f t="shared" si="5"/>
        <v>-23817152</v>
      </c>
      <c r="AP49" s="2224">
        <f t="shared" si="8"/>
        <v>0</v>
      </c>
      <c r="AR49" s="2224">
        <f t="shared" si="6"/>
        <v>23817152</v>
      </c>
      <c r="AS49" s="2224">
        <f t="shared" si="7"/>
        <v>0</v>
      </c>
      <c r="AU49" s="234"/>
    </row>
    <row r="50" spans="2:47" s="2224" customFormat="1" ht="22.9" customHeight="1" x14ac:dyDescent="0.2">
      <c r="B50" s="3667"/>
      <c r="C50" s="1737" t="s">
        <v>164</v>
      </c>
      <c r="D50" s="1197" t="s">
        <v>211</v>
      </c>
      <c r="E50" s="1245">
        <v>2415021726</v>
      </c>
      <c r="F50" s="1245">
        <f>-'يادداشت 8سرمايه گذاري در شركتها'!E69</f>
        <v>0</v>
      </c>
      <c r="G50" s="1245"/>
      <c r="H50" s="1245">
        <f t="shared" si="11"/>
        <v>2415021726</v>
      </c>
      <c r="I50" s="510"/>
      <c r="J50" s="510">
        <f t="shared" si="12"/>
        <v>0</v>
      </c>
      <c r="K50" s="510"/>
      <c r="L50" s="510"/>
      <c r="M50" s="510"/>
      <c r="N50" s="510"/>
      <c r="O50" s="510"/>
      <c r="P50" s="510">
        <f>-'يادداشت 8سرمايه گذاري در شركتها'!G69</f>
        <v>0</v>
      </c>
      <c r="Q50" s="510"/>
      <c r="R50" s="510"/>
      <c r="S50" s="2222"/>
      <c r="T50" s="510"/>
      <c r="U50" s="2222"/>
      <c r="V50" s="510"/>
      <c r="W50" s="510"/>
      <c r="X50" s="1245">
        <v>2415021726</v>
      </c>
      <c r="Y50" s="88"/>
      <c r="Z50" s="2223">
        <f>SUM(E50:T50)</f>
        <v>4830043452</v>
      </c>
      <c r="AD50" s="2225"/>
      <c r="AF50" s="2224">
        <f t="shared" si="2"/>
        <v>4830043452</v>
      </c>
      <c r="AG50" s="2224">
        <f t="shared" si="3"/>
        <v>-2415021726</v>
      </c>
      <c r="AK50" s="2224">
        <f t="shared" si="4"/>
        <v>4830043452</v>
      </c>
      <c r="AL50" s="2224">
        <f t="shared" si="5"/>
        <v>-2415021726</v>
      </c>
      <c r="AP50" s="2224">
        <f t="shared" si="8"/>
        <v>0</v>
      </c>
      <c r="AQ50" s="2224">
        <v>-27000</v>
      </c>
      <c r="AR50" s="2224">
        <f t="shared" si="6"/>
        <v>2415021726</v>
      </c>
      <c r="AS50" s="2224">
        <f t="shared" si="7"/>
        <v>0</v>
      </c>
      <c r="AU50" s="234"/>
    </row>
    <row r="51" spans="2:47" s="2224" customFormat="1" ht="22.9" customHeight="1" x14ac:dyDescent="0.2">
      <c r="B51" s="3667"/>
      <c r="C51" s="1737" t="s">
        <v>107</v>
      </c>
      <c r="D51" s="1197" t="s">
        <v>108</v>
      </c>
      <c r="E51" s="1245">
        <v>0</v>
      </c>
      <c r="F51" s="1245">
        <f>-'يادداشت 8سرمايه گذاري در شركتها'!E70</f>
        <v>0</v>
      </c>
      <c r="G51" s="1245"/>
      <c r="H51" s="1245">
        <f t="shared" si="11"/>
        <v>0</v>
      </c>
      <c r="I51" s="510"/>
      <c r="J51" s="510">
        <f t="shared" si="12"/>
        <v>0</v>
      </c>
      <c r="K51" s="510"/>
      <c r="L51" s="510"/>
      <c r="M51" s="510"/>
      <c r="N51" s="510"/>
      <c r="O51" s="510"/>
      <c r="P51" s="510">
        <f>-'يادداشت 8سرمايه گذاري در شركتها'!G70</f>
        <v>0</v>
      </c>
      <c r="Q51" s="510"/>
      <c r="R51" s="510"/>
      <c r="S51" s="2222"/>
      <c r="T51" s="510"/>
      <c r="U51" s="2222"/>
      <c r="V51" s="510"/>
      <c r="W51" s="510"/>
      <c r="X51" s="551"/>
      <c r="Y51" s="88"/>
      <c r="Z51" s="2223"/>
      <c r="AD51" s="2225"/>
      <c r="AF51" s="2224">
        <f t="shared" si="2"/>
        <v>0</v>
      </c>
      <c r="AG51" s="2224">
        <f t="shared" si="3"/>
        <v>0</v>
      </c>
      <c r="AK51" s="2224">
        <f t="shared" si="4"/>
        <v>0</v>
      </c>
      <c r="AL51" s="2224">
        <f t="shared" si="5"/>
        <v>0</v>
      </c>
      <c r="AP51" s="2224">
        <f t="shared" si="8"/>
        <v>0</v>
      </c>
      <c r="AR51" s="2224">
        <f t="shared" si="6"/>
        <v>0</v>
      </c>
      <c r="AS51" s="2224">
        <f t="shared" si="7"/>
        <v>0</v>
      </c>
      <c r="AU51" s="234"/>
    </row>
    <row r="52" spans="2:47" s="2224" customFormat="1" ht="22.9" customHeight="1" x14ac:dyDescent="0.2">
      <c r="B52" s="3667"/>
      <c r="C52" s="1737" t="s">
        <v>165</v>
      </c>
      <c r="D52" s="1197" t="s">
        <v>212</v>
      </c>
      <c r="E52" s="1245">
        <v>8027244415</v>
      </c>
      <c r="F52" s="1245">
        <f>-'يادداشت 8سرمايه گذاري در شركتها'!E71</f>
        <v>0</v>
      </c>
      <c r="G52" s="1245"/>
      <c r="H52" s="1245">
        <f t="shared" si="11"/>
        <v>8027244415</v>
      </c>
      <c r="I52" s="510"/>
      <c r="J52" s="510">
        <f t="shared" si="12"/>
        <v>0</v>
      </c>
      <c r="K52" s="510"/>
      <c r="L52" s="510"/>
      <c r="M52" s="510"/>
      <c r="N52" s="510">
        <f>'يادداشت_-5موجودی_جنسی__(2)'!K27</f>
        <v>0</v>
      </c>
      <c r="O52" s="510"/>
      <c r="P52" s="510">
        <f>-'يادداشت 8سرمايه گذاري در شركتها'!G71</f>
        <v>0</v>
      </c>
      <c r="Q52" s="510"/>
      <c r="R52" s="510"/>
      <c r="S52" s="2222"/>
      <c r="T52" s="510"/>
      <c r="U52" s="2222"/>
      <c r="V52" s="510"/>
      <c r="W52" s="510"/>
      <c r="X52" s="551">
        <v>8027244415</v>
      </c>
      <c r="Y52" s="88"/>
      <c r="Z52" s="2223"/>
      <c r="AD52" s="2225"/>
      <c r="AF52" s="2224">
        <f t="shared" si="2"/>
        <v>16054488830</v>
      </c>
      <c r="AG52" s="2224">
        <f t="shared" si="3"/>
        <v>-8027244415</v>
      </c>
      <c r="AK52" s="2224">
        <f t="shared" si="4"/>
        <v>16054488830</v>
      </c>
      <c r="AL52" s="2224">
        <f t="shared" si="5"/>
        <v>-8027244415</v>
      </c>
      <c r="AP52" s="2224">
        <f t="shared" si="8"/>
        <v>0</v>
      </c>
      <c r="AR52" s="2224">
        <f t="shared" si="6"/>
        <v>8027244415</v>
      </c>
      <c r="AS52" s="2224">
        <f t="shared" si="7"/>
        <v>0</v>
      </c>
      <c r="AU52" s="234"/>
    </row>
    <row r="53" spans="2:47" s="2224" customFormat="1" ht="22.9" customHeight="1" x14ac:dyDescent="0.2">
      <c r="B53" s="3667"/>
      <c r="C53" s="1737" t="s">
        <v>115</v>
      </c>
      <c r="D53" s="1197" t="s">
        <v>116</v>
      </c>
      <c r="E53" s="1245">
        <v>1152387557</v>
      </c>
      <c r="F53" s="1245"/>
      <c r="G53" s="1245">
        <f>-'مطالبات بلند مدت دولت ياددا (2)'!E56</f>
        <v>0</v>
      </c>
      <c r="H53" s="1245">
        <f t="shared" si="11"/>
        <v>1152387557</v>
      </c>
      <c r="I53" s="510"/>
      <c r="J53" s="510">
        <f t="shared" si="12"/>
        <v>0</v>
      </c>
      <c r="K53" s="2241"/>
      <c r="L53" s="2241"/>
      <c r="M53" s="2241"/>
      <c r="N53" s="510"/>
      <c r="O53" s="240"/>
      <c r="P53" s="2241"/>
      <c r="Q53" s="2241">
        <f>-'مطالبات بلند مدت دولت ياددا (2)'!G56</f>
        <v>0</v>
      </c>
      <c r="R53" s="2241"/>
      <c r="S53" s="2222"/>
      <c r="T53" s="1248"/>
      <c r="U53" s="2222"/>
      <c r="V53" s="240"/>
      <c r="W53" s="240"/>
      <c r="X53" s="1245">
        <v>1152387557</v>
      </c>
      <c r="Y53" s="88"/>
      <c r="Z53" s="2223"/>
      <c r="AD53" s="2225"/>
      <c r="AF53" s="2224">
        <f t="shared" si="2"/>
        <v>2304775114</v>
      </c>
      <c r="AG53" s="2224">
        <f t="shared" si="3"/>
        <v>-1152387557</v>
      </c>
      <c r="AK53" s="2224">
        <f t="shared" si="4"/>
        <v>2304775114</v>
      </c>
      <c r="AL53" s="2224">
        <f t="shared" si="5"/>
        <v>-1152387557</v>
      </c>
      <c r="AP53" s="2224">
        <f t="shared" si="8"/>
        <v>0</v>
      </c>
      <c r="AR53" s="2224">
        <f t="shared" si="6"/>
        <v>1152387557</v>
      </c>
      <c r="AS53" s="2224">
        <f t="shared" si="7"/>
        <v>0</v>
      </c>
      <c r="AU53" s="239"/>
    </row>
    <row r="54" spans="2:47" s="2224" customFormat="1" ht="22.9" customHeight="1" x14ac:dyDescent="0.2">
      <c r="B54" s="3667"/>
      <c r="C54" s="1737">
        <v>1502001005</v>
      </c>
      <c r="D54" s="1197" t="s">
        <v>233</v>
      </c>
      <c r="E54" s="1245">
        <v>472845035112</v>
      </c>
      <c r="F54" s="1245">
        <f>-'يادداشت 8سرمايه گذاري در شركتها'!E83</f>
        <v>0</v>
      </c>
      <c r="G54" s="1245"/>
      <c r="H54" s="1245">
        <f t="shared" si="11"/>
        <v>472845035112</v>
      </c>
      <c r="I54" s="510"/>
      <c r="J54" s="510">
        <f t="shared" si="12"/>
        <v>164857692737</v>
      </c>
      <c r="K54" s="1246"/>
      <c r="L54" s="1246"/>
      <c r="M54" s="1246"/>
      <c r="N54" s="1246">
        <f>-'يادداشت_-5موجودی_جنسی__(2)'!K24</f>
        <v>507573230</v>
      </c>
      <c r="O54" s="240">
        <f>-'پيش پرداخت سرمايه اي يادداشت 6'!I48</f>
        <v>11120621186</v>
      </c>
      <c r="P54" s="1246">
        <f>-'يادداشت 8سرمايه گذاري در شركتها'!G83</f>
        <v>-13989982784</v>
      </c>
      <c r="Q54" s="1246"/>
      <c r="R54" s="1246"/>
      <c r="S54" s="2207"/>
      <c r="T54" s="1258"/>
      <c r="U54" s="2207"/>
      <c r="V54" s="240"/>
      <c r="W54" s="240">
        <f>-1685568634-587309609-423108076-6463987-27679583</f>
        <v>-2730129889</v>
      </c>
      <c r="X54" s="1257">
        <f>632610809592</f>
        <v>632610809592</v>
      </c>
      <c r="Y54" s="88"/>
      <c r="Z54" s="2223"/>
      <c r="AD54" s="2225"/>
      <c r="AF54" s="2224">
        <f t="shared" si="2"/>
        <v>1105455844704</v>
      </c>
      <c r="AG54" s="2224">
        <f t="shared" si="3"/>
        <v>-472845035112</v>
      </c>
      <c r="AK54" s="2224">
        <f t="shared" si="4"/>
        <v>1105455844704</v>
      </c>
      <c r="AL54" s="2224">
        <f t="shared" si="5"/>
        <v>-472845035112</v>
      </c>
      <c r="AP54" s="2224">
        <f t="shared" si="8"/>
        <v>0</v>
      </c>
      <c r="AR54" s="2224">
        <f t="shared" si="6"/>
        <v>632610809592</v>
      </c>
      <c r="AS54" s="2224">
        <f t="shared" si="7"/>
        <v>0</v>
      </c>
      <c r="AU54" s="254">
        <v>-739000000</v>
      </c>
    </row>
    <row r="55" spans="2:47" s="2224" customFormat="1" ht="22.9" customHeight="1" x14ac:dyDescent="0.2">
      <c r="B55" s="3667"/>
      <c r="C55" s="1737" t="s">
        <v>234</v>
      </c>
      <c r="D55" s="1197" t="s">
        <v>235</v>
      </c>
      <c r="E55" s="1245">
        <v>18334503443</v>
      </c>
      <c r="F55" s="1245">
        <f>-'يادداشت 8سرمايه گذاري در شركتها'!E84</f>
        <v>0</v>
      </c>
      <c r="G55" s="1245"/>
      <c r="H55" s="1245">
        <f t="shared" si="11"/>
        <v>18334503443</v>
      </c>
      <c r="I55" s="1246"/>
      <c r="J55" s="510">
        <f t="shared" si="12"/>
        <v>0</v>
      </c>
      <c r="K55" s="1246"/>
      <c r="L55" s="1246"/>
      <c r="M55" s="1246"/>
      <c r="N55" s="1246"/>
      <c r="O55" s="1779"/>
      <c r="P55" s="1246">
        <f>-'يادداشت 8سرمايه گذاري در شركتها'!G84</f>
        <v>0</v>
      </c>
      <c r="Q55" s="1246"/>
      <c r="R55" s="1246"/>
      <c r="S55" s="2207"/>
      <c r="T55" s="1258"/>
      <c r="U55" s="2207"/>
      <c r="V55" s="1779"/>
      <c r="W55" s="240"/>
      <c r="X55" s="551">
        <v>18334503443</v>
      </c>
      <c r="Y55" s="88"/>
      <c r="Z55" s="2223"/>
      <c r="AD55" s="2225"/>
      <c r="AF55" s="2224">
        <f t="shared" si="2"/>
        <v>36669006886</v>
      </c>
      <c r="AG55" s="2224">
        <f t="shared" si="3"/>
        <v>-18334503443</v>
      </c>
      <c r="AK55" s="2224">
        <f t="shared" si="4"/>
        <v>36669006886</v>
      </c>
      <c r="AL55" s="2224">
        <f t="shared" si="5"/>
        <v>-18334503443</v>
      </c>
      <c r="AP55" s="2224">
        <f t="shared" si="8"/>
        <v>0</v>
      </c>
      <c r="AR55" s="2224">
        <f t="shared" si="6"/>
        <v>18334503443</v>
      </c>
      <c r="AS55" s="2224">
        <f t="shared" si="7"/>
        <v>0</v>
      </c>
      <c r="AU55" s="254"/>
    </row>
    <row r="56" spans="2:47" ht="22.9" customHeight="1" x14ac:dyDescent="0.2">
      <c r="B56" s="3668"/>
      <c r="C56" s="2233"/>
      <c r="D56" s="1196" t="s">
        <v>94</v>
      </c>
      <c r="E56" s="1249">
        <f>SUM(E40:E55)</f>
        <v>18603955512101</v>
      </c>
      <c r="F56" s="1249">
        <f>SUM(F40:F55)</f>
        <v>0</v>
      </c>
      <c r="G56" s="1249">
        <f>SUM(G40:G55)</f>
        <v>0</v>
      </c>
      <c r="H56" s="1249">
        <f>SUM(H40:H55)</f>
        <v>18603955512101</v>
      </c>
      <c r="I56" s="1250">
        <f t="shared" ref="I56:X56" si="13">SUM(I40:I55)</f>
        <v>0</v>
      </c>
      <c r="J56" s="1250">
        <f>SUM(J40:J55)</f>
        <v>9597221170607</v>
      </c>
      <c r="K56" s="1250">
        <f t="shared" si="13"/>
        <v>0</v>
      </c>
      <c r="L56" s="1250">
        <f t="shared" si="13"/>
        <v>0</v>
      </c>
      <c r="M56" s="1250">
        <f t="shared" si="13"/>
        <v>0</v>
      </c>
      <c r="N56" s="1250">
        <f t="shared" si="13"/>
        <v>277520527345</v>
      </c>
      <c r="O56" s="1250">
        <f t="shared" si="13"/>
        <v>301463199453</v>
      </c>
      <c r="P56" s="1250">
        <f t="shared" si="13"/>
        <v>-27402051545</v>
      </c>
      <c r="Q56" s="1250">
        <f t="shared" si="13"/>
        <v>-1058414866015</v>
      </c>
      <c r="R56" s="1250">
        <f t="shared" si="13"/>
        <v>0</v>
      </c>
      <c r="S56" s="1250">
        <f t="shared" si="13"/>
        <v>0</v>
      </c>
      <c r="T56" s="1250">
        <f t="shared" si="13"/>
        <v>0</v>
      </c>
      <c r="U56" s="1250">
        <f t="shared" si="13"/>
        <v>0</v>
      </c>
      <c r="V56" s="1250">
        <f>SUM(V40:V55)</f>
        <v>-34494372912</v>
      </c>
      <c r="W56" s="1250">
        <f>SUM(W40:W55)</f>
        <v>603179961575</v>
      </c>
      <c r="X56" s="1251">
        <f t="shared" si="13"/>
        <v>28263029080609</v>
      </c>
      <c r="Y56" s="241">
        <f>SUM(Y40:Y53)</f>
        <v>0</v>
      </c>
      <c r="Z56" s="241" t="e">
        <f>SUM(Z40:Z53)</f>
        <v>#N/A</v>
      </c>
      <c r="AA56" s="241">
        <f>SUM(AA40:AA53)</f>
        <v>0</v>
      </c>
      <c r="AC56" s="2224"/>
      <c r="AF56" s="2224">
        <f t="shared" si="2"/>
        <v>46866984592710</v>
      </c>
      <c r="AG56" s="2224">
        <f t="shared" si="3"/>
        <v>-18603955512101</v>
      </c>
      <c r="AK56" s="2224">
        <f t="shared" si="4"/>
        <v>46901478965622</v>
      </c>
      <c r="AL56" s="2224">
        <f t="shared" si="5"/>
        <v>-18638449885013</v>
      </c>
      <c r="AP56" s="2224">
        <f t="shared" si="8"/>
        <v>0</v>
      </c>
      <c r="AR56" s="2224">
        <f t="shared" si="6"/>
        <v>28263029080609</v>
      </c>
      <c r="AS56" s="2224">
        <f t="shared" si="7"/>
        <v>0</v>
      </c>
      <c r="AU56" s="241">
        <f>SUM(AU40:AU55)</f>
        <v>-359723000000</v>
      </c>
    </row>
    <row r="57" spans="2:47" ht="13.9" customHeight="1" x14ac:dyDescent="0.2">
      <c r="B57" s="2242"/>
      <c r="C57" s="2243"/>
      <c r="D57" s="1198"/>
      <c r="E57" s="1259"/>
      <c r="F57" s="1259"/>
      <c r="G57" s="1259"/>
      <c r="H57" s="1259"/>
      <c r="I57" s="1260"/>
      <c r="J57" s="1260"/>
      <c r="K57" s="1260"/>
      <c r="L57" s="1260"/>
      <c r="M57" s="1260"/>
      <c r="N57" s="1260"/>
      <c r="O57" s="1260"/>
      <c r="P57" s="1260"/>
      <c r="Q57" s="1260"/>
      <c r="R57" s="1260"/>
      <c r="S57" s="1260"/>
      <c r="T57" s="1260"/>
      <c r="U57" s="1260"/>
      <c r="V57" s="1260"/>
      <c r="W57" s="1260"/>
      <c r="X57" s="1261"/>
      <c r="Y57" s="496"/>
      <c r="Z57" s="496"/>
      <c r="AA57" s="496"/>
      <c r="AC57" s="2224"/>
      <c r="AF57" s="2224"/>
      <c r="AG57" s="2224"/>
      <c r="AK57" s="2224"/>
      <c r="AL57" s="2224"/>
      <c r="AP57" s="2224">
        <f t="shared" si="8"/>
        <v>0</v>
      </c>
      <c r="AR57" s="2224">
        <f t="shared" si="6"/>
        <v>0</v>
      </c>
      <c r="AS57" s="2224">
        <f t="shared" si="7"/>
        <v>0</v>
      </c>
      <c r="AU57" s="496"/>
    </row>
    <row r="58" spans="2:47" ht="13.9" customHeight="1" x14ac:dyDescent="0.2">
      <c r="B58" s="2244"/>
      <c r="C58" s="2235"/>
      <c r="D58" s="1202"/>
      <c r="E58" s="1272"/>
      <c r="F58" s="1272"/>
      <c r="G58" s="1272"/>
      <c r="H58" s="1272"/>
      <c r="I58" s="1273"/>
      <c r="J58" s="1273"/>
      <c r="K58" s="1273"/>
      <c r="L58" s="1273"/>
      <c r="M58" s="1273"/>
      <c r="N58" s="1273"/>
      <c r="O58" s="1273"/>
      <c r="P58" s="1273"/>
      <c r="Q58" s="1273"/>
      <c r="R58" s="1273"/>
      <c r="S58" s="1273"/>
      <c r="T58" s="1273"/>
      <c r="U58" s="1273"/>
      <c r="V58" s="1273"/>
      <c r="W58" s="1273"/>
      <c r="X58" s="1274"/>
      <c r="Y58" s="246"/>
      <c r="Z58" s="246"/>
      <c r="AA58" s="246"/>
      <c r="AC58" s="2224"/>
      <c r="AF58" s="2224"/>
      <c r="AG58" s="2224"/>
      <c r="AK58" s="2224"/>
      <c r="AL58" s="2224"/>
      <c r="AP58" s="2224"/>
      <c r="AR58" s="2224">
        <f t="shared" si="6"/>
        <v>0</v>
      </c>
      <c r="AS58" s="2224"/>
      <c r="AU58" s="246"/>
    </row>
    <row r="59" spans="2:47" ht="13.9" customHeight="1" x14ac:dyDescent="0.2">
      <c r="B59" s="2244"/>
      <c r="C59" s="2235"/>
      <c r="D59" s="1202"/>
      <c r="E59" s="1272"/>
      <c r="F59" s="1272"/>
      <c r="G59" s="1272"/>
      <c r="H59" s="1272"/>
      <c r="I59" s="1273"/>
      <c r="J59" s="1273"/>
      <c r="K59" s="1273"/>
      <c r="L59" s="1273"/>
      <c r="M59" s="1273"/>
      <c r="N59" s="1273"/>
      <c r="O59" s="1273"/>
      <c r="P59" s="1273"/>
      <c r="Q59" s="1273"/>
      <c r="R59" s="1273"/>
      <c r="S59" s="1273"/>
      <c r="T59" s="1273"/>
      <c r="U59" s="1273"/>
      <c r="V59" s="1273"/>
      <c r="W59" s="1273"/>
      <c r="X59" s="1274"/>
      <c r="Y59" s="246"/>
      <c r="Z59" s="246"/>
      <c r="AA59" s="246"/>
      <c r="AC59" s="2224"/>
      <c r="AF59" s="2224"/>
      <c r="AG59" s="2224"/>
      <c r="AK59" s="2224"/>
      <c r="AL59" s="2224"/>
      <c r="AP59" s="2224"/>
      <c r="AR59" s="2224">
        <f t="shared" si="6"/>
        <v>0</v>
      </c>
      <c r="AS59" s="2224"/>
      <c r="AU59" s="246"/>
    </row>
    <row r="60" spans="2:47" ht="15.6" customHeight="1" x14ac:dyDescent="0.2">
      <c r="B60" s="3700" t="s">
        <v>265</v>
      </c>
      <c r="C60" s="3700"/>
      <c r="D60" s="3700"/>
      <c r="E60" s="3700"/>
      <c r="F60" s="3700"/>
      <c r="G60" s="3700"/>
      <c r="H60" s="3700"/>
      <c r="I60" s="3700"/>
      <c r="J60" s="3700"/>
      <c r="K60" s="3700"/>
      <c r="L60" s="3700"/>
      <c r="M60" s="3700"/>
      <c r="N60" s="3700"/>
      <c r="O60" s="3700"/>
      <c r="P60" s="3700"/>
      <c r="Q60" s="3700"/>
      <c r="R60" s="3700"/>
      <c r="S60" s="3700"/>
      <c r="T60" s="3700"/>
      <c r="U60" s="3700"/>
      <c r="V60" s="3700"/>
      <c r="W60" s="3700"/>
      <c r="X60" s="3700"/>
      <c r="Y60" s="3700"/>
      <c r="Z60" s="3700"/>
      <c r="AA60" s="3700"/>
      <c r="AC60" s="2224"/>
      <c r="AF60" s="2224">
        <f t="shared" si="2"/>
        <v>0</v>
      </c>
      <c r="AG60" s="2224">
        <f t="shared" si="3"/>
        <v>0</v>
      </c>
      <c r="AK60" s="2224">
        <f t="shared" si="4"/>
        <v>0</v>
      </c>
      <c r="AL60" s="2224">
        <f t="shared" si="5"/>
        <v>0</v>
      </c>
      <c r="AP60" s="2224">
        <f t="shared" si="8"/>
        <v>0</v>
      </c>
      <c r="AR60" s="2224">
        <f t="shared" si="6"/>
        <v>0</v>
      </c>
      <c r="AS60" s="2224">
        <f t="shared" si="7"/>
        <v>0</v>
      </c>
    </row>
    <row r="61" spans="2:47" ht="22.9" customHeight="1" x14ac:dyDescent="0.2">
      <c r="B61" s="3574" t="s">
        <v>32</v>
      </c>
      <c r="C61" s="3574"/>
      <c r="D61" s="3574"/>
      <c r="E61" s="3574"/>
      <c r="F61" s="3574"/>
      <c r="G61" s="3574"/>
      <c r="H61" s="3574"/>
      <c r="I61" s="3574"/>
      <c r="J61" s="3574"/>
      <c r="K61" s="3574"/>
      <c r="L61" s="3574"/>
      <c r="M61" s="3574"/>
      <c r="N61" s="3574"/>
      <c r="O61" s="3574"/>
      <c r="P61" s="3574"/>
      <c r="Q61" s="3574"/>
      <c r="R61" s="3574"/>
      <c r="S61" s="3574"/>
      <c r="T61" s="3574"/>
      <c r="U61" s="3574"/>
      <c r="V61" s="3574"/>
      <c r="W61" s="3574"/>
      <c r="X61" s="3574"/>
      <c r="Y61" s="3574"/>
      <c r="Z61" s="3574"/>
      <c r="AA61" s="3574"/>
      <c r="AC61" s="2224"/>
      <c r="AF61" s="2224">
        <f t="shared" si="2"/>
        <v>0</v>
      </c>
      <c r="AG61" s="2224">
        <f t="shared" si="3"/>
        <v>0</v>
      </c>
      <c r="AK61" s="2224">
        <f t="shared" si="4"/>
        <v>0</v>
      </c>
      <c r="AL61" s="2224">
        <f t="shared" si="5"/>
        <v>0</v>
      </c>
      <c r="AP61" s="2224">
        <f t="shared" si="8"/>
        <v>0</v>
      </c>
      <c r="AR61" s="2224">
        <f t="shared" si="6"/>
        <v>0</v>
      </c>
      <c r="AS61" s="2224">
        <f t="shared" si="7"/>
        <v>0</v>
      </c>
    </row>
    <row r="62" spans="2:47" ht="22.9" customHeight="1" x14ac:dyDescent="0.2">
      <c r="B62" s="3574" t="s">
        <v>45</v>
      </c>
      <c r="C62" s="3574"/>
      <c r="D62" s="3574"/>
      <c r="E62" s="3574"/>
      <c r="F62" s="3574"/>
      <c r="G62" s="3574"/>
      <c r="H62" s="3574"/>
      <c r="I62" s="3574"/>
      <c r="J62" s="3574"/>
      <c r="K62" s="3574"/>
      <c r="L62" s="3574"/>
      <c r="M62" s="3574"/>
      <c r="N62" s="3574"/>
      <c r="O62" s="3574"/>
      <c r="P62" s="3574"/>
      <c r="Q62" s="3574"/>
      <c r="R62" s="3574"/>
      <c r="S62" s="3574"/>
      <c r="T62" s="3574"/>
      <c r="U62" s="3574"/>
      <c r="V62" s="3574"/>
      <c r="W62" s="3574"/>
      <c r="X62" s="3574"/>
      <c r="Y62" s="3574"/>
      <c r="Z62" s="3574"/>
      <c r="AA62" s="3574"/>
      <c r="AC62" s="2224"/>
      <c r="AF62" s="2224">
        <f t="shared" si="2"/>
        <v>0</v>
      </c>
      <c r="AG62" s="2224">
        <f t="shared" si="3"/>
        <v>0</v>
      </c>
      <c r="AK62" s="2224">
        <f t="shared" si="4"/>
        <v>0</v>
      </c>
      <c r="AL62" s="2224">
        <f t="shared" si="5"/>
        <v>0</v>
      </c>
      <c r="AP62" s="2224">
        <f t="shared" si="8"/>
        <v>0</v>
      </c>
      <c r="AR62" s="2224">
        <f t="shared" si="6"/>
        <v>0</v>
      </c>
      <c r="AS62" s="2224">
        <f t="shared" si="7"/>
        <v>0</v>
      </c>
    </row>
    <row r="63" spans="2:47" ht="22.9" customHeight="1" x14ac:dyDescent="0.2">
      <c r="B63" s="3574" t="s">
        <v>46</v>
      </c>
      <c r="C63" s="3574"/>
      <c r="D63" s="3574"/>
      <c r="E63" s="3574"/>
      <c r="F63" s="3574"/>
      <c r="G63" s="3574"/>
      <c r="H63" s="3574"/>
      <c r="I63" s="3574"/>
      <c r="J63" s="3574"/>
      <c r="K63" s="3574"/>
      <c r="L63" s="3574"/>
      <c r="M63" s="3574"/>
      <c r="N63" s="3574"/>
      <c r="O63" s="3574"/>
      <c r="P63" s="3574"/>
      <c r="Q63" s="3574"/>
      <c r="R63" s="3574"/>
      <c r="S63" s="3574"/>
      <c r="T63" s="3574"/>
      <c r="U63" s="3574"/>
      <c r="V63" s="3574"/>
      <c r="W63" s="3574"/>
      <c r="X63" s="3574"/>
      <c r="Y63" s="3574"/>
      <c r="Z63" s="3574"/>
      <c r="AA63" s="3574"/>
      <c r="AC63" s="2224"/>
      <c r="AF63" s="2224">
        <f t="shared" si="2"/>
        <v>0</v>
      </c>
      <c r="AG63" s="2224">
        <f t="shared" si="3"/>
        <v>0</v>
      </c>
      <c r="AK63" s="2224">
        <f t="shared" si="4"/>
        <v>0</v>
      </c>
      <c r="AL63" s="2224">
        <f t="shared" si="5"/>
        <v>0</v>
      </c>
      <c r="AP63" s="2224">
        <f t="shared" si="8"/>
        <v>0</v>
      </c>
      <c r="AR63" s="2224">
        <f t="shared" si="6"/>
        <v>0</v>
      </c>
      <c r="AS63" s="2224">
        <f t="shared" si="7"/>
        <v>0</v>
      </c>
    </row>
    <row r="64" spans="2:47" ht="22.9" customHeight="1" x14ac:dyDescent="0.2">
      <c r="B64" s="3572" t="s">
        <v>1992</v>
      </c>
      <c r="C64" s="3572"/>
      <c r="D64" s="3572"/>
      <c r="E64" s="3572"/>
      <c r="F64" s="3572"/>
      <c r="G64" s="3572"/>
      <c r="H64" s="3572"/>
      <c r="I64" s="3572"/>
      <c r="J64" s="3572"/>
      <c r="K64" s="3572"/>
      <c r="L64" s="3572"/>
      <c r="M64" s="3572"/>
      <c r="N64" s="3572"/>
      <c r="O64" s="3572"/>
      <c r="P64" s="3572"/>
      <c r="Q64" s="3572"/>
      <c r="R64" s="3572"/>
      <c r="S64" s="3572"/>
      <c r="T64" s="3572"/>
      <c r="U64" s="3572"/>
      <c r="V64" s="3572"/>
      <c r="W64" s="3572"/>
      <c r="X64" s="3572"/>
      <c r="Y64" s="3572"/>
      <c r="Z64" s="3572"/>
      <c r="AA64" s="3572"/>
      <c r="AC64" s="2224"/>
      <c r="AF64" s="2224">
        <f t="shared" si="2"/>
        <v>0</v>
      </c>
      <c r="AG64" s="2224">
        <f t="shared" si="3"/>
        <v>0</v>
      </c>
      <c r="AK64" s="2224">
        <f t="shared" si="4"/>
        <v>0</v>
      </c>
      <c r="AL64" s="2224">
        <f t="shared" si="5"/>
        <v>0</v>
      </c>
      <c r="AP64" s="2224">
        <f t="shared" si="8"/>
        <v>0</v>
      </c>
      <c r="AR64" s="2224">
        <f t="shared" si="6"/>
        <v>0</v>
      </c>
      <c r="AS64" s="2224">
        <f t="shared" si="7"/>
        <v>0</v>
      </c>
    </row>
    <row r="65" spans="2:47" ht="17.25" customHeight="1" x14ac:dyDescent="0.2">
      <c r="B65" s="2185"/>
      <c r="C65" s="2185"/>
      <c r="D65" s="1212"/>
      <c r="E65" s="1262"/>
      <c r="F65" s="1262"/>
      <c r="G65" s="1262"/>
      <c r="H65" s="1262"/>
      <c r="I65" s="2245"/>
      <c r="J65" s="2245"/>
      <c r="K65" s="2245"/>
      <c r="L65" s="2245"/>
      <c r="M65" s="2245"/>
      <c r="N65" s="2245"/>
      <c r="O65" s="2245"/>
      <c r="P65" s="2245"/>
      <c r="Q65" s="2245"/>
      <c r="R65" s="2245"/>
      <c r="S65" s="2245"/>
      <c r="T65" s="2245"/>
      <c r="U65" s="2245"/>
      <c r="V65" s="2245"/>
      <c r="W65" s="2245"/>
      <c r="X65" s="2246"/>
      <c r="Y65" s="2185"/>
      <c r="Z65" s="2185"/>
      <c r="AA65" s="2185"/>
      <c r="AC65" s="2224"/>
      <c r="AF65" s="2224">
        <f t="shared" si="2"/>
        <v>0</v>
      </c>
      <c r="AG65" s="2224">
        <f t="shared" si="3"/>
        <v>0</v>
      </c>
      <c r="AK65" s="2224">
        <f t="shared" si="4"/>
        <v>0</v>
      </c>
      <c r="AL65" s="2224">
        <f t="shared" si="5"/>
        <v>0</v>
      </c>
      <c r="AP65" s="2224">
        <f t="shared" si="8"/>
        <v>0</v>
      </c>
      <c r="AR65" s="2224">
        <f t="shared" si="6"/>
        <v>0</v>
      </c>
      <c r="AS65" s="2224">
        <f t="shared" si="7"/>
        <v>0</v>
      </c>
      <c r="AU65" s="2185"/>
    </row>
    <row r="66" spans="2:47" ht="21.6" customHeight="1" x14ac:dyDescent="0.2">
      <c r="B66" s="3664" t="s">
        <v>894</v>
      </c>
      <c r="C66" s="3672"/>
      <c r="D66" s="3672"/>
      <c r="E66" s="1252"/>
      <c r="F66" s="1252"/>
      <c r="G66" s="1252"/>
      <c r="H66" s="1252"/>
      <c r="I66" s="2239"/>
      <c r="J66" s="2239"/>
      <c r="K66" s="2239"/>
      <c r="L66" s="2239"/>
      <c r="M66" s="2239"/>
      <c r="N66" s="2239"/>
      <c r="O66" s="2239"/>
      <c r="P66" s="2239"/>
      <c r="Q66" s="2239"/>
      <c r="R66" s="2239"/>
      <c r="S66" s="2239"/>
      <c r="T66" s="2239"/>
      <c r="U66" s="2247"/>
      <c r="V66" s="2247"/>
      <c r="W66" s="3665" t="s">
        <v>338</v>
      </c>
      <c r="X66" s="3665"/>
      <c r="Y66" s="2240"/>
      <c r="Z66" s="2240"/>
      <c r="AA66" s="2240"/>
      <c r="AC66" s="2224"/>
      <c r="AF66" s="2224">
        <f t="shared" si="2"/>
        <v>0</v>
      </c>
      <c r="AG66" s="2224">
        <f t="shared" si="3"/>
        <v>0</v>
      </c>
      <c r="AK66" s="2224" t="e">
        <f t="shared" si="4"/>
        <v>#VALUE!</v>
      </c>
      <c r="AL66" s="2224" t="e">
        <f t="shared" si="5"/>
        <v>#VALUE!</v>
      </c>
      <c r="AP66" s="2224" t="e">
        <f t="shared" si="8"/>
        <v>#VALUE!</v>
      </c>
      <c r="AR66" s="2224" t="e">
        <f t="shared" si="6"/>
        <v>#VALUE!</v>
      </c>
      <c r="AS66" s="2224" t="e">
        <f t="shared" si="7"/>
        <v>#VALUE!</v>
      </c>
      <c r="AU66" s="2240"/>
    </row>
    <row r="67" spans="2:47" ht="31.9" customHeight="1" x14ac:dyDescent="0.2">
      <c r="B67" s="3666" t="s">
        <v>419</v>
      </c>
      <c r="C67" s="3659" t="s">
        <v>196</v>
      </c>
      <c r="D67" s="3677" t="s">
        <v>197</v>
      </c>
      <c r="E67" s="3647" t="s">
        <v>1391</v>
      </c>
      <c r="F67" s="3682" t="s">
        <v>1116</v>
      </c>
      <c r="G67" s="3682"/>
      <c r="H67" s="3662" t="s">
        <v>1993</v>
      </c>
      <c r="I67" s="3650" t="s">
        <v>1244</v>
      </c>
      <c r="J67" s="3650"/>
      <c r="K67" s="2216" t="s">
        <v>340</v>
      </c>
      <c r="L67" s="2216"/>
      <c r="M67" s="2216"/>
      <c r="N67" s="3661" t="s">
        <v>341</v>
      </c>
      <c r="O67" s="3661"/>
      <c r="P67" s="3651" t="s">
        <v>1012</v>
      </c>
      <c r="Q67" s="3652"/>
      <c r="R67" s="3652"/>
      <c r="S67" s="3652"/>
      <c r="T67" s="3653"/>
      <c r="U67" s="2217"/>
      <c r="V67" s="3650" t="s">
        <v>1334</v>
      </c>
      <c r="W67" s="3649" t="s">
        <v>898</v>
      </c>
      <c r="X67" s="3648" t="s">
        <v>1986</v>
      </c>
      <c r="Y67" s="3673" t="s">
        <v>347</v>
      </c>
      <c r="Z67" s="3673" t="s">
        <v>342</v>
      </c>
      <c r="AC67" s="2224"/>
      <c r="AF67" s="2224">
        <f t="shared" si="2"/>
        <v>0</v>
      </c>
      <c r="AG67" s="2224" t="e">
        <f t="shared" si="3"/>
        <v>#VALUE!</v>
      </c>
      <c r="AK67" s="2224" t="e">
        <f t="shared" si="4"/>
        <v>#VALUE!</v>
      </c>
      <c r="AL67" s="2224" t="e">
        <f t="shared" si="5"/>
        <v>#VALUE!</v>
      </c>
      <c r="AP67" s="2224" t="e">
        <f t="shared" si="8"/>
        <v>#VALUE!</v>
      </c>
      <c r="AR67" s="2224" t="e">
        <f t="shared" si="6"/>
        <v>#VALUE!</v>
      </c>
      <c r="AS67" s="2224" t="e">
        <f t="shared" si="7"/>
        <v>#VALUE!</v>
      </c>
    </row>
    <row r="68" spans="2:47" ht="69" customHeight="1" x14ac:dyDescent="0.2">
      <c r="B68" s="3666"/>
      <c r="C68" s="3659"/>
      <c r="D68" s="3677"/>
      <c r="E68" s="3647"/>
      <c r="F68" s="1409" t="s">
        <v>1955</v>
      </c>
      <c r="G68" s="1409" t="s">
        <v>1956</v>
      </c>
      <c r="H68" s="3662"/>
      <c r="I68" s="3650"/>
      <c r="J68" s="3650"/>
      <c r="K68" s="2220" t="s">
        <v>315</v>
      </c>
      <c r="L68" s="2220" t="s">
        <v>891</v>
      </c>
      <c r="M68" s="2216" t="s">
        <v>314</v>
      </c>
      <c r="N68" s="2216" t="s">
        <v>1076</v>
      </c>
      <c r="O68" s="2216" t="s">
        <v>18</v>
      </c>
      <c r="P68" s="2220" t="s">
        <v>892</v>
      </c>
      <c r="Q68" s="2220" t="s">
        <v>826</v>
      </c>
      <c r="R68" s="2220" t="s">
        <v>315</v>
      </c>
      <c r="S68" s="2216"/>
      <c r="T68" s="2216" t="s">
        <v>1180</v>
      </c>
      <c r="U68" s="2216"/>
      <c r="V68" s="3650"/>
      <c r="W68" s="3649"/>
      <c r="X68" s="3648"/>
      <c r="Y68" s="3673"/>
      <c r="Z68" s="3673"/>
      <c r="AC68" s="2224"/>
      <c r="AF68" s="2224">
        <f t="shared" si="2"/>
        <v>0</v>
      </c>
      <c r="AG68" s="2224">
        <f t="shared" si="3"/>
        <v>0</v>
      </c>
      <c r="AK68" s="2224" t="e">
        <f t="shared" si="4"/>
        <v>#VALUE!</v>
      </c>
      <c r="AL68" s="2224" t="e">
        <f t="shared" si="5"/>
        <v>#VALUE!</v>
      </c>
      <c r="AP68" s="2224" t="e">
        <f t="shared" si="8"/>
        <v>#VALUE!</v>
      </c>
      <c r="AR68" s="2224" t="e">
        <f t="shared" si="6"/>
        <v>#VALUE!</v>
      </c>
      <c r="AS68" s="2224" t="e">
        <f t="shared" si="7"/>
        <v>#VALUE!</v>
      </c>
      <c r="AU68" s="2221" t="s">
        <v>1180</v>
      </c>
    </row>
    <row r="69" spans="2:47" ht="22.15" customHeight="1" x14ac:dyDescent="0.2">
      <c r="B69" s="3667" t="s">
        <v>180</v>
      </c>
      <c r="C69" s="3669" t="s">
        <v>181</v>
      </c>
      <c r="D69" s="3670"/>
      <c r="E69" s="1245">
        <f>E56</f>
        <v>18603955512101</v>
      </c>
      <c r="F69" s="1245">
        <f>F56</f>
        <v>0</v>
      </c>
      <c r="G69" s="1263">
        <f>G56</f>
        <v>0</v>
      </c>
      <c r="H69" s="1245">
        <f>H56</f>
        <v>18603955512101</v>
      </c>
      <c r="I69" s="510">
        <f t="shared" ref="I69:X69" si="14">I56</f>
        <v>0</v>
      </c>
      <c r="J69" s="510">
        <f t="shared" si="14"/>
        <v>9597221170607</v>
      </c>
      <c r="K69" s="510">
        <f t="shared" si="14"/>
        <v>0</v>
      </c>
      <c r="L69" s="510">
        <f t="shared" si="14"/>
        <v>0</v>
      </c>
      <c r="M69" s="510">
        <f t="shared" si="14"/>
        <v>0</v>
      </c>
      <c r="N69" s="510">
        <f t="shared" si="14"/>
        <v>277520527345</v>
      </c>
      <c r="O69" s="510">
        <f t="shared" si="14"/>
        <v>301463199453</v>
      </c>
      <c r="P69" s="510">
        <f t="shared" si="14"/>
        <v>-27402051545</v>
      </c>
      <c r="Q69" s="510">
        <f t="shared" si="14"/>
        <v>-1058414866015</v>
      </c>
      <c r="R69" s="510">
        <f t="shared" si="14"/>
        <v>0</v>
      </c>
      <c r="S69" s="510">
        <f t="shared" si="14"/>
        <v>0</v>
      </c>
      <c r="T69" s="1246">
        <f t="shared" si="14"/>
        <v>0</v>
      </c>
      <c r="U69" s="510">
        <f t="shared" si="14"/>
        <v>0</v>
      </c>
      <c r="V69" s="510">
        <f t="shared" si="14"/>
        <v>-34494372912</v>
      </c>
      <c r="W69" s="510">
        <f>W56</f>
        <v>603179961575</v>
      </c>
      <c r="X69" s="551">
        <f t="shared" si="14"/>
        <v>28263029080609</v>
      </c>
      <c r="Y69" s="88">
        <f>Y56</f>
        <v>0</v>
      </c>
      <c r="Z69" s="88" t="e">
        <f>Z56</f>
        <v>#N/A</v>
      </c>
      <c r="AC69" s="2224"/>
      <c r="AF69" s="2224">
        <f t="shared" si="2"/>
        <v>46866984592710</v>
      </c>
      <c r="AG69" s="2224">
        <f t="shared" si="3"/>
        <v>-18603955512101</v>
      </c>
      <c r="AK69" s="2224">
        <f t="shared" si="4"/>
        <v>46901478965622</v>
      </c>
      <c r="AL69" s="2224">
        <f t="shared" si="5"/>
        <v>-18638449885013</v>
      </c>
      <c r="AP69" s="2224">
        <f t="shared" si="8"/>
        <v>0</v>
      </c>
      <c r="AR69" s="2224">
        <f t="shared" si="6"/>
        <v>28263029080609</v>
      </c>
      <c r="AS69" s="2224">
        <f t="shared" si="7"/>
        <v>0</v>
      </c>
      <c r="AU69" s="253">
        <f>AU56</f>
        <v>-359723000000</v>
      </c>
    </row>
    <row r="70" spans="2:47" ht="22.15" customHeight="1" x14ac:dyDescent="0.2">
      <c r="B70" s="3667"/>
      <c r="C70" s="1737" t="s">
        <v>187</v>
      </c>
      <c r="D70" s="1199" t="s">
        <v>188</v>
      </c>
      <c r="E70" s="1264">
        <v>41438419362</v>
      </c>
      <c r="F70" s="1255">
        <f>-'يادداشت 8سرمايه گذاري در شركتها'!E85</f>
        <v>0</v>
      </c>
      <c r="G70" s="1255"/>
      <c r="H70" s="1255">
        <f>E70+G70+F70</f>
        <v>41438419362</v>
      </c>
      <c r="I70" s="240"/>
      <c r="J70" s="510">
        <f>X70-O70-N70-P70-Q70-K70-R70-W70-E70-T70-I70-V70-F70-G70</f>
        <v>0</v>
      </c>
      <c r="K70" s="1246"/>
      <c r="L70" s="1246"/>
      <c r="M70" s="1246"/>
      <c r="N70" s="1246"/>
      <c r="O70" s="1779"/>
      <c r="P70" s="1246">
        <f>-'يادداشت 8سرمايه گذاري در شركتها'!G85</f>
        <v>0</v>
      </c>
      <c r="Q70" s="1246"/>
      <c r="R70" s="1246"/>
      <c r="T70" s="240"/>
      <c r="V70" s="1779"/>
      <c r="W70" s="240"/>
      <c r="X70" s="1264">
        <v>41438419362</v>
      </c>
      <c r="Y70" s="408"/>
      <c r="Z70" s="92"/>
      <c r="AC70" s="2224"/>
      <c r="AF70" s="2224">
        <f t="shared" si="2"/>
        <v>82876838724</v>
      </c>
      <c r="AG70" s="2224">
        <f t="shared" si="3"/>
        <v>-41438419362</v>
      </c>
      <c r="AK70" s="2224">
        <f t="shared" si="4"/>
        <v>82876838724</v>
      </c>
      <c r="AL70" s="2224">
        <f t="shared" si="5"/>
        <v>-41438419362</v>
      </c>
      <c r="AP70" s="2224">
        <f t="shared" si="8"/>
        <v>0</v>
      </c>
      <c r="AR70" s="2224">
        <f t="shared" si="6"/>
        <v>41438419362</v>
      </c>
      <c r="AS70" s="2224">
        <f t="shared" si="7"/>
        <v>0</v>
      </c>
      <c r="AU70" s="254"/>
    </row>
    <row r="71" spans="2:47" ht="22.15" hidden="1" customHeight="1" x14ac:dyDescent="0.2">
      <c r="B71" s="3667"/>
      <c r="C71" s="1745" t="s">
        <v>236</v>
      </c>
      <c r="D71" s="1200" t="s">
        <v>237</v>
      </c>
      <c r="E71" s="1269"/>
      <c r="F71" s="1255"/>
      <c r="G71" s="1255"/>
      <c r="H71" s="1255">
        <f t="shared" ref="H71:H85" si="15">E71+G71+F71</f>
        <v>0</v>
      </c>
      <c r="I71" s="240"/>
      <c r="J71" s="510">
        <f t="shared" ref="J71:J85" si="16">X71-O71-N71-P71-Q71-K71-R71-W71-E71-T71-I71-V71-F71-G71</f>
        <v>0</v>
      </c>
      <c r="K71" s="1248"/>
      <c r="L71" s="240"/>
      <c r="M71" s="240"/>
      <c r="N71" s="240"/>
      <c r="O71" s="240"/>
      <c r="P71" s="240"/>
      <c r="Q71" s="240"/>
      <c r="R71" s="240"/>
      <c r="T71" s="240"/>
      <c r="V71" s="240"/>
      <c r="W71" s="240"/>
      <c r="X71" s="550"/>
      <c r="Y71" s="408"/>
      <c r="Z71" s="92"/>
      <c r="AC71" s="2224"/>
      <c r="AF71" s="2224">
        <f t="shared" si="2"/>
        <v>0</v>
      </c>
      <c r="AG71" s="2224">
        <f t="shared" si="3"/>
        <v>0</v>
      </c>
      <c r="AK71" s="2224">
        <f t="shared" si="4"/>
        <v>0</v>
      </c>
      <c r="AL71" s="2224">
        <f t="shared" si="5"/>
        <v>0</v>
      </c>
      <c r="AP71" s="2224">
        <f t="shared" si="8"/>
        <v>0</v>
      </c>
      <c r="AR71" s="2224">
        <f t="shared" si="6"/>
        <v>0</v>
      </c>
      <c r="AS71" s="2224">
        <f t="shared" si="7"/>
        <v>0</v>
      </c>
      <c r="AU71" s="289"/>
    </row>
    <row r="72" spans="2:47" ht="22.15" customHeight="1" x14ac:dyDescent="0.2">
      <c r="B72" s="3667"/>
      <c r="C72" s="1745" t="s">
        <v>213</v>
      </c>
      <c r="D72" s="1200" t="s">
        <v>214</v>
      </c>
      <c r="E72" s="1269">
        <v>4030897320</v>
      </c>
      <c r="F72" s="1255">
        <f>-'يادداشت 8سرمايه گذاري در شركتها'!E86</f>
        <v>0</v>
      </c>
      <c r="G72" s="1255"/>
      <c r="H72" s="1255">
        <f t="shared" si="15"/>
        <v>4030897320</v>
      </c>
      <c r="I72" s="240"/>
      <c r="J72" s="510">
        <f t="shared" si="16"/>
        <v>0</v>
      </c>
      <c r="K72" s="1265"/>
      <c r="L72" s="240"/>
      <c r="M72" s="240"/>
      <c r="N72" s="1779"/>
      <c r="O72" s="240"/>
      <c r="P72" s="240">
        <f>-'يادداشت 8سرمايه گذاري در شركتها'!G86</f>
        <v>0</v>
      </c>
      <c r="Q72" s="240"/>
      <c r="R72" s="240"/>
      <c r="T72" s="240"/>
      <c r="V72" s="240"/>
      <c r="W72" s="240"/>
      <c r="X72" s="1269">
        <v>4030897320</v>
      </c>
      <c r="Y72" s="409"/>
      <c r="Z72" s="89" t="e">
        <f>#N/A</f>
        <v>#N/A</v>
      </c>
      <c r="AC72" s="2224"/>
      <c r="AF72" s="2224">
        <f t="shared" si="2"/>
        <v>8061794640</v>
      </c>
      <c r="AG72" s="2224">
        <f t="shared" si="3"/>
        <v>-4030897320</v>
      </c>
      <c r="AK72" s="2224">
        <f t="shared" si="4"/>
        <v>8061794640</v>
      </c>
      <c r="AL72" s="2224">
        <f t="shared" si="5"/>
        <v>-4030897320</v>
      </c>
      <c r="AP72" s="2224">
        <f t="shared" si="8"/>
        <v>0</v>
      </c>
      <c r="AR72" s="2224">
        <f t="shared" si="6"/>
        <v>4030897320</v>
      </c>
      <c r="AS72" s="2224">
        <f t="shared" si="7"/>
        <v>0</v>
      </c>
      <c r="AU72" s="288"/>
    </row>
    <row r="73" spans="2:47" ht="22.15" customHeight="1" x14ac:dyDescent="0.2">
      <c r="B73" s="3667"/>
      <c r="C73" s="1745" t="s">
        <v>130</v>
      </c>
      <c r="D73" s="1200" t="s">
        <v>131</v>
      </c>
      <c r="E73" s="1269">
        <v>1690743462</v>
      </c>
      <c r="F73" s="1255"/>
      <c r="G73" s="1255"/>
      <c r="H73" s="1255">
        <f t="shared" si="15"/>
        <v>1690743462</v>
      </c>
      <c r="I73" s="240"/>
      <c r="J73" s="510">
        <f t="shared" si="16"/>
        <v>0</v>
      </c>
      <c r="K73" s="1266"/>
      <c r="L73" s="240"/>
      <c r="M73" s="240"/>
      <c r="N73" s="240"/>
      <c r="O73" s="240"/>
      <c r="P73" s="240"/>
      <c r="Q73" s="240"/>
      <c r="R73" s="240"/>
      <c r="T73" s="240"/>
      <c r="V73" s="240"/>
      <c r="W73" s="240">
        <f>-48552750</f>
        <v>-48552750</v>
      </c>
      <c r="X73" s="550">
        <v>1642190712</v>
      </c>
      <c r="Y73" s="252"/>
      <c r="Z73" s="89" t="e">
        <f>#N/A</f>
        <v>#N/A</v>
      </c>
      <c r="AC73" s="2224"/>
      <c r="AF73" s="2224">
        <f t="shared" si="2"/>
        <v>3332934174</v>
      </c>
      <c r="AG73" s="2224">
        <f t="shared" si="3"/>
        <v>-1690743462</v>
      </c>
      <c r="AK73" s="2224">
        <f t="shared" si="4"/>
        <v>3332934174</v>
      </c>
      <c r="AL73" s="2224">
        <f t="shared" si="5"/>
        <v>-1690743462</v>
      </c>
      <c r="AP73" s="2224">
        <f t="shared" si="8"/>
        <v>0</v>
      </c>
      <c r="AR73" s="2224">
        <f t="shared" si="6"/>
        <v>1642190712</v>
      </c>
      <c r="AS73" s="2224">
        <f t="shared" si="7"/>
        <v>0</v>
      </c>
      <c r="AU73" s="289"/>
    </row>
    <row r="74" spans="2:47" ht="22.15" customHeight="1" x14ac:dyDescent="0.2">
      <c r="B74" s="3667"/>
      <c r="C74" s="1745" t="s">
        <v>157</v>
      </c>
      <c r="D74" s="1200" t="s">
        <v>133</v>
      </c>
      <c r="E74" s="1269">
        <v>6186850412</v>
      </c>
      <c r="F74" s="1255">
        <f>-'يادداشت 8سرمايه گذاري در شركتها'!E87</f>
        <v>0</v>
      </c>
      <c r="G74" s="1255"/>
      <c r="H74" s="1255">
        <f t="shared" si="15"/>
        <v>6186850412</v>
      </c>
      <c r="I74" s="240"/>
      <c r="J74" s="510">
        <f t="shared" si="16"/>
        <v>0</v>
      </c>
      <c r="K74" s="1258"/>
      <c r="L74" s="240"/>
      <c r="M74" s="240"/>
      <c r="N74" s="240"/>
      <c r="O74" s="240"/>
      <c r="P74" s="240">
        <f>-'يادداشت 8سرمايه گذاري در شركتها'!G87</f>
        <v>0</v>
      </c>
      <c r="Q74" s="240"/>
      <c r="R74" s="240"/>
      <c r="T74" s="240"/>
      <c r="V74" s="240"/>
      <c r="W74" s="240"/>
      <c r="X74" s="1269">
        <v>6186850412</v>
      </c>
      <c r="Y74" s="198"/>
      <c r="Z74" s="89" t="e">
        <f>#N/A</f>
        <v>#N/A</v>
      </c>
      <c r="AC74" s="2224"/>
      <c r="AF74" s="2224">
        <f t="shared" si="2"/>
        <v>12373700824</v>
      </c>
      <c r="AG74" s="2224">
        <f t="shared" si="3"/>
        <v>-6186850412</v>
      </c>
      <c r="AK74" s="2224">
        <f t="shared" si="4"/>
        <v>12373700824</v>
      </c>
      <c r="AL74" s="2224">
        <f t="shared" si="5"/>
        <v>-6186850412</v>
      </c>
      <c r="AP74" s="2224">
        <f t="shared" si="8"/>
        <v>0</v>
      </c>
      <c r="AR74" s="2224">
        <f t="shared" si="6"/>
        <v>6186850412</v>
      </c>
      <c r="AS74" s="2224">
        <f t="shared" si="7"/>
        <v>0</v>
      </c>
      <c r="AU74" s="298"/>
    </row>
    <row r="75" spans="2:47" ht="19.899999999999999" customHeight="1" x14ac:dyDescent="0.2">
      <c r="B75" s="3667"/>
      <c r="C75" s="1737">
        <v>40202125</v>
      </c>
      <c r="D75" s="1201" t="s">
        <v>350</v>
      </c>
      <c r="E75" s="1405"/>
      <c r="F75" s="1255">
        <f>-'يادداشت 8سرمايه گذاري در شركتها'!E56</f>
        <v>0</v>
      </c>
      <c r="G75" s="1255"/>
      <c r="H75" s="1255">
        <f t="shared" si="15"/>
        <v>0</v>
      </c>
      <c r="I75" s="240"/>
      <c r="J75" s="510">
        <f t="shared" si="16"/>
        <v>0</v>
      </c>
      <c r="K75" s="2241"/>
      <c r="L75" s="2248"/>
      <c r="M75" s="2248"/>
      <c r="N75" s="1243"/>
      <c r="O75" s="510"/>
      <c r="P75" s="2248">
        <f>-'يادداشت 8سرمايه گذاري در شركتها'!G56</f>
        <v>0</v>
      </c>
      <c r="Q75" s="2248"/>
      <c r="R75" s="2248"/>
      <c r="T75" s="1243"/>
      <c r="V75" s="1248"/>
      <c r="W75" s="1248"/>
      <c r="X75" s="550"/>
      <c r="Y75" s="96"/>
      <c r="Z75" s="89" t="e">
        <f>#N/A</f>
        <v>#N/A</v>
      </c>
      <c r="AC75" s="2224"/>
      <c r="AF75" s="2224">
        <f t="shared" si="2"/>
        <v>0</v>
      </c>
      <c r="AG75" s="2224">
        <f t="shared" si="3"/>
        <v>0</v>
      </c>
      <c r="AK75" s="2224">
        <f t="shared" si="4"/>
        <v>0</v>
      </c>
      <c r="AL75" s="2224">
        <f t="shared" si="5"/>
        <v>0</v>
      </c>
      <c r="AP75" s="2224">
        <f t="shared" si="8"/>
        <v>0</v>
      </c>
      <c r="AR75" s="2224">
        <f t="shared" si="6"/>
        <v>0</v>
      </c>
      <c r="AS75" s="2224">
        <f t="shared" si="7"/>
        <v>0</v>
      </c>
      <c r="AU75" s="253"/>
    </row>
    <row r="76" spans="2:47" ht="0.6" hidden="1" customHeight="1" x14ac:dyDescent="0.2">
      <c r="B76" s="3667"/>
      <c r="C76" s="1737" t="s">
        <v>281</v>
      </c>
      <c r="D76" s="1197" t="s">
        <v>351</v>
      </c>
      <c r="E76" s="1247"/>
      <c r="F76" s="1255"/>
      <c r="G76" s="1255"/>
      <c r="H76" s="1255">
        <f t="shared" si="15"/>
        <v>0</v>
      </c>
      <c r="I76" s="240"/>
      <c r="J76" s="510">
        <f t="shared" si="16"/>
        <v>0</v>
      </c>
      <c r="K76" s="2241"/>
      <c r="L76" s="2241"/>
      <c r="M76" s="2241"/>
      <c r="N76" s="510"/>
      <c r="O76" s="510"/>
      <c r="P76" s="2241"/>
      <c r="Q76" s="2241"/>
      <c r="R76" s="510"/>
      <c r="T76" s="510"/>
      <c r="V76" s="510"/>
      <c r="W76" s="510"/>
      <c r="X76" s="551"/>
      <c r="Y76" s="88"/>
      <c r="Z76" s="89" t="e">
        <f>#N/A</f>
        <v>#N/A</v>
      </c>
      <c r="AC76" s="2224"/>
      <c r="AF76" s="2224">
        <f t="shared" si="2"/>
        <v>0</v>
      </c>
      <c r="AG76" s="2224">
        <f t="shared" si="3"/>
        <v>0</v>
      </c>
      <c r="AK76" s="2224">
        <f t="shared" si="4"/>
        <v>0</v>
      </c>
      <c r="AL76" s="2224">
        <f t="shared" si="5"/>
        <v>0</v>
      </c>
      <c r="AP76" s="2224">
        <f t="shared" si="8"/>
        <v>0</v>
      </c>
      <c r="AR76" s="2224">
        <f t="shared" si="6"/>
        <v>0</v>
      </c>
      <c r="AS76" s="2224">
        <f t="shared" si="7"/>
        <v>0</v>
      </c>
      <c r="AU76" s="253"/>
    </row>
    <row r="77" spans="2:47" ht="0.6" hidden="1" customHeight="1" x14ac:dyDescent="0.2">
      <c r="B77" s="3667"/>
      <c r="C77" s="1737">
        <v>40902056</v>
      </c>
      <c r="D77" s="1197" t="s">
        <v>352</v>
      </c>
      <c r="E77" s="1247"/>
      <c r="F77" s="1255"/>
      <c r="G77" s="1255"/>
      <c r="H77" s="1255">
        <f t="shared" si="15"/>
        <v>0</v>
      </c>
      <c r="I77" s="240"/>
      <c r="J77" s="510">
        <f t="shared" si="16"/>
        <v>0</v>
      </c>
      <c r="K77" s="2241"/>
      <c r="L77" s="2241"/>
      <c r="M77" s="2241"/>
      <c r="N77" s="510"/>
      <c r="O77" s="510"/>
      <c r="P77" s="2241"/>
      <c r="Q77" s="2241"/>
      <c r="R77" s="2241"/>
      <c r="T77" s="510"/>
      <c r="V77" s="510"/>
      <c r="W77" s="510"/>
      <c r="X77" s="1270"/>
      <c r="Y77" s="88"/>
      <c r="Z77" s="230"/>
      <c r="AC77" s="2224"/>
      <c r="AF77" s="2224">
        <f t="shared" si="2"/>
        <v>0</v>
      </c>
      <c r="AG77" s="2224">
        <f t="shared" si="3"/>
        <v>0</v>
      </c>
      <c r="AK77" s="2224">
        <f t="shared" si="4"/>
        <v>0</v>
      </c>
      <c r="AL77" s="2224">
        <f t="shared" si="5"/>
        <v>0</v>
      </c>
      <c r="AP77" s="2224">
        <f t="shared" si="8"/>
        <v>0</v>
      </c>
      <c r="AR77" s="2224">
        <f t="shared" ref="AR77:AR140" si="17">W77+V77+T77+R77+Q77+P77+O77+N77+J77+E77+F77+G77</f>
        <v>0</v>
      </c>
      <c r="AS77" s="2224">
        <f t="shared" si="7"/>
        <v>0</v>
      </c>
      <c r="AU77" s="253"/>
    </row>
    <row r="78" spans="2:47" ht="22.15" customHeight="1" x14ac:dyDescent="0.2">
      <c r="B78" s="3667"/>
      <c r="C78" s="1737" t="s">
        <v>287</v>
      </c>
      <c r="D78" s="1197" t="s">
        <v>202</v>
      </c>
      <c r="E78" s="1247">
        <v>846744600</v>
      </c>
      <c r="F78" s="1255"/>
      <c r="G78" s="1255">
        <f>-'مطالبات بلند مدت دولت ياددا (2)'!E89</f>
        <v>0</v>
      </c>
      <c r="H78" s="1255">
        <f t="shared" si="15"/>
        <v>846744600</v>
      </c>
      <c r="I78" s="1243"/>
      <c r="J78" s="510">
        <f t="shared" si="16"/>
        <v>0</v>
      </c>
      <c r="K78" s="2241"/>
      <c r="L78" s="2241"/>
      <c r="M78" s="2241"/>
      <c r="N78" s="510">
        <f>-'يادداشت_-5موجودی_جنسی__(2)'!K14</f>
        <v>0</v>
      </c>
      <c r="O78" s="510"/>
      <c r="P78" s="2241"/>
      <c r="Q78" s="2241">
        <f>-'مطالبات بلند مدت دولت ياددا (2)'!G89</f>
        <v>0</v>
      </c>
      <c r="R78" s="2241"/>
      <c r="T78" s="510"/>
      <c r="V78" s="510"/>
      <c r="W78" s="1248"/>
      <c r="X78" s="1247">
        <v>846744600</v>
      </c>
      <c r="Y78" s="96"/>
      <c r="Z78" s="230"/>
      <c r="AC78" s="2224"/>
      <c r="AF78" s="2224">
        <f t="shared" si="2"/>
        <v>1693489200</v>
      </c>
      <c r="AG78" s="2224">
        <f t="shared" si="3"/>
        <v>-846744600</v>
      </c>
      <c r="AK78" s="2224">
        <f t="shared" si="4"/>
        <v>1693489200</v>
      </c>
      <c r="AL78" s="2224">
        <f t="shared" si="5"/>
        <v>-846744600</v>
      </c>
      <c r="AP78" s="2224">
        <f t="shared" si="8"/>
        <v>0</v>
      </c>
      <c r="AR78" s="2224">
        <f t="shared" si="17"/>
        <v>846744600</v>
      </c>
      <c r="AS78" s="2224">
        <f t="shared" si="7"/>
        <v>0</v>
      </c>
      <c r="AU78" s="253"/>
    </row>
    <row r="79" spans="2:47" ht="22.15" hidden="1" customHeight="1" x14ac:dyDescent="0.2">
      <c r="B79" s="3667"/>
      <c r="C79" s="1737" t="s">
        <v>290</v>
      </c>
      <c r="D79" s="1197" t="s">
        <v>353</v>
      </c>
      <c r="E79" s="1245"/>
      <c r="F79" s="1242"/>
      <c r="G79" s="1242"/>
      <c r="H79" s="1255">
        <f t="shared" si="15"/>
        <v>0</v>
      </c>
      <c r="I79" s="1243"/>
      <c r="J79" s="510">
        <f t="shared" si="16"/>
        <v>0</v>
      </c>
      <c r="K79" s="2241"/>
      <c r="L79" s="2241"/>
      <c r="M79" s="2241"/>
      <c r="N79" s="510"/>
      <c r="O79" s="510"/>
      <c r="P79" s="2241"/>
      <c r="Q79" s="2241"/>
      <c r="R79" s="2241"/>
      <c r="T79" s="510"/>
      <c r="V79" s="510"/>
      <c r="W79" s="1248"/>
      <c r="X79" s="550"/>
      <c r="Y79" s="96"/>
      <c r="Z79" s="230"/>
      <c r="AC79" s="2224"/>
      <c r="AF79" s="2224">
        <f t="shared" si="2"/>
        <v>0</v>
      </c>
      <c r="AG79" s="2224">
        <f t="shared" si="3"/>
        <v>0</v>
      </c>
      <c r="AK79" s="2224">
        <f t="shared" si="4"/>
        <v>0</v>
      </c>
      <c r="AL79" s="2224">
        <f t="shared" si="5"/>
        <v>0</v>
      </c>
      <c r="AP79" s="2224">
        <f t="shared" si="8"/>
        <v>0</v>
      </c>
      <c r="AR79" s="2224">
        <f t="shared" si="17"/>
        <v>0</v>
      </c>
      <c r="AS79" s="2224">
        <f t="shared" si="7"/>
        <v>0</v>
      </c>
      <c r="AU79" s="253"/>
    </row>
    <row r="80" spans="2:47" ht="22.15" customHeight="1" x14ac:dyDescent="0.2">
      <c r="B80" s="3667"/>
      <c r="C80" s="1737">
        <v>10224056</v>
      </c>
      <c r="D80" s="1197" t="s">
        <v>354</v>
      </c>
      <c r="E80" s="1245">
        <v>7418064927</v>
      </c>
      <c r="F80" s="1242">
        <f>-'يادداشت 8سرمايه گذاري در شركتها'!E89</f>
        <v>0</v>
      </c>
      <c r="G80" s="1242"/>
      <c r="H80" s="1255">
        <f t="shared" si="15"/>
        <v>7418064927</v>
      </c>
      <c r="I80" s="1243"/>
      <c r="J80" s="510">
        <f t="shared" si="16"/>
        <v>0</v>
      </c>
      <c r="K80" s="2241"/>
      <c r="L80" s="2241"/>
      <c r="M80" s="2241"/>
      <c r="N80" s="510"/>
      <c r="O80" s="510"/>
      <c r="P80" s="2241">
        <f>-'يادداشت 8سرمايه گذاري در شركتها'!G89</f>
        <v>0</v>
      </c>
      <c r="Q80" s="2241"/>
      <c r="R80" s="2241"/>
      <c r="T80" s="510"/>
      <c r="V80" s="510"/>
      <c r="W80" s="1248"/>
      <c r="X80" s="1746">
        <v>7418064927</v>
      </c>
      <c r="Y80" s="96"/>
      <c r="Z80" s="230"/>
      <c r="AC80" s="2224"/>
      <c r="AF80" s="2224">
        <f t="shared" si="2"/>
        <v>14836129854</v>
      </c>
      <c r="AG80" s="2224">
        <f t="shared" si="3"/>
        <v>-7418064927</v>
      </c>
      <c r="AK80" s="2224">
        <f t="shared" si="4"/>
        <v>14836129854</v>
      </c>
      <c r="AL80" s="2224">
        <f t="shared" si="5"/>
        <v>-7418064927</v>
      </c>
      <c r="AP80" s="2224">
        <f t="shared" si="8"/>
        <v>0</v>
      </c>
      <c r="AR80" s="2224">
        <f t="shared" si="17"/>
        <v>7418064927</v>
      </c>
      <c r="AS80" s="2224">
        <f t="shared" si="7"/>
        <v>0</v>
      </c>
      <c r="AU80" s="253"/>
    </row>
    <row r="81" spans="2:47" ht="22.15" customHeight="1" x14ac:dyDescent="0.2">
      <c r="B81" s="3667"/>
      <c r="C81" s="1737" t="s">
        <v>300</v>
      </c>
      <c r="D81" s="1197" t="s">
        <v>356</v>
      </c>
      <c r="E81" s="1245">
        <v>99525667</v>
      </c>
      <c r="F81" s="1242"/>
      <c r="G81" s="1242"/>
      <c r="H81" s="1255">
        <f t="shared" si="15"/>
        <v>99525667</v>
      </c>
      <c r="I81" s="1243"/>
      <c r="J81" s="510">
        <f t="shared" si="16"/>
        <v>0</v>
      </c>
      <c r="K81" s="2241"/>
      <c r="L81" s="2241"/>
      <c r="M81" s="2241"/>
      <c r="N81" s="510"/>
      <c r="O81" s="510"/>
      <c r="P81" s="2241"/>
      <c r="Q81" s="2241"/>
      <c r="R81" s="2241"/>
      <c r="T81" s="510"/>
      <c r="V81" s="510"/>
      <c r="W81" s="510"/>
      <c r="X81" s="1245">
        <v>99525667</v>
      </c>
      <c r="Y81" s="96"/>
      <c r="Z81" s="230"/>
      <c r="AC81" s="2224"/>
      <c r="AF81" s="2224">
        <f t="shared" ref="AF81:AF149" si="18">SUM(E81:W81)</f>
        <v>199051334</v>
      </c>
      <c r="AG81" s="2224">
        <f t="shared" ref="AG81:AG149" si="19">X81-AF81</f>
        <v>-99525667</v>
      </c>
      <c r="AK81" s="2224">
        <f t="shared" ref="AK81:AK149" si="20">E81+H81+J81+N81+P81+Q81+R81+W81+O81</f>
        <v>199051334</v>
      </c>
      <c r="AL81" s="2224">
        <f t="shared" ref="AL81:AL149" si="21">X81-AK81</f>
        <v>-99525667</v>
      </c>
      <c r="AP81" s="2224">
        <f t="shared" ref="AP81:AP149" si="22">X81-AR81</f>
        <v>0</v>
      </c>
      <c r="AR81" s="2224">
        <f t="shared" si="17"/>
        <v>99525667</v>
      </c>
      <c r="AS81" s="2224">
        <f t="shared" ref="AS81:AS149" si="23">X81-AR81</f>
        <v>0</v>
      </c>
      <c r="AU81" s="234"/>
    </row>
    <row r="82" spans="2:47" ht="22.15" customHeight="1" x14ac:dyDescent="0.2">
      <c r="B82" s="3667"/>
      <c r="C82" s="1747" t="s">
        <v>248</v>
      </c>
      <c r="D82" s="1197" t="s">
        <v>249</v>
      </c>
      <c r="E82" s="1245">
        <v>1119057343</v>
      </c>
      <c r="F82" s="1242"/>
      <c r="G82" s="1242"/>
      <c r="H82" s="1255">
        <f t="shared" si="15"/>
        <v>1119057343</v>
      </c>
      <c r="I82" s="1243"/>
      <c r="J82" s="510">
        <f t="shared" si="16"/>
        <v>0</v>
      </c>
      <c r="K82" s="2241"/>
      <c r="L82" s="2241"/>
      <c r="M82" s="2241"/>
      <c r="N82" s="510"/>
      <c r="O82" s="510"/>
      <c r="P82" s="2241"/>
      <c r="Q82" s="2241"/>
      <c r="R82" s="2241"/>
      <c r="T82" s="510"/>
      <c r="V82" s="510"/>
      <c r="W82" s="510"/>
      <c r="X82" s="1245">
        <v>1119057343</v>
      </c>
      <c r="Y82" s="96"/>
      <c r="Z82" s="230"/>
      <c r="AC82" s="2224"/>
      <c r="AF82" s="2224">
        <f t="shared" si="18"/>
        <v>2238114686</v>
      </c>
      <c r="AG82" s="2224">
        <f t="shared" si="19"/>
        <v>-1119057343</v>
      </c>
      <c r="AK82" s="2224">
        <f t="shared" si="20"/>
        <v>2238114686</v>
      </c>
      <c r="AL82" s="2224">
        <f t="shared" si="21"/>
        <v>-1119057343</v>
      </c>
      <c r="AP82" s="2224">
        <f t="shared" si="22"/>
        <v>0</v>
      </c>
      <c r="AR82" s="2224">
        <f t="shared" si="17"/>
        <v>1119057343</v>
      </c>
      <c r="AS82" s="2224">
        <f t="shared" si="23"/>
        <v>0</v>
      </c>
      <c r="AU82" s="234"/>
    </row>
    <row r="83" spans="2:47" ht="22.15" customHeight="1" x14ac:dyDescent="0.2">
      <c r="B83" s="3667"/>
      <c r="C83" s="1737" t="s">
        <v>285</v>
      </c>
      <c r="D83" s="1197" t="str">
        <f>"تكميل مخزن 2000 متر مكعبي و تاسيسات آب شرب جزيره هرمز"</f>
        <v>تكميل مخزن 2000 متر مكعبي و تاسيسات آب شرب جزيره هرمز</v>
      </c>
      <c r="E83" s="1245">
        <v>658337021</v>
      </c>
      <c r="F83" s="1242">
        <f>-'يادداشت 8سرمايه گذاري در شركتها'!E90</f>
        <v>0</v>
      </c>
      <c r="G83" s="1242"/>
      <c r="H83" s="1255">
        <f t="shared" si="15"/>
        <v>658337021</v>
      </c>
      <c r="I83" s="1243"/>
      <c r="J83" s="510">
        <f t="shared" si="16"/>
        <v>0</v>
      </c>
      <c r="K83" s="2241"/>
      <c r="L83" s="2241"/>
      <c r="M83" s="2241"/>
      <c r="N83" s="510"/>
      <c r="O83" s="510"/>
      <c r="P83" s="2241">
        <f>-'يادداشت 8سرمايه گذاري در شركتها'!G90</f>
        <v>0</v>
      </c>
      <c r="Q83" s="2241"/>
      <c r="R83" s="2241"/>
      <c r="T83" s="510"/>
      <c r="V83" s="510"/>
      <c r="W83" s="510"/>
      <c r="X83" s="1245">
        <v>658337021</v>
      </c>
      <c r="Y83" s="96"/>
      <c r="Z83" s="230"/>
      <c r="AC83" s="2224"/>
      <c r="AF83" s="2224">
        <f t="shared" si="18"/>
        <v>1316674042</v>
      </c>
      <c r="AG83" s="2224">
        <f t="shared" si="19"/>
        <v>-658337021</v>
      </c>
      <c r="AK83" s="2224">
        <f t="shared" si="20"/>
        <v>1316674042</v>
      </c>
      <c r="AL83" s="2224">
        <f t="shared" si="21"/>
        <v>-658337021</v>
      </c>
      <c r="AP83" s="2224">
        <f t="shared" si="22"/>
        <v>0</v>
      </c>
      <c r="AR83" s="2224">
        <f t="shared" si="17"/>
        <v>658337021</v>
      </c>
      <c r="AS83" s="2224">
        <f t="shared" si="23"/>
        <v>0</v>
      </c>
      <c r="AU83" s="234"/>
    </row>
    <row r="84" spans="2:47" ht="22.15" customHeight="1" x14ac:dyDescent="0.2">
      <c r="B84" s="3667"/>
      <c r="C84" s="1737" t="s">
        <v>361</v>
      </c>
      <c r="D84" s="1197" t="s">
        <v>362</v>
      </c>
      <c r="E84" s="1271">
        <v>546819939</v>
      </c>
      <c r="F84" s="1286"/>
      <c r="G84" s="1242">
        <f>-'مطالبات بلند مدت دولت ياددا (2)'!E18</f>
        <v>0</v>
      </c>
      <c r="H84" s="1255">
        <f t="shared" si="15"/>
        <v>546819939</v>
      </c>
      <c r="I84" s="2248"/>
      <c r="J84" s="510">
        <f>X84-O84-N84-P84-Q84-K84-R84-W84-E84-T84-I84-V84-F84-G84</f>
        <v>8999992</v>
      </c>
      <c r="K84" s="2241"/>
      <c r="L84" s="2241"/>
      <c r="M84" s="2241"/>
      <c r="N84" s="510"/>
      <c r="O84" s="1248"/>
      <c r="P84" s="2241"/>
      <c r="Q84" s="2241">
        <f>-'مطالبات بلند مدت دولت ياددا (2)'!G18</f>
        <v>0</v>
      </c>
      <c r="R84" s="2241"/>
      <c r="T84" s="510"/>
      <c r="V84" s="240"/>
      <c r="W84" s="240">
        <f>-87759291</f>
        <v>-87759291</v>
      </c>
      <c r="X84" s="1257">
        <v>468060640</v>
      </c>
      <c r="Y84" s="96"/>
      <c r="Z84" s="230"/>
      <c r="AC84" s="2224"/>
      <c r="AF84" s="2224">
        <f t="shared" si="18"/>
        <v>1014880579</v>
      </c>
      <c r="AG84" s="2224">
        <f t="shared" si="19"/>
        <v>-546819939</v>
      </c>
      <c r="AK84" s="2224">
        <f t="shared" si="20"/>
        <v>1014880579</v>
      </c>
      <c r="AL84" s="2224">
        <f t="shared" si="21"/>
        <v>-546819939</v>
      </c>
      <c r="AP84" s="2224">
        <f>X84-AR84</f>
        <v>0</v>
      </c>
      <c r="AR84" s="2224">
        <f t="shared" si="17"/>
        <v>468060640</v>
      </c>
      <c r="AS84" s="2224">
        <f t="shared" si="23"/>
        <v>0</v>
      </c>
      <c r="AU84" s="234"/>
    </row>
    <row r="85" spans="2:47" ht="22.15" customHeight="1" x14ac:dyDescent="0.2">
      <c r="B85" s="3667"/>
      <c r="C85" s="1748" t="s">
        <v>73</v>
      </c>
      <c r="D85" s="1197" t="s">
        <v>74</v>
      </c>
      <c r="E85" s="1245">
        <v>2917489971</v>
      </c>
      <c r="F85" s="1245"/>
      <c r="G85" s="1245">
        <f>-'مطالبات بلند مدت دولت ياددا (2)'!E70</f>
        <v>0</v>
      </c>
      <c r="H85" s="1255">
        <f t="shared" si="15"/>
        <v>2917489971</v>
      </c>
      <c r="I85" s="2248"/>
      <c r="J85" s="510">
        <f t="shared" si="16"/>
        <v>0</v>
      </c>
      <c r="K85" s="2241"/>
      <c r="L85" s="2241"/>
      <c r="M85" s="2241"/>
      <c r="N85" s="510"/>
      <c r="O85" s="1248"/>
      <c r="P85" s="2241"/>
      <c r="Q85" s="2241">
        <f>-'مطالبات بلند مدت دولت ياددا (2)'!G70</f>
        <v>0</v>
      </c>
      <c r="R85" s="2241"/>
      <c r="T85" s="510"/>
      <c r="V85" s="240"/>
      <c r="W85" s="240"/>
      <c r="X85" s="1245">
        <v>2917489971</v>
      </c>
      <c r="Y85" s="96"/>
      <c r="Z85" s="230"/>
      <c r="AC85" s="2224"/>
      <c r="AF85" s="2224">
        <f t="shared" si="18"/>
        <v>5834979942</v>
      </c>
      <c r="AG85" s="2224">
        <f t="shared" si="19"/>
        <v>-2917489971</v>
      </c>
      <c r="AK85" s="2224">
        <f t="shared" si="20"/>
        <v>5834979942</v>
      </c>
      <c r="AL85" s="2224">
        <f t="shared" si="21"/>
        <v>-2917489971</v>
      </c>
      <c r="AP85" s="2224">
        <f t="shared" si="22"/>
        <v>0</v>
      </c>
      <c r="AR85" s="2224">
        <f t="shared" si="17"/>
        <v>2917489971</v>
      </c>
      <c r="AS85" s="2224">
        <f t="shared" si="23"/>
        <v>0</v>
      </c>
      <c r="AU85" s="234"/>
    </row>
    <row r="86" spans="2:47" ht="22.15" customHeight="1" x14ac:dyDescent="0.2">
      <c r="B86" s="3668"/>
      <c r="C86" s="2233"/>
      <c r="D86" s="1196" t="s">
        <v>94</v>
      </c>
      <c r="E86" s="1249">
        <f>SUM(E69:E85)</f>
        <v>18670908462125</v>
      </c>
      <c r="F86" s="1249">
        <f>SUM(F69:F85)</f>
        <v>0</v>
      </c>
      <c r="G86" s="1249">
        <f>SUM(G69:G85)</f>
        <v>0</v>
      </c>
      <c r="H86" s="1249">
        <f>SUM(H69:H85)</f>
        <v>18670908462125</v>
      </c>
      <c r="I86" s="1250">
        <f t="shared" ref="I86:X86" si="24">SUM(I69:I85)</f>
        <v>0</v>
      </c>
      <c r="J86" s="1250">
        <f t="shared" si="24"/>
        <v>9597230170599</v>
      </c>
      <c r="K86" s="1250">
        <f t="shared" si="24"/>
        <v>0</v>
      </c>
      <c r="L86" s="1250">
        <f t="shared" si="24"/>
        <v>0</v>
      </c>
      <c r="M86" s="1250">
        <f t="shared" si="24"/>
        <v>0</v>
      </c>
      <c r="N86" s="1250">
        <f t="shared" si="24"/>
        <v>277520527345</v>
      </c>
      <c r="O86" s="1250">
        <f t="shared" si="24"/>
        <v>301463199453</v>
      </c>
      <c r="P86" s="1250">
        <f t="shared" si="24"/>
        <v>-27402051545</v>
      </c>
      <c r="Q86" s="1250">
        <f t="shared" si="24"/>
        <v>-1058414866015</v>
      </c>
      <c r="R86" s="1250">
        <f t="shared" si="24"/>
        <v>0</v>
      </c>
      <c r="S86" s="1250">
        <f t="shared" si="24"/>
        <v>0</v>
      </c>
      <c r="T86" s="1250">
        <f t="shared" si="24"/>
        <v>0</v>
      </c>
      <c r="U86" s="1250">
        <f t="shared" si="24"/>
        <v>0</v>
      </c>
      <c r="V86" s="1250">
        <f>SUM(V69:V85)</f>
        <v>-34494372912</v>
      </c>
      <c r="W86" s="1250">
        <f>SUM(W69:W85)</f>
        <v>603043649534</v>
      </c>
      <c r="X86" s="1251">
        <f t="shared" si="24"/>
        <v>28329854718584</v>
      </c>
      <c r="Y86" s="378" t="e">
        <f>#N/A</f>
        <v>#N/A</v>
      </c>
      <c r="Z86" s="215" t="e">
        <f>#N/A</f>
        <v>#N/A</v>
      </c>
      <c r="AA86" s="215" t="e">
        <f>#N/A</f>
        <v>#N/A</v>
      </c>
      <c r="AC86" s="2224"/>
      <c r="AF86" s="2224">
        <f t="shared" si="18"/>
        <v>47000763180709</v>
      </c>
      <c r="AG86" s="2224">
        <f t="shared" si="19"/>
        <v>-18670908462125</v>
      </c>
      <c r="AK86" s="2224">
        <f t="shared" si="20"/>
        <v>47035257553621</v>
      </c>
      <c r="AL86" s="2224">
        <f t="shared" si="21"/>
        <v>-18705402835037</v>
      </c>
      <c r="AP86" s="2224">
        <f t="shared" si="22"/>
        <v>0</v>
      </c>
      <c r="AR86" s="2224">
        <f t="shared" si="17"/>
        <v>28329854718584</v>
      </c>
      <c r="AS86" s="2224">
        <f t="shared" si="23"/>
        <v>0</v>
      </c>
      <c r="AU86" s="256">
        <f>SUM(AU69:AU85)</f>
        <v>-359723000000</v>
      </c>
    </row>
    <row r="87" spans="2:47" ht="20.25" customHeight="1" x14ac:dyDescent="0.2">
      <c r="B87" s="2244"/>
      <c r="C87" s="2235"/>
      <c r="D87" s="1202"/>
      <c r="E87" s="1272"/>
      <c r="F87" s="1272"/>
      <c r="G87" s="1272"/>
      <c r="H87" s="1272"/>
      <c r="I87" s="1273"/>
      <c r="J87" s="1273"/>
      <c r="K87" s="1273"/>
      <c r="L87" s="1273"/>
      <c r="M87" s="1273"/>
      <c r="N87" s="1273"/>
      <c r="O87" s="1273"/>
      <c r="P87" s="1273"/>
      <c r="Q87" s="1273"/>
      <c r="R87" s="1273"/>
      <c r="S87" s="1273"/>
      <c r="T87" s="1273"/>
      <c r="U87" s="1273"/>
      <c r="V87" s="1273"/>
      <c r="W87" s="1273"/>
      <c r="X87" s="1274"/>
      <c r="Y87" s="261"/>
      <c r="Z87" s="261"/>
      <c r="AA87" s="261"/>
      <c r="AC87" s="2224"/>
      <c r="AF87" s="2224">
        <f t="shared" si="18"/>
        <v>0</v>
      </c>
      <c r="AG87" s="2224">
        <f t="shared" si="19"/>
        <v>0</v>
      </c>
      <c r="AK87" s="2224">
        <f t="shared" si="20"/>
        <v>0</v>
      </c>
      <c r="AL87" s="2224">
        <f t="shared" si="21"/>
        <v>0</v>
      </c>
      <c r="AP87" s="2224">
        <f t="shared" si="22"/>
        <v>0</v>
      </c>
      <c r="AR87" s="2224">
        <f t="shared" si="17"/>
        <v>0</v>
      </c>
      <c r="AS87" s="2224">
        <f t="shared" si="23"/>
        <v>0</v>
      </c>
      <c r="AU87" s="316"/>
    </row>
    <row r="88" spans="2:47" ht="20.25" customHeight="1" x14ac:dyDescent="0.2">
      <c r="B88" s="2244"/>
      <c r="C88" s="2235"/>
      <c r="D88" s="1202"/>
      <c r="E88" s="1272"/>
      <c r="F88" s="1272"/>
      <c r="G88" s="1272"/>
      <c r="H88" s="1272"/>
      <c r="I88" s="1273"/>
      <c r="J88" s="1273"/>
      <c r="K88" s="1273"/>
      <c r="L88" s="1273"/>
      <c r="M88" s="1273"/>
      <c r="N88" s="1273"/>
      <c r="O88" s="1273"/>
      <c r="P88" s="1273"/>
      <c r="Q88" s="1273"/>
      <c r="R88" s="1273"/>
      <c r="S88" s="1273"/>
      <c r="T88" s="1273"/>
      <c r="U88" s="1273"/>
      <c r="V88" s="1273"/>
      <c r="W88" s="1273"/>
      <c r="X88" s="1274"/>
      <c r="Y88" s="261"/>
      <c r="Z88" s="261"/>
      <c r="AA88" s="261"/>
      <c r="AC88" s="2224"/>
      <c r="AF88" s="2224"/>
      <c r="AG88" s="2224"/>
      <c r="AK88" s="2224"/>
      <c r="AL88" s="2224"/>
      <c r="AP88" s="2224"/>
      <c r="AR88" s="2224">
        <f t="shared" si="17"/>
        <v>0</v>
      </c>
      <c r="AS88" s="2224"/>
      <c r="AU88" s="316"/>
    </row>
    <row r="89" spans="2:47" ht="20.25" customHeight="1" x14ac:dyDescent="0.2">
      <c r="B89" s="2244"/>
      <c r="C89" s="2235"/>
      <c r="D89" s="1202"/>
      <c r="E89" s="1272"/>
      <c r="F89" s="1272"/>
      <c r="G89" s="1272"/>
      <c r="H89" s="1272"/>
      <c r="I89" s="1273"/>
      <c r="J89" s="1273"/>
      <c r="K89" s="1273"/>
      <c r="L89" s="1273"/>
      <c r="M89" s="1273"/>
      <c r="N89" s="1273"/>
      <c r="O89" s="1273"/>
      <c r="P89" s="1273"/>
      <c r="Q89" s="1273"/>
      <c r="R89" s="1273"/>
      <c r="S89" s="1273"/>
      <c r="T89" s="1273"/>
      <c r="U89" s="1273"/>
      <c r="V89" s="1273"/>
      <c r="W89" s="1273"/>
      <c r="X89" s="1274"/>
      <c r="Y89" s="261"/>
      <c r="Z89" s="261"/>
      <c r="AA89" s="261"/>
      <c r="AC89" s="2224"/>
      <c r="AF89" s="2224"/>
      <c r="AG89" s="2224"/>
      <c r="AK89" s="2224"/>
      <c r="AL89" s="2224"/>
      <c r="AP89" s="2224"/>
      <c r="AR89" s="2224">
        <f t="shared" si="17"/>
        <v>0</v>
      </c>
      <c r="AS89" s="2224"/>
      <c r="AU89" s="316"/>
    </row>
    <row r="90" spans="2:47" ht="14.25" customHeight="1" x14ac:dyDescent="0.2">
      <c r="B90" s="3671" t="s">
        <v>268</v>
      </c>
      <c r="C90" s="3671"/>
      <c r="D90" s="3671"/>
      <c r="E90" s="3671"/>
      <c r="F90" s="3671"/>
      <c r="G90" s="3671"/>
      <c r="H90" s="3671"/>
      <c r="I90" s="3671"/>
      <c r="J90" s="3671"/>
      <c r="K90" s="3671"/>
      <c r="L90" s="3671"/>
      <c r="M90" s="3671"/>
      <c r="N90" s="3671"/>
      <c r="O90" s="3671"/>
      <c r="P90" s="3671"/>
      <c r="Q90" s="3671"/>
      <c r="R90" s="3671"/>
      <c r="S90" s="3671"/>
      <c r="T90" s="3671"/>
      <c r="U90" s="3671"/>
      <c r="V90" s="3671"/>
      <c r="W90" s="3671"/>
      <c r="X90" s="3671"/>
      <c r="Y90" s="3671"/>
      <c r="Z90" s="3671"/>
      <c r="AA90" s="3671"/>
      <c r="AC90" s="2224"/>
      <c r="AF90" s="2224">
        <f t="shared" si="18"/>
        <v>0</v>
      </c>
      <c r="AG90" s="2224">
        <f t="shared" si="19"/>
        <v>0</v>
      </c>
      <c r="AK90" s="2224">
        <f t="shared" si="20"/>
        <v>0</v>
      </c>
      <c r="AL90" s="2224">
        <f t="shared" si="21"/>
        <v>0</v>
      </c>
      <c r="AP90" s="2224">
        <f t="shared" si="22"/>
        <v>0</v>
      </c>
      <c r="AR90" s="2224">
        <f t="shared" si="17"/>
        <v>0</v>
      </c>
      <c r="AS90" s="2224">
        <f t="shared" si="23"/>
        <v>0</v>
      </c>
    </row>
    <row r="91" spans="2:47" ht="16.5" customHeight="1" x14ac:dyDescent="0.2">
      <c r="B91" s="3574" t="s">
        <v>32</v>
      </c>
      <c r="C91" s="3574"/>
      <c r="D91" s="3574"/>
      <c r="E91" s="3574"/>
      <c r="F91" s="3574"/>
      <c r="G91" s="3574"/>
      <c r="H91" s="3574"/>
      <c r="I91" s="3574"/>
      <c r="J91" s="3574"/>
      <c r="K91" s="3574"/>
      <c r="L91" s="3574"/>
      <c r="M91" s="3574"/>
      <c r="N91" s="3574"/>
      <c r="O91" s="3574"/>
      <c r="P91" s="3574"/>
      <c r="Q91" s="3574"/>
      <c r="R91" s="3574"/>
      <c r="S91" s="3574"/>
      <c r="T91" s="3574"/>
      <c r="U91" s="3574"/>
      <c r="V91" s="3574"/>
      <c r="W91" s="3574"/>
      <c r="X91" s="3574"/>
      <c r="Y91" s="3574"/>
      <c r="Z91" s="3574"/>
      <c r="AA91" s="3574"/>
      <c r="AC91" s="2224"/>
      <c r="AF91" s="2224">
        <f t="shared" si="18"/>
        <v>0</v>
      </c>
      <c r="AG91" s="2224">
        <f t="shared" si="19"/>
        <v>0</v>
      </c>
      <c r="AK91" s="2224">
        <f t="shared" si="20"/>
        <v>0</v>
      </c>
      <c r="AL91" s="2224">
        <f t="shared" si="21"/>
        <v>0</v>
      </c>
      <c r="AP91" s="2224">
        <f t="shared" si="22"/>
        <v>0</v>
      </c>
      <c r="AR91" s="2224">
        <f t="shared" si="17"/>
        <v>0</v>
      </c>
      <c r="AS91" s="2224">
        <f t="shared" si="23"/>
        <v>0</v>
      </c>
    </row>
    <row r="92" spans="2:47" ht="16.5" customHeight="1" x14ac:dyDescent="0.2">
      <c r="B92" s="3574" t="s">
        <v>45</v>
      </c>
      <c r="C92" s="3574"/>
      <c r="D92" s="3574"/>
      <c r="E92" s="3574"/>
      <c r="F92" s="3574"/>
      <c r="G92" s="3574"/>
      <c r="H92" s="3574"/>
      <c r="I92" s="3574"/>
      <c r="J92" s="3574"/>
      <c r="K92" s="3574"/>
      <c r="L92" s="3574"/>
      <c r="M92" s="3574"/>
      <c r="N92" s="3574"/>
      <c r="O92" s="3574"/>
      <c r="P92" s="3574"/>
      <c r="Q92" s="3574"/>
      <c r="R92" s="3574"/>
      <c r="S92" s="3574"/>
      <c r="T92" s="3574"/>
      <c r="U92" s="3574"/>
      <c r="V92" s="3574"/>
      <c r="W92" s="3574"/>
      <c r="X92" s="3574"/>
      <c r="Y92" s="3574"/>
      <c r="Z92" s="3574"/>
      <c r="AA92" s="3574"/>
      <c r="AC92" s="2224"/>
      <c r="AF92" s="2224">
        <f t="shared" si="18"/>
        <v>0</v>
      </c>
      <c r="AG92" s="2224">
        <f t="shared" si="19"/>
        <v>0</v>
      </c>
      <c r="AK92" s="2224">
        <f t="shared" si="20"/>
        <v>0</v>
      </c>
      <c r="AL92" s="2224">
        <f t="shared" si="21"/>
        <v>0</v>
      </c>
      <c r="AP92" s="2224">
        <f t="shared" si="22"/>
        <v>0</v>
      </c>
      <c r="AR92" s="2224">
        <f t="shared" si="17"/>
        <v>0</v>
      </c>
      <c r="AS92" s="2224">
        <f t="shared" si="23"/>
        <v>0</v>
      </c>
    </row>
    <row r="93" spans="2:47" ht="16.5" customHeight="1" x14ac:dyDescent="0.2">
      <c r="B93" s="3574" t="s">
        <v>46</v>
      </c>
      <c r="C93" s="3574"/>
      <c r="D93" s="3574"/>
      <c r="E93" s="3574"/>
      <c r="F93" s="3574"/>
      <c r="G93" s="3574"/>
      <c r="H93" s="3574"/>
      <c r="I93" s="3574"/>
      <c r="J93" s="3574"/>
      <c r="K93" s="3574"/>
      <c r="L93" s="3574"/>
      <c r="M93" s="3574"/>
      <c r="N93" s="3574"/>
      <c r="O93" s="3574"/>
      <c r="P93" s="3574"/>
      <c r="Q93" s="3574"/>
      <c r="R93" s="3574"/>
      <c r="S93" s="3574"/>
      <c r="T93" s="3574"/>
      <c r="U93" s="3574"/>
      <c r="V93" s="3574"/>
      <c r="W93" s="3574"/>
      <c r="X93" s="3574"/>
      <c r="Y93" s="3574"/>
      <c r="Z93" s="3574"/>
      <c r="AA93" s="3574"/>
      <c r="AC93" s="2224"/>
      <c r="AF93" s="2224">
        <f t="shared" si="18"/>
        <v>0</v>
      </c>
      <c r="AG93" s="2224">
        <f t="shared" si="19"/>
        <v>0</v>
      </c>
      <c r="AK93" s="2224">
        <f t="shared" si="20"/>
        <v>0</v>
      </c>
      <c r="AL93" s="2224">
        <f t="shared" si="21"/>
        <v>0</v>
      </c>
      <c r="AP93" s="2224">
        <f t="shared" si="22"/>
        <v>0</v>
      </c>
      <c r="AR93" s="2224">
        <f t="shared" si="17"/>
        <v>0</v>
      </c>
      <c r="AS93" s="2224">
        <f t="shared" si="23"/>
        <v>0</v>
      </c>
    </row>
    <row r="94" spans="2:47" ht="16.5" customHeight="1" x14ac:dyDescent="0.2">
      <c r="B94" s="3572" t="s">
        <v>1992</v>
      </c>
      <c r="C94" s="3572"/>
      <c r="D94" s="3572"/>
      <c r="E94" s="3572"/>
      <c r="F94" s="3572"/>
      <c r="G94" s="3572"/>
      <c r="H94" s="3572"/>
      <c r="I94" s="3572"/>
      <c r="J94" s="3572"/>
      <c r="K94" s="3572"/>
      <c r="L94" s="3572"/>
      <c r="M94" s="3572"/>
      <c r="N94" s="3572"/>
      <c r="O94" s="3572"/>
      <c r="P94" s="3572"/>
      <c r="Q94" s="3572"/>
      <c r="R94" s="3572"/>
      <c r="S94" s="3572"/>
      <c r="T94" s="3572"/>
      <c r="U94" s="3572"/>
      <c r="V94" s="3572"/>
      <c r="W94" s="3572"/>
      <c r="X94" s="3572"/>
      <c r="Y94" s="3572"/>
      <c r="Z94" s="3572"/>
      <c r="AA94" s="3572"/>
      <c r="AC94" s="2224"/>
      <c r="AF94" s="2224">
        <f t="shared" si="18"/>
        <v>0</v>
      </c>
      <c r="AG94" s="2224">
        <f t="shared" si="19"/>
        <v>0</v>
      </c>
      <c r="AK94" s="2224">
        <f t="shared" si="20"/>
        <v>0</v>
      </c>
      <c r="AL94" s="2224">
        <f t="shared" si="21"/>
        <v>0</v>
      </c>
      <c r="AP94" s="2224">
        <f t="shared" si="22"/>
        <v>0</v>
      </c>
      <c r="AR94" s="2224">
        <f t="shared" si="17"/>
        <v>0</v>
      </c>
      <c r="AS94" s="2224">
        <f t="shared" si="23"/>
        <v>0</v>
      </c>
    </row>
    <row r="95" spans="2:47" ht="16.5" customHeight="1" x14ac:dyDescent="0.2">
      <c r="B95" s="2185"/>
      <c r="C95" s="2185"/>
      <c r="D95" s="1212"/>
      <c r="E95" s="1262"/>
      <c r="F95" s="1262"/>
      <c r="G95" s="1262"/>
      <c r="H95" s="1262"/>
      <c r="I95" s="2245"/>
      <c r="J95" s="2245"/>
      <c r="K95" s="2245"/>
      <c r="L95" s="2245"/>
      <c r="M95" s="2245"/>
      <c r="N95" s="2245"/>
      <c r="O95" s="2245"/>
      <c r="P95" s="2245"/>
      <c r="Q95" s="2245"/>
      <c r="R95" s="2245"/>
      <c r="S95" s="2245"/>
      <c r="T95" s="2245"/>
      <c r="U95" s="2245"/>
      <c r="V95" s="2245"/>
      <c r="W95" s="2245"/>
      <c r="X95" s="2246"/>
      <c r="Y95" s="2185"/>
      <c r="Z95" s="2185"/>
      <c r="AA95" s="2185"/>
      <c r="AC95" s="2224"/>
      <c r="AF95" s="2224">
        <f t="shared" si="18"/>
        <v>0</v>
      </c>
      <c r="AG95" s="2224">
        <f t="shared" si="19"/>
        <v>0</v>
      </c>
      <c r="AK95" s="2224">
        <f t="shared" si="20"/>
        <v>0</v>
      </c>
      <c r="AL95" s="2224">
        <f t="shared" si="21"/>
        <v>0</v>
      </c>
      <c r="AP95" s="2224">
        <f t="shared" si="22"/>
        <v>0</v>
      </c>
      <c r="AR95" s="2224">
        <f t="shared" si="17"/>
        <v>0</v>
      </c>
      <c r="AS95" s="2224">
        <f t="shared" si="23"/>
        <v>0</v>
      </c>
      <c r="AU95" s="2185"/>
    </row>
    <row r="96" spans="2:47" ht="14.25" customHeight="1" x14ac:dyDescent="0.2">
      <c r="B96" s="3664" t="s">
        <v>894</v>
      </c>
      <c r="C96" s="3672"/>
      <c r="D96" s="3672"/>
      <c r="E96" s="1252"/>
      <c r="F96" s="1252"/>
      <c r="G96" s="1252"/>
      <c r="H96" s="1252"/>
      <c r="I96" s="2239"/>
      <c r="J96" s="2239"/>
      <c r="K96" s="2239"/>
      <c r="L96" s="2239"/>
      <c r="M96" s="2239"/>
      <c r="N96" s="2239"/>
      <c r="O96" s="2239"/>
      <c r="P96" s="2239"/>
      <c r="Q96" s="2239"/>
      <c r="R96" s="2239"/>
      <c r="S96" s="2239"/>
      <c r="T96" s="2239"/>
      <c r="U96" s="2239"/>
      <c r="V96" s="2239"/>
      <c r="W96" s="3665" t="s">
        <v>338</v>
      </c>
      <c r="X96" s="3665"/>
      <c r="Y96" s="2240"/>
      <c r="Z96" s="2240"/>
      <c r="AA96" s="2240"/>
      <c r="AC96" s="2224"/>
      <c r="AF96" s="2224">
        <f t="shared" si="18"/>
        <v>0</v>
      </c>
      <c r="AG96" s="2224">
        <f t="shared" si="19"/>
        <v>0</v>
      </c>
      <c r="AK96" s="2224" t="e">
        <f t="shared" si="20"/>
        <v>#VALUE!</v>
      </c>
      <c r="AL96" s="2224" t="e">
        <f t="shared" si="21"/>
        <v>#VALUE!</v>
      </c>
      <c r="AP96" s="2224" t="e">
        <f t="shared" si="22"/>
        <v>#VALUE!</v>
      </c>
      <c r="AR96" s="2224" t="e">
        <f t="shared" si="17"/>
        <v>#VALUE!</v>
      </c>
      <c r="AS96" s="2224" t="e">
        <f t="shared" si="23"/>
        <v>#VALUE!</v>
      </c>
      <c r="AU96" s="2240"/>
    </row>
    <row r="97" spans="2:47" ht="36" customHeight="1" x14ac:dyDescent="0.2">
      <c r="B97" s="3666" t="s">
        <v>419</v>
      </c>
      <c r="C97" s="3659" t="s">
        <v>196</v>
      </c>
      <c r="D97" s="3677" t="s">
        <v>197</v>
      </c>
      <c r="E97" s="3647" t="s">
        <v>1391</v>
      </c>
      <c r="F97" s="3682" t="s">
        <v>1116</v>
      </c>
      <c r="G97" s="3682"/>
      <c r="H97" s="3662" t="s">
        <v>1993</v>
      </c>
      <c r="I97" s="3650" t="s">
        <v>1244</v>
      </c>
      <c r="J97" s="3650"/>
      <c r="K97" s="2216" t="s">
        <v>340</v>
      </c>
      <c r="L97" s="2216"/>
      <c r="M97" s="2216"/>
      <c r="N97" s="3661" t="s">
        <v>341</v>
      </c>
      <c r="O97" s="3661"/>
      <c r="P97" s="3651" t="s">
        <v>1012</v>
      </c>
      <c r="Q97" s="3652"/>
      <c r="R97" s="3652"/>
      <c r="S97" s="3652"/>
      <c r="T97" s="3653"/>
      <c r="U97" s="2217"/>
      <c r="V97" s="3650" t="s">
        <v>1334</v>
      </c>
      <c r="W97" s="3649" t="s">
        <v>898</v>
      </c>
      <c r="X97" s="3648" t="s">
        <v>1986</v>
      </c>
      <c r="Y97" s="3673" t="s">
        <v>347</v>
      </c>
      <c r="Z97" s="3673" t="s">
        <v>342</v>
      </c>
      <c r="AC97" s="2224"/>
      <c r="AF97" s="2224">
        <f t="shared" si="18"/>
        <v>0</v>
      </c>
      <c r="AG97" s="2224" t="e">
        <f t="shared" si="19"/>
        <v>#VALUE!</v>
      </c>
      <c r="AK97" s="2224" t="e">
        <f t="shared" si="20"/>
        <v>#VALUE!</v>
      </c>
      <c r="AL97" s="2224" t="e">
        <f t="shared" si="21"/>
        <v>#VALUE!</v>
      </c>
      <c r="AP97" s="2224" t="e">
        <f t="shared" si="22"/>
        <v>#VALUE!</v>
      </c>
      <c r="AR97" s="2224" t="e">
        <f t="shared" si="17"/>
        <v>#VALUE!</v>
      </c>
      <c r="AS97" s="2224" t="e">
        <f t="shared" si="23"/>
        <v>#VALUE!</v>
      </c>
    </row>
    <row r="98" spans="2:47" ht="61.9" customHeight="1" x14ac:dyDescent="0.2">
      <c r="B98" s="3666"/>
      <c r="C98" s="3659"/>
      <c r="D98" s="3677"/>
      <c r="E98" s="3647"/>
      <c r="F98" s="1409" t="s">
        <v>1955</v>
      </c>
      <c r="G98" s="1409" t="s">
        <v>1956</v>
      </c>
      <c r="H98" s="3662"/>
      <c r="I98" s="3650"/>
      <c r="J98" s="3650"/>
      <c r="K98" s="2220" t="s">
        <v>315</v>
      </c>
      <c r="L98" s="2220" t="s">
        <v>891</v>
      </c>
      <c r="M98" s="2216" t="s">
        <v>314</v>
      </c>
      <c r="N98" s="2216" t="s">
        <v>1076</v>
      </c>
      <c r="O98" s="2216" t="s">
        <v>18</v>
      </c>
      <c r="P98" s="2220" t="s">
        <v>892</v>
      </c>
      <c r="Q98" s="2220" t="s">
        <v>826</v>
      </c>
      <c r="R98" s="2220" t="s">
        <v>315</v>
      </c>
      <c r="S98" s="2216"/>
      <c r="T98" s="2216" t="s">
        <v>1180</v>
      </c>
      <c r="U98" s="2216"/>
      <c r="V98" s="3650"/>
      <c r="W98" s="3649"/>
      <c r="X98" s="3648"/>
      <c r="Y98" s="3673"/>
      <c r="Z98" s="3673"/>
      <c r="AC98" s="2224"/>
      <c r="AF98" s="2224">
        <f t="shared" si="18"/>
        <v>0</v>
      </c>
      <c r="AG98" s="2224">
        <f t="shared" si="19"/>
        <v>0</v>
      </c>
      <c r="AK98" s="2224" t="e">
        <f t="shared" si="20"/>
        <v>#VALUE!</v>
      </c>
      <c r="AL98" s="2224" t="e">
        <f t="shared" si="21"/>
        <v>#VALUE!</v>
      </c>
      <c r="AP98" s="2224" t="e">
        <f t="shared" si="22"/>
        <v>#VALUE!</v>
      </c>
      <c r="AR98" s="2224" t="e">
        <f t="shared" si="17"/>
        <v>#VALUE!</v>
      </c>
      <c r="AS98" s="2224" t="e">
        <f t="shared" si="23"/>
        <v>#VALUE!</v>
      </c>
      <c r="AU98" s="2221" t="s">
        <v>1180</v>
      </c>
    </row>
    <row r="99" spans="2:47" ht="19.899999999999999" customHeight="1" x14ac:dyDescent="0.2">
      <c r="B99" s="3667" t="s">
        <v>180</v>
      </c>
      <c r="C99" s="3669" t="s">
        <v>181</v>
      </c>
      <c r="D99" s="3670"/>
      <c r="E99" s="1245">
        <f>E86</f>
        <v>18670908462125</v>
      </c>
      <c r="F99" s="1245">
        <f>F86</f>
        <v>0</v>
      </c>
      <c r="G99" s="1245">
        <f t="shared" ref="G99:X99" si="25">G86</f>
        <v>0</v>
      </c>
      <c r="H99" s="1245">
        <f>H86</f>
        <v>18670908462125</v>
      </c>
      <c r="I99" s="510">
        <f t="shared" si="25"/>
        <v>0</v>
      </c>
      <c r="J99" s="510">
        <f t="shared" si="25"/>
        <v>9597230170599</v>
      </c>
      <c r="K99" s="510">
        <f t="shared" si="25"/>
        <v>0</v>
      </c>
      <c r="L99" s="510">
        <f t="shared" si="25"/>
        <v>0</v>
      </c>
      <c r="M99" s="510">
        <f t="shared" si="25"/>
        <v>0</v>
      </c>
      <c r="N99" s="510">
        <f t="shared" si="25"/>
        <v>277520527345</v>
      </c>
      <c r="O99" s="510">
        <f t="shared" si="25"/>
        <v>301463199453</v>
      </c>
      <c r="P99" s="510">
        <f t="shared" si="25"/>
        <v>-27402051545</v>
      </c>
      <c r="Q99" s="510">
        <f t="shared" si="25"/>
        <v>-1058414866015</v>
      </c>
      <c r="R99" s="510">
        <f t="shared" si="25"/>
        <v>0</v>
      </c>
      <c r="S99" s="510">
        <f t="shared" si="25"/>
        <v>0</v>
      </c>
      <c r="T99" s="510">
        <f t="shared" si="25"/>
        <v>0</v>
      </c>
      <c r="U99" s="510">
        <f t="shared" si="25"/>
        <v>0</v>
      </c>
      <c r="V99" s="510">
        <f t="shared" si="25"/>
        <v>-34494372912</v>
      </c>
      <c r="W99" s="510">
        <f t="shared" si="25"/>
        <v>603043649534</v>
      </c>
      <c r="X99" s="551">
        <f t="shared" si="25"/>
        <v>28329854718584</v>
      </c>
      <c r="Y99" s="234" t="e">
        <f>Y86</f>
        <v>#N/A</v>
      </c>
      <c r="Z99" s="234" t="e">
        <f>Z86</f>
        <v>#N/A</v>
      </c>
      <c r="AA99" s="234" t="e">
        <f>AA86</f>
        <v>#N/A</v>
      </c>
      <c r="AC99" s="2224"/>
      <c r="AF99" s="2224">
        <f t="shared" si="18"/>
        <v>47000763180709</v>
      </c>
      <c r="AG99" s="2224">
        <f t="shared" si="19"/>
        <v>-18670908462125</v>
      </c>
      <c r="AK99" s="2224">
        <f t="shared" si="20"/>
        <v>47035257553621</v>
      </c>
      <c r="AL99" s="2224">
        <f t="shared" si="21"/>
        <v>-18705402835037</v>
      </c>
      <c r="AP99" s="2224">
        <f t="shared" si="22"/>
        <v>0</v>
      </c>
      <c r="AR99" s="2224">
        <f t="shared" si="17"/>
        <v>28329854718584</v>
      </c>
      <c r="AS99" s="2224">
        <f t="shared" si="23"/>
        <v>0</v>
      </c>
      <c r="AU99" s="234">
        <f>AU86</f>
        <v>-359723000000</v>
      </c>
    </row>
    <row r="100" spans="2:47" ht="19.899999999999999" hidden="1" customHeight="1" x14ac:dyDescent="0.2">
      <c r="B100" s="3667"/>
      <c r="C100" s="1737" t="s">
        <v>258</v>
      </c>
      <c r="D100" s="1197" t="s">
        <v>355</v>
      </c>
      <c r="E100" s="1245"/>
      <c r="F100" s="1242"/>
      <c r="G100" s="1242"/>
      <c r="H100" s="1242"/>
      <c r="I100" s="1243"/>
      <c r="J100" s="1243">
        <f>X100-O100-N100-P100-Q100-K100-R100-W100-E100-T100-G100-H100-I100-V100</f>
        <v>0</v>
      </c>
      <c r="K100" s="2241"/>
      <c r="L100" s="2241"/>
      <c r="M100" s="2241"/>
      <c r="N100" s="510"/>
      <c r="O100" s="510"/>
      <c r="P100" s="2241"/>
      <c r="Q100" s="2241"/>
      <c r="R100" s="2241"/>
      <c r="T100" s="510"/>
      <c r="V100" s="510"/>
      <c r="W100" s="510"/>
      <c r="X100" s="551"/>
      <c r="Y100" s="96"/>
      <c r="Z100" s="88"/>
      <c r="AC100" s="2224"/>
      <c r="AF100" s="2224">
        <f t="shared" si="18"/>
        <v>0</v>
      </c>
      <c r="AG100" s="2224">
        <f t="shared" si="19"/>
        <v>0</v>
      </c>
      <c r="AK100" s="2224">
        <f t="shared" si="20"/>
        <v>0</v>
      </c>
      <c r="AL100" s="2224">
        <f t="shared" si="21"/>
        <v>0</v>
      </c>
      <c r="AP100" s="2224">
        <f t="shared" si="22"/>
        <v>0</v>
      </c>
      <c r="AR100" s="2224">
        <f t="shared" si="17"/>
        <v>0</v>
      </c>
      <c r="AS100" s="2224">
        <f t="shared" si="23"/>
        <v>0</v>
      </c>
      <c r="AU100" s="234"/>
    </row>
    <row r="101" spans="2:47" ht="19.899999999999999" customHeight="1" x14ac:dyDescent="0.2">
      <c r="B101" s="3667"/>
      <c r="C101" s="1737" t="s">
        <v>111</v>
      </c>
      <c r="D101" s="1197" t="s">
        <v>112</v>
      </c>
      <c r="E101" s="1245">
        <v>1769000000</v>
      </c>
      <c r="F101" s="1245"/>
      <c r="G101" s="1245"/>
      <c r="H101" s="1245">
        <f>E101+G101+F101</f>
        <v>1769000000</v>
      </c>
      <c r="I101" s="2248"/>
      <c r="J101" s="1243">
        <f t="shared" ref="J101:J120" si="26">X101-O101-N101-P101-Q101-K101-R101-W101-E101-T101-I101-V101-F101-G101</f>
        <v>0</v>
      </c>
      <c r="K101" s="2241"/>
      <c r="L101" s="2241"/>
      <c r="M101" s="2249"/>
      <c r="N101" s="1246"/>
      <c r="O101" s="1258"/>
      <c r="P101" s="2249"/>
      <c r="Q101" s="2249"/>
      <c r="R101" s="2249"/>
      <c r="T101" s="1246"/>
      <c r="V101" s="240"/>
      <c r="W101" s="240"/>
      <c r="X101" s="1245">
        <v>1769000000</v>
      </c>
      <c r="Y101" s="96"/>
      <c r="Z101" s="88"/>
      <c r="AC101" s="2224"/>
      <c r="AF101" s="2224">
        <f t="shared" si="18"/>
        <v>3538000000</v>
      </c>
      <c r="AG101" s="2224">
        <f t="shared" si="19"/>
        <v>-1769000000</v>
      </c>
      <c r="AK101" s="2224">
        <f t="shared" si="20"/>
        <v>3538000000</v>
      </c>
      <c r="AL101" s="2224">
        <f t="shared" si="21"/>
        <v>-1769000000</v>
      </c>
      <c r="AP101" s="2224">
        <f t="shared" si="22"/>
        <v>0</v>
      </c>
      <c r="AR101" s="2224">
        <f t="shared" si="17"/>
        <v>1769000000</v>
      </c>
      <c r="AS101" s="2224">
        <f t="shared" si="23"/>
        <v>0</v>
      </c>
      <c r="AU101" s="238"/>
    </row>
    <row r="102" spans="2:47" ht="19.899999999999999" hidden="1" customHeight="1" x14ac:dyDescent="0.2">
      <c r="B102" s="3667"/>
      <c r="C102" s="1958" t="s">
        <v>262</v>
      </c>
      <c r="D102" s="1197" t="s">
        <v>263</v>
      </c>
      <c r="E102" s="1245"/>
      <c r="F102" s="1242"/>
      <c r="G102" s="1242"/>
      <c r="H102" s="1245">
        <f t="shared" ref="H102:H120" si="27">E102+G102+F102</f>
        <v>0</v>
      </c>
      <c r="I102" s="1243"/>
      <c r="J102" s="1243">
        <f t="shared" si="26"/>
        <v>0</v>
      </c>
      <c r="K102" s="2241"/>
      <c r="L102" s="2241"/>
      <c r="M102" s="2241"/>
      <c r="N102" s="510"/>
      <c r="O102" s="510"/>
      <c r="P102" s="2241"/>
      <c r="Q102" s="2241"/>
      <c r="R102" s="2241"/>
      <c r="T102" s="510"/>
      <c r="V102" s="510"/>
      <c r="W102" s="510"/>
      <c r="X102" s="551"/>
      <c r="Y102" s="96"/>
      <c r="Z102" s="88"/>
      <c r="AC102" s="2224"/>
      <c r="AF102" s="2224">
        <f t="shared" si="18"/>
        <v>0</v>
      </c>
      <c r="AG102" s="2224">
        <f t="shared" si="19"/>
        <v>0</v>
      </c>
      <c r="AK102" s="2224">
        <f t="shared" si="20"/>
        <v>0</v>
      </c>
      <c r="AL102" s="2224">
        <f t="shared" si="21"/>
        <v>0</v>
      </c>
      <c r="AP102" s="2224">
        <f t="shared" si="22"/>
        <v>0</v>
      </c>
      <c r="AR102" s="2224">
        <f t="shared" si="17"/>
        <v>0</v>
      </c>
      <c r="AS102" s="2224">
        <f t="shared" si="23"/>
        <v>0</v>
      </c>
      <c r="AU102" s="234"/>
    </row>
    <row r="103" spans="2:47" ht="20.45" hidden="1" customHeight="1" x14ac:dyDescent="0.2">
      <c r="B103" s="3667"/>
      <c r="C103" s="1747" t="s">
        <v>357</v>
      </c>
      <c r="D103" s="1197" t="s">
        <v>358</v>
      </c>
      <c r="E103" s="1245"/>
      <c r="F103" s="1242"/>
      <c r="G103" s="1242"/>
      <c r="H103" s="1245">
        <f t="shared" si="27"/>
        <v>0</v>
      </c>
      <c r="I103" s="1243"/>
      <c r="J103" s="1243">
        <f t="shared" si="26"/>
        <v>0</v>
      </c>
      <c r="K103" s="2241"/>
      <c r="L103" s="2241"/>
      <c r="M103" s="2241"/>
      <c r="N103" s="510"/>
      <c r="O103" s="510"/>
      <c r="P103" s="2241"/>
      <c r="Q103" s="2241"/>
      <c r="R103" s="2241"/>
      <c r="T103" s="510"/>
      <c r="V103" s="510"/>
      <c r="W103" s="510"/>
      <c r="X103" s="1270"/>
      <c r="Y103" s="96"/>
      <c r="Z103" s="88"/>
      <c r="AC103" s="2224"/>
      <c r="AF103" s="2224">
        <f t="shared" si="18"/>
        <v>0</v>
      </c>
      <c r="AG103" s="2224">
        <f t="shared" si="19"/>
        <v>0</v>
      </c>
      <c r="AK103" s="2224">
        <f t="shared" si="20"/>
        <v>0</v>
      </c>
      <c r="AL103" s="2224">
        <f t="shared" si="21"/>
        <v>0</v>
      </c>
      <c r="AP103" s="2224">
        <f t="shared" si="22"/>
        <v>0</v>
      </c>
      <c r="AR103" s="2224">
        <f t="shared" si="17"/>
        <v>0</v>
      </c>
      <c r="AS103" s="2224">
        <f t="shared" si="23"/>
        <v>0</v>
      </c>
      <c r="AU103" s="234"/>
    </row>
    <row r="104" spans="2:47" ht="25.15" hidden="1" customHeight="1" x14ac:dyDescent="0.2">
      <c r="B104" s="3667"/>
      <c r="C104" s="2250" t="s">
        <v>166</v>
      </c>
      <c r="D104" s="1204" t="s">
        <v>167</v>
      </c>
      <c r="E104" s="1275"/>
      <c r="F104" s="1275"/>
      <c r="G104" s="1275"/>
      <c r="H104" s="1245">
        <f t="shared" si="27"/>
        <v>0</v>
      </c>
      <c r="I104" s="2251"/>
      <c r="J104" s="1243">
        <f t="shared" si="26"/>
        <v>0</v>
      </c>
      <c r="K104" s="2252"/>
      <c r="L104" s="2253"/>
      <c r="M104" s="2254"/>
      <c r="N104" s="1276"/>
      <c r="O104" s="1277"/>
      <c r="P104" s="1823"/>
      <c r="Q104" s="1823"/>
      <c r="R104" s="1823"/>
      <c r="T104" s="1276"/>
      <c r="V104" s="1276"/>
      <c r="W104" s="1277"/>
      <c r="X104" s="1278"/>
      <c r="Y104" s="96"/>
      <c r="Z104" s="88"/>
      <c r="AC104" s="2224"/>
      <c r="AF104" s="2224">
        <f t="shared" si="18"/>
        <v>0</v>
      </c>
      <c r="AG104" s="2224">
        <f t="shared" si="19"/>
        <v>0</v>
      </c>
      <c r="AK104" s="2224">
        <f t="shared" si="20"/>
        <v>0</v>
      </c>
      <c r="AL104" s="2224">
        <f t="shared" si="21"/>
        <v>0</v>
      </c>
      <c r="AP104" s="2224">
        <f t="shared" si="22"/>
        <v>0</v>
      </c>
      <c r="AR104" s="2224">
        <f t="shared" si="17"/>
        <v>0</v>
      </c>
      <c r="AS104" s="2224">
        <f t="shared" si="23"/>
        <v>0</v>
      </c>
      <c r="AU104" s="382"/>
    </row>
    <row r="105" spans="2:47" ht="20.45" customHeight="1" x14ac:dyDescent="0.2">
      <c r="B105" s="3667"/>
      <c r="C105" s="1737" t="s">
        <v>363</v>
      </c>
      <c r="D105" s="1197" t="s">
        <v>364</v>
      </c>
      <c r="E105" s="1245">
        <v>63243000000</v>
      </c>
      <c r="F105" s="1245"/>
      <c r="G105" s="1245"/>
      <c r="H105" s="1245">
        <f t="shared" si="27"/>
        <v>63243000000</v>
      </c>
      <c r="I105" s="2248"/>
      <c r="J105" s="1243">
        <f t="shared" si="26"/>
        <v>0</v>
      </c>
      <c r="K105" s="2241"/>
      <c r="L105" s="1789"/>
      <c r="M105" s="1789"/>
      <c r="N105" s="240"/>
      <c r="O105" s="1279"/>
      <c r="P105" s="1779"/>
      <c r="Q105" s="1779"/>
      <c r="R105" s="1779"/>
      <c r="T105" s="240"/>
      <c r="V105" s="240"/>
      <c r="W105" s="1279"/>
      <c r="X105" s="1245">
        <v>63243000000</v>
      </c>
      <c r="Y105" s="96"/>
      <c r="Z105" s="88"/>
      <c r="AC105" s="2224"/>
      <c r="AF105" s="2224">
        <f t="shared" si="18"/>
        <v>126486000000</v>
      </c>
      <c r="AG105" s="2224">
        <f>X114-AF105</f>
        <v>-126286877807</v>
      </c>
      <c r="AK105" s="2224">
        <f t="shared" si="20"/>
        <v>126486000000</v>
      </c>
      <c r="AL105" s="2224">
        <f>X114-AK105</f>
        <v>-126286877807</v>
      </c>
      <c r="AP105" s="2224">
        <f t="shared" si="22"/>
        <v>0</v>
      </c>
      <c r="AR105" s="2224">
        <f t="shared" si="17"/>
        <v>63243000000</v>
      </c>
      <c r="AS105" s="2224">
        <f t="shared" si="23"/>
        <v>0</v>
      </c>
      <c r="AU105" s="235"/>
    </row>
    <row r="106" spans="2:47" ht="29.45" hidden="1" customHeight="1" x14ac:dyDescent="0.2">
      <c r="B106" s="3667"/>
      <c r="C106" s="1737" t="s">
        <v>359</v>
      </c>
      <c r="D106" s="1197" t="str">
        <f>"اجراي خط انتقال غرب بندر عباس"</f>
        <v>اجراي خط انتقال غرب بندر عباس</v>
      </c>
      <c r="E106" s="1245"/>
      <c r="F106" s="1242"/>
      <c r="G106" s="1242"/>
      <c r="H106" s="1245">
        <f t="shared" si="27"/>
        <v>0</v>
      </c>
      <c r="I106" s="1243"/>
      <c r="J106" s="1243">
        <f t="shared" si="26"/>
        <v>0</v>
      </c>
      <c r="K106" s="2241"/>
      <c r="L106" s="2241"/>
      <c r="M106" s="2241"/>
      <c r="N106" s="510"/>
      <c r="O106" s="510"/>
      <c r="P106" s="2241"/>
      <c r="Q106" s="2241"/>
      <c r="R106" s="2241"/>
      <c r="T106" s="510"/>
      <c r="V106" s="510"/>
      <c r="W106" s="1248"/>
      <c r="X106" s="550"/>
      <c r="Y106" s="96"/>
      <c r="Z106" s="88"/>
      <c r="AC106" s="2224"/>
      <c r="AF106" s="2224">
        <f t="shared" si="18"/>
        <v>0</v>
      </c>
      <c r="AG106" s="2224">
        <f t="shared" si="19"/>
        <v>0</v>
      </c>
      <c r="AK106" s="2224">
        <f t="shared" si="20"/>
        <v>0</v>
      </c>
      <c r="AL106" s="2224">
        <f t="shared" si="21"/>
        <v>0</v>
      </c>
      <c r="AP106" s="2224">
        <f t="shared" si="22"/>
        <v>0</v>
      </c>
      <c r="AR106" s="2224">
        <f t="shared" si="17"/>
        <v>0</v>
      </c>
      <c r="AS106" s="2224">
        <f t="shared" si="23"/>
        <v>0</v>
      </c>
      <c r="AU106" s="234"/>
    </row>
    <row r="107" spans="2:47" ht="29.45" hidden="1" customHeight="1" x14ac:dyDescent="0.2">
      <c r="B107" s="3667"/>
      <c r="C107" s="1737" t="s">
        <v>288</v>
      </c>
      <c r="D107" s="1197" t="str">
        <f>"تامين آب شهرهاي داراي تنش آبي درسطح استان"</f>
        <v>تامين آب شهرهاي داراي تنش آبي درسطح استان</v>
      </c>
      <c r="E107" s="1245"/>
      <c r="F107" s="1242"/>
      <c r="G107" s="1242"/>
      <c r="H107" s="1245">
        <f t="shared" si="27"/>
        <v>0</v>
      </c>
      <c r="I107" s="1243"/>
      <c r="J107" s="1243">
        <f t="shared" si="26"/>
        <v>0</v>
      </c>
      <c r="K107" s="2241"/>
      <c r="L107" s="2241"/>
      <c r="M107" s="2241"/>
      <c r="N107" s="510"/>
      <c r="O107" s="510"/>
      <c r="P107" s="2241"/>
      <c r="Q107" s="2241"/>
      <c r="R107" s="2241"/>
      <c r="T107" s="510"/>
      <c r="V107" s="510"/>
      <c r="W107" s="1248"/>
      <c r="X107" s="550"/>
      <c r="Y107" s="96"/>
      <c r="Z107" s="88"/>
      <c r="AC107" s="2224"/>
      <c r="AF107" s="2224">
        <f t="shared" si="18"/>
        <v>0</v>
      </c>
      <c r="AG107" s="2224">
        <f t="shared" si="19"/>
        <v>0</v>
      </c>
      <c r="AK107" s="2224">
        <f t="shared" si="20"/>
        <v>0</v>
      </c>
      <c r="AL107" s="2224">
        <f t="shared" si="21"/>
        <v>0</v>
      </c>
      <c r="AP107" s="2224">
        <f t="shared" si="22"/>
        <v>0</v>
      </c>
      <c r="AR107" s="2224">
        <f t="shared" si="17"/>
        <v>0</v>
      </c>
      <c r="AS107" s="2224">
        <f t="shared" si="23"/>
        <v>0</v>
      </c>
      <c r="AU107" s="234"/>
    </row>
    <row r="108" spans="2:47" ht="29.45" hidden="1" customHeight="1" x14ac:dyDescent="0.2">
      <c r="B108" s="3667"/>
      <c r="C108" s="1737" t="s">
        <v>260</v>
      </c>
      <c r="D108" s="1197" t="s">
        <v>360</v>
      </c>
      <c r="E108" s="1245"/>
      <c r="F108" s="1242"/>
      <c r="G108" s="1242"/>
      <c r="H108" s="1245">
        <f t="shared" si="27"/>
        <v>0</v>
      </c>
      <c r="I108" s="1243"/>
      <c r="J108" s="1243">
        <f t="shared" si="26"/>
        <v>0</v>
      </c>
      <c r="K108" s="2241"/>
      <c r="L108" s="2241"/>
      <c r="M108" s="2241"/>
      <c r="N108" s="510"/>
      <c r="O108" s="510"/>
      <c r="P108" s="2241"/>
      <c r="R108" s="2241"/>
      <c r="T108" s="510"/>
      <c r="V108" s="510"/>
      <c r="W108" s="1248"/>
      <c r="X108" s="550"/>
      <c r="Y108" s="96"/>
      <c r="Z108" s="88"/>
      <c r="AC108" s="2224"/>
      <c r="AF108" s="2224">
        <f t="shared" si="18"/>
        <v>0</v>
      </c>
      <c r="AG108" s="2224">
        <f t="shared" si="19"/>
        <v>0</v>
      </c>
      <c r="AK108" s="2224">
        <f t="shared" si="20"/>
        <v>0</v>
      </c>
      <c r="AL108" s="2224">
        <f t="shared" si="21"/>
        <v>0</v>
      </c>
      <c r="AP108" s="2224">
        <f t="shared" si="22"/>
        <v>0</v>
      </c>
      <c r="AR108" s="2224">
        <f t="shared" si="17"/>
        <v>0</v>
      </c>
      <c r="AS108" s="2224">
        <f t="shared" si="23"/>
        <v>0</v>
      </c>
      <c r="AU108" s="234"/>
    </row>
    <row r="109" spans="2:47" ht="29.45" hidden="1" customHeight="1" x14ac:dyDescent="0.2">
      <c r="B109" s="3667"/>
      <c r="C109" s="1958" t="s">
        <v>260</v>
      </c>
      <c r="D109" s="1197" t="s">
        <v>261</v>
      </c>
      <c r="E109" s="1242"/>
      <c r="F109" s="1242"/>
      <c r="G109" s="1242"/>
      <c r="H109" s="1245">
        <f t="shared" si="27"/>
        <v>0</v>
      </c>
      <c r="I109" s="1243"/>
      <c r="J109" s="1243">
        <f t="shared" si="26"/>
        <v>0</v>
      </c>
      <c r="K109" s="2241"/>
      <c r="L109" s="2241"/>
      <c r="M109" s="2241"/>
      <c r="N109" s="510"/>
      <c r="O109" s="510"/>
      <c r="P109" s="2241"/>
      <c r="Q109" s="2241"/>
      <c r="R109" s="2241"/>
      <c r="T109" s="510"/>
      <c r="V109" s="1246"/>
      <c r="W109" s="1258"/>
      <c r="X109" s="550"/>
      <c r="Y109" s="96"/>
      <c r="Z109" s="88"/>
      <c r="AC109" s="2224"/>
      <c r="AF109" s="2224">
        <f t="shared" si="18"/>
        <v>0</v>
      </c>
      <c r="AG109" s="2224">
        <f t="shared" si="19"/>
        <v>0</v>
      </c>
      <c r="AK109" s="2224">
        <f t="shared" si="20"/>
        <v>0</v>
      </c>
      <c r="AL109" s="2224">
        <f t="shared" si="21"/>
        <v>0</v>
      </c>
      <c r="AP109" s="2224">
        <f t="shared" si="22"/>
        <v>0</v>
      </c>
      <c r="AR109" s="2224">
        <f t="shared" si="17"/>
        <v>0</v>
      </c>
      <c r="AS109" s="2224">
        <f t="shared" si="23"/>
        <v>0</v>
      </c>
      <c r="AU109" s="234"/>
    </row>
    <row r="110" spans="2:47" ht="20.45" customHeight="1" x14ac:dyDescent="0.2">
      <c r="B110" s="3667"/>
      <c r="C110" s="1737" t="s">
        <v>182</v>
      </c>
      <c r="D110" s="1197" t="s">
        <v>335</v>
      </c>
      <c r="E110" s="1245">
        <v>7051655213</v>
      </c>
      <c r="F110" s="1245"/>
      <c r="G110" s="1245"/>
      <c r="H110" s="1245">
        <f t="shared" si="27"/>
        <v>7051655213</v>
      </c>
      <c r="I110" s="2248"/>
      <c r="J110" s="1243">
        <f t="shared" si="26"/>
        <v>0</v>
      </c>
      <c r="K110" s="2241"/>
      <c r="L110" s="2255"/>
      <c r="M110" s="1789"/>
      <c r="N110" s="240"/>
      <c r="O110" s="1279"/>
      <c r="P110" s="1779"/>
      <c r="Q110" s="1779"/>
      <c r="R110" s="1779"/>
      <c r="T110" s="240"/>
      <c r="V110" s="240"/>
      <c r="W110" s="2256">
        <f>-W424-2939004996-489992428-85000000</f>
        <v>-3238465008</v>
      </c>
      <c r="X110" s="1740">
        <f>5626861611-X424</f>
        <v>3813190205</v>
      </c>
      <c r="Y110" s="96"/>
      <c r="Z110" s="88"/>
      <c r="AC110" s="2224"/>
      <c r="AF110" s="2224">
        <f t="shared" si="18"/>
        <v>10864845418</v>
      </c>
      <c r="AG110" s="2224">
        <f t="shared" si="19"/>
        <v>-7051655213</v>
      </c>
      <c r="AK110" s="2224">
        <f t="shared" si="20"/>
        <v>10864845418</v>
      </c>
      <c r="AL110" s="2224">
        <f t="shared" si="21"/>
        <v>-7051655213</v>
      </c>
      <c r="AP110" s="2224">
        <f t="shared" si="22"/>
        <v>0</v>
      </c>
      <c r="AR110" s="2224">
        <f t="shared" si="17"/>
        <v>3813190205</v>
      </c>
      <c r="AS110" s="2224">
        <f t="shared" si="23"/>
        <v>0</v>
      </c>
      <c r="AU110" s="235"/>
    </row>
    <row r="111" spans="2:47" ht="20.45" customHeight="1" x14ac:dyDescent="0.2">
      <c r="B111" s="3667"/>
      <c r="C111" s="1737">
        <v>1503003007</v>
      </c>
      <c r="D111" s="1197" t="s">
        <v>538</v>
      </c>
      <c r="E111" s="1242">
        <v>53286839982</v>
      </c>
      <c r="F111" s="1242"/>
      <c r="G111" s="1242">
        <f>-'مطالبات بلند مدت دولت ياددا (2)'!E58</f>
        <v>0</v>
      </c>
      <c r="H111" s="1245">
        <f t="shared" si="27"/>
        <v>53286839982</v>
      </c>
      <c r="I111" s="2248"/>
      <c r="J111" s="1243">
        <f t="shared" si="26"/>
        <v>619000000</v>
      </c>
      <c r="K111" s="2241"/>
      <c r="L111" s="2241"/>
      <c r="M111" s="2241"/>
      <c r="N111" s="510">
        <f>-'يادداشت_-5موجودی_جنسی__(2)'!K36</f>
        <v>5591724706</v>
      </c>
      <c r="O111" s="510"/>
      <c r="P111" s="2241"/>
      <c r="Q111" s="2241">
        <f>-'مطالبات بلند مدت دولت ياددا (2)'!G58</f>
        <v>-1500000000</v>
      </c>
      <c r="R111" s="2241"/>
      <c r="T111" s="510"/>
      <c r="V111" s="510"/>
      <c r="W111" s="1248">
        <f>-65655117-1805665987</f>
        <v>-1871321104</v>
      </c>
      <c r="X111" s="550">
        <f>56126243584</f>
        <v>56126243584</v>
      </c>
      <c r="Y111" s="96"/>
      <c r="Z111" s="88"/>
      <c r="AC111" s="2224"/>
      <c r="AF111" s="2224">
        <f t="shared" si="18"/>
        <v>109413083566</v>
      </c>
      <c r="AG111" s="2224">
        <f t="shared" si="19"/>
        <v>-53286839982</v>
      </c>
      <c r="AK111" s="2224">
        <f t="shared" si="20"/>
        <v>109413083566</v>
      </c>
      <c r="AL111" s="2224">
        <f t="shared" si="21"/>
        <v>-53286839982</v>
      </c>
      <c r="AP111" s="2224">
        <f t="shared" si="22"/>
        <v>0</v>
      </c>
      <c r="AR111" s="2224">
        <f t="shared" si="17"/>
        <v>56126243584</v>
      </c>
      <c r="AS111" s="2224">
        <f t="shared" si="23"/>
        <v>0</v>
      </c>
      <c r="AU111" s="234"/>
    </row>
    <row r="112" spans="2:47" ht="20.45" customHeight="1" x14ac:dyDescent="0.2">
      <c r="B112" s="3667"/>
      <c r="C112" s="214" t="s">
        <v>366</v>
      </c>
      <c r="D112" s="1197" t="s">
        <v>367</v>
      </c>
      <c r="E112" s="1245">
        <v>14658140100</v>
      </c>
      <c r="F112" s="1245"/>
      <c r="G112" s="1245"/>
      <c r="H112" s="1245">
        <f t="shared" si="27"/>
        <v>14658140100</v>
      </c>
      <c r="I112" s="2241"/>
      <c r="J112" s="1243">
        <f t="shared" si="26"/>
        <v>316000000</v>
      </c>
      <c r="K112" s="2241"/>
      <c r="L112" s="2241"/>
      <c r="M112" s="2241"/>
      <c r="N112" s="510">
        <f>-'يادداشت_-5موجودی_جنسی__(2)'!K33</f>
        <v>5623481300</v>
      </c>
      <c r="O112" s="2257"/>
      <c r="P112" s="2241"/>
      <c r="Q112" s="2241"/>
      <c r="R112" s="2241"/>
      <c r="T112" s="510"/>
      <c r="V112" s="2257"/>
      <c r="W112" s="510"/>
      <c r="X112" s="1244">
        <f>20597621400</f>
        <v>20597621400</v>
      </c>
      <c r="Y112" s="96"/>
      <c r="Z112" s="88"/>
      <c r="AC112" s="2224"/>
      <c r="AF112" s="2224">
        <f t="shared" si="18"/>
        <v>35255761500</v>
      </c>
      <c r="AG112" s="2224">
        <f t="shared" si="19"/>
        <v>-14658140100</v>
      </c>
      <c r="AK112" s="2224">
        <f t="shared" si="20"/>
        <v>35255761500</v>
      </c>
      <c r="AL112" s="2224">
        <f t="shared" si="21"/>
        <v>-14658140100</v>
      </c>
      <c r="AP112" s="2224">
        <f t="shared" si="22"/>
        <v>0</v>
      </c>
      <c r="AR112" s="2224">
        <f t="shared" si="17"/>
        <v>20597621400</v>
      </c>
      <c r="AS112" s="2224">
        <f t="shared" si="23"/>
        <v>0</v>
      </c>
      <c r="AU112" s="234"/>
    </row>
    <row r="113" spans="2:47" ht="20.45" customHeight="1" x14ac:dyDescent="0.2">
      <c r="B113" s="3667"/>
      <c r="C113" s="1750" t="s">
        <v>368</v>
      </c>
      <c r="D113" s="1197" t="s">
        <v>369</v>
      </c>
      <c r="E113" s="1245">
        <v>862630770</v>
      </c>
      <c r="F113" s="1245"/>
      <c r="G113" s="1245"/>
      <c r="H113" s="1245">
        <f t="shared" si="27"/>
        <v>862630770</v>
      </c>
      <c r="I113" s="2241"/>
      <c r="J113" s="1243">
        <f t="shared" si="26"/>
        <v>0</v>
      </c>
      <c r="K113" s="2241"/>
      <c r="L113" s="2241"/>
      <c r="M113" s="2249"/>
      <c r="N113" s="510"/>
      <c r="O113" s="510"/>
      <c r="P113" s="2249"/>
      <c r="Q113" s="2249"/>
      <c r="R113" s="2241"/>
      <c r="T113" s="510"/>
      <c r="V113" s="510"/>
      <c r="W113" s="510">
        <f>-862630770</f>
        <v>-862630770</v>
      </c>
      <c r="X113" s="1739"/>
      <c r="Y113" s="96"/>
      <c r="Z113" s="88"/>
      <c r="AC113" s="2224"/>
      <c r="AF113" s="2224">
        <f t="shared" si="18"/>
        <v>862630770</v>
      </c>
      <c r="AG113" s="2224">
        <f t="shared" si="19"/>
        <v>-862630770</v>
      </c>
      <c r="AK113" s="2224">
        <f t="shared" si="20"/>
        <v>862630770</v>
      </c>
      <c r="AL113" s="2224">
        <f t="shared" si="21"/>
        <v>-862630770</v>
      </c>
      <c r="AP113" s="2224">
        <f t="shared" si="22"/>
        <v>0</v>
      </c>
      <c r="AR113" s="2224">
        <f t="shared" si="17"/>
        <v>0</v>
      </c>
      <c r="AS113" s="2224">
        <f t="shared" si="23"/>
        <v>0</v>
      </c>
      <c r="AU113" s="234"/>
    </row>
    <row r="114" spans="2:47" ht="20.45" customHeight="1" x14ac:dyDescent="0.2">
      <c r="B114" s="3667"/>
      <c r="C114" s="1737" t="s">
        <v>75</v>
      </c>
      <c r="D114" s="1197" t="s">
        <v>76</v>
      </c>
      <c r="E114" s="1245">
        <v>200000000</v>
      </c>
      <c r="F114" s="1245"/>
      <c r="G114" s="1245">
        <f>-'مطالبات بلند مدت دولت ياددا (2)'!E65</f>
        <v>0</v>
      </c>
      <c r="H114" s="1245">
        <f t="shared" si="27"/>
        <v>200000000</v>
      </c>
      <c r="I114" s="2241"/>
      <c r="J114" s="1243">
        <f t="shared" si="26"/>
        <v>0</v>
      </c>
      <c r="K114" s="2241"/>
      <c r="L114" s="2255"/>
      <c r="M114" s="1789"/>
      <c r="N114" s="510"/>
      <c r="O114" s="510"/>
      <c r="P114" s="1779"/>
      <c r="Q114" s="1779">
        <f>-'مطالبات بلند مدت دولت ياددا (2)'!G65</f>
        <v>0</v>
      </c>
      <c r="R114" s="2258"/>
      <c r="T114" s="510"/>
      <c r="V114" s="510"/>
      <c r="W114" s="510">
        <f>-877807</f>
        <v>-877807</v>
      </c>
      <c r="X114" s="1739">
        <v>199122193</v>
      </c>
      <c r="Y114" s="96"/>
      <c r="Z114" s="88"/>
      <c r="AC114" s="2224"/>
      <c r="AF114" s="2224">
        <f t="shared" si="18"/>
        <v>399122193</v>
      </c>
      <c r="AG114" s="2224" t="e">
        <f>#REF!-AF114</f>
        <v>#REF!</v>
      </c>
      <c r="AK114" s="2224">
        <f t="shared" si="20"/>
        <v>399122193</v>
      </c>
      <c r="AL114" s="2224" t="e">
        <f>#REF!-AK114</f>
        <v>#REF!</v>
      </c>
      <c r="AP114" s="2224">
        <f t="shared" si="22"/>
        <v>0</v>
      </c>
      <c r="AR114" s="2224">
        <f t="shared" si="17"/>
        <v>199122193</v>
      </c>
      <c r="AS114" s="2224">
        <f t="shared" si="23"/>
        <v>0</v>
      </c>
      <c r="AU114" s="234"/>
    </row>
    <row r="115" spans="2:47" ht="20.45" customHeight="1" x14ac:dyDescent="0.2">
      <c r="B115" s="3667"/>
      <c r="C115" s="1941" t="s">
        <v>71</v>
      </c>
      <c r="D115" s="1197" t="s">
        <v>72</v>
      </c>
      <c r="E115" s="1245">
        <v>99397773</v>
      </c>
      <c r="F115" s="1245"/>
      <c r="G115" s="1245"/>
      <c r="H115" s="1245">
        <f t="shared" si="27"/>
        <v>99397773</v>
      </c>
      <c r="I115" s="2241"/>
      <c r="J115" s="1243">
        <f t="shared" si="26"/>
        <v>0</v>
      </c>
      <c r="K115" s="2241"/>
      <c r="L115" s="2255"/>
      <c r="M115" s="1789"/>
      <c r="N115" s="510"/>
      <c r="O115" s="2241"/>
      <c r="P115" s="1779"/>
      <c r="Q115" s="1779"/>
      <c r="R115" s="2258"/>
      <c r="T115" s="510"/>
      <c r="V115" s="2241"/>
      <c r="W115" s="510"/>
      <c r="X115" s="1245">
        <v>99397773</v>
      </c>
      <c r="Y115" s="96"/>
      <c r="Z115" s="88"/>
      <c r="AC115" s="2224"/>
      <c r="AF115" s="2224">
        <f t="shared" si="18"/>
        <v>198795546</v>
      </c>
      <c r="AG115" s="2224">
        <f t="shared" si="19"/>
        <v>-99397773</v>
      </c>
      <c r="AK115" s="2224">
        <f t="shared" si="20"/>
        <v>198795546</v>
      </c>
      <c r="AL115" s="2224">
        <f t="shared" si="21"/>
        <v>-99397773</v>
      </c>
      <c r="AP115" s="2224">
        <f t="shared" si="22"/>
        <v>0</v>
      </c>
      <c r="AR115" s="2224">
        <f t="shared" si="17"/>
        <v>99397773</v>
      </c>
      <c r="AS115" s="2224">
        <f t="shared" si="23"/>
        <v>0</v>
      </c>
      <c r="AU115" s="234"/>
    </row>
    <row r="116" spans="2:47" ht="53.45" customHeight="1" x14ac:dyDescent="0.2">
      <c r="B116" s="3667"/>
      <c r="C116" s="1941" t="s">
        <v>176</v>
      </c>
      <c r="D116" s="1349" t="s">
        <v>177</v>
      </c>
      <c r="E116" s="1245">
        <v>4678554140</v>
      </c>
      <c r="F116" s="1245">
        <f>-'يادداشت 8سرمايه گذاري در شركتها'!E106</f>
        <v>0</v>
      </c>
      <c r="G116" s="1245"/>
      <c r="H116" s="1245">
        <f t="shared" si="27"/>
        <v>4678554140</v>
      </c>
      <c r="I116" s="2249"/>
      <c r="J116" s="1243">
        <f t="shared" si="26"/>
        <v>0</v>
      </c>
      <c r="K116" s="2241"/>
      <c r="L116" s="2255"/>
      <c r="M116" s="1789"/>
      <c r="N116" s="510"/>
      <c r="O116" s="510"/>
      <c r="P116" s="1779">
        <f>-'يادداشت 8سرمايه گذاري در شركتها'!G106</f>
        <v>0</v>
      </c>
      <c r="Q116" s="1779"/>
      <c r="R116" s="2258"/>
      <c r="T116" s="510"/>
      <c r="V116" s="510"/>
      <c r="W116" s="510"/>
      <c r="X116" s="1245">
        <v>4678554140</v>
      </c>
      <c r="Y116" s="96"/>
      <c r="Z116" s="88"/>
      <c r="AC116" s="2224"/>
      <c r="AF116" s="2224">
        <f t="shared" si="18"/>
        <v>9357108280</v>
      </c>
      <c r="AG116" s="2224">
        <f t="shared" si="19"/>
        <v>-4678554140</v>
      </c>
      <c r="AK116" s="2224">
        <f t="shared" si="20"/>
        <v>9357108280</v>
      </c>
      <c r="AL116" s="2224">
        <f t="shared" si="21"/>
        <v>-4678554140</v>
      </c>
      <c r="AP116" s="2224">
        <f t="shared" si="22"/>
        <v>0</v>
      </c>
      <c r="AR116" s="2224">
        <f t="shared" si="17"/>
        <v>4678554140</v>
      </c>
      <c r="AS116" s="2224">
        <f t="shared" si="23"/>
        <v>0</v>
      </c>
      <c r="AU116" s="234"/>
    </row>
    <row r="117" spans="2:47" ht="40.9" customHeight="1" x14ac:dyDescent="0.2">
      <c r="B117" s="3667"/>
      <c r="C117" s="1941" t="s">
        <v>178</v>
      </c>
      <c r="D117" s="1349" t="s">
        <v>179</v>
      </c>
      <c r="E117" s="1245">
        <v>1062171592</v>
      </c>
      <c r="F117" s="1247"/>
      <c r="G117" s="1247"/>
      <c r="H117" s="1245">
        <f t="shared" si="27"/>
        <v>1062171592</v>
      </c>
      <c r="I117" s="1779"/>
      <c r="J117" s="1243">
        <f t="shared" si="26"/>
        <v>0</v>
      </c>
      <c r="K117" s="2258"/>
      <c r="L117" s="2241"/>
      <c r="M117" s="2248"/>
      <c r="N117" s="510"/>
      <c r="O117" s="510"/>
      <c r="P117" s="2248"/>
      <c r="Q117" s="2248"/>
      <c r="R117" s="2241"/>
      <c r="T117" s="510"/>
      <c r="V117" s="510"/>
      <c r="W117" s="510"/>
      <c r="X117" s="1245">
        <v>1062171592</v>
      </c>
      <c r="Y117" s="96"/>
      <c r="Z117" s="88"/>
      <c r="AC117" s="2224"/>
      <c r="AF117" s="2224">
        <f t="shared" si="18"/>
        <v>2124343184</v>
      </c>
      <c r="AG117" s="2224">
        <f t="shared" si="19"/>
        <v>-1062171592</v>
      </c>
      <c r="AK117" s="2224">
        <f t="shared" si="20"/>
        <v>2124343184</v>
      </c>
      <c r="AL117" s="2224">
        <f t="shared" si="21"/>
        <v>-1062171592</v>
      </c>
      <c r="AP117" s="2224">
        <f t="shared" si="22"/>
        <v>0</v>
      </c>
      <c r="AR117" s="2224">
        <f t="shared" si="17"/>
        <v>1062171592</v>
      </c>
      <c r="AS117" s="2224">
        <f t="shared" si="23"/>
        <v>0</v>
      </c>
      <c r="AU117" s="234"/>
    </row>
    <row r="118" spans="2:47" ht="20.45" hidden="1" customHeight="1" x14ac:dyDescent="0.2">
      <c r="B118" s="3667"/>
      <c r="C118" s="1941" t="s">
        <v>168</v>
      </c>
      <c r="D118" s="1197" t="s">
        <v>169</v>
      </c>
      <c r="E118" s="1245"/>
      <c r="F118" s="1247"/>
      <c r="G118" s="1247"/>
      <c r="H118" s="1245">
        <f t="shared" si="27"/>
        <v>0</v>
      </c>
      <c r="I118" s="1779"/>
      <c r="J118" s="1243">
        <f t="shared" si="26"/>
        <v>0</v>
      </c>
      <c r="K118" s="2258"/>
      <c r="L118" s="2241"/>
      <c r="M118" s="2241"/>
      <c r="N118" s="510"/>
      <c r="O118" s="510"/>
      <c r="P118" s="2241"/>
      <c r="Q118" s="2241"/>
      <c r="R118" s="2241"/>
      <c r="T118" s="510"/>
      <c r="V118" s="510"/>
      <c r="W118" s="510"/>
      <c r="X118" s="551"/>
      <c r="Y118" s="96"/>
      <c r="Z118" s="88"/>
      <c r="AC118" s="2224"/>
      <c r="AF118" s="2224">
        <f t="shared" si="18"/>
        <v>0</v>
      </c>
      <c r="AG118" s="2224">
        <f t="shared" si="19"/>
        <v>0</v>
      </c>
      <c r="AK118" s="2224">
        <f t="shared" si="20"/>
        <v>0</v>
      </c>
      <c r="AL118" s="2224">
        <f t="shared" si="21"/>
        <v>0</v>
      </c>
      <c r="AP118" s="2224">
        <f t="shared" si="22"/>
        <v>0</v>
      </c>
      <c r="AR118" s="2224">
        <f t="shared" si="17"/>
        <v>0</v>
      </c>
      <c r="AS118" s="2224">
        <f t="shared" si="23"/>
        <v>0</v>
      </c>
      <c r="AU118" s="234"/>
    </row>
    <row r="119" spans="2:47" ht="22.9" customHeight="1" x14ac:dyDescent="0.2">
      <c r="B119" s="3667"/>
      <c r="C119" s="1941" t="s">
        <v>170</v>
      </c>
      <c r="D119" s="1197" t="s">
        <v>171</v>
      </c>
      <c r="E119" s="1245">
        <v>0</v>
      </c>
      <c r="F119" s="1247">
        <f>-'يادداشت 8سرمايه گذاري در شركتها'!E153</f>
        <v>0</v>
      </c>
      <c r="G119" s="1247"/>
      <c r="H119" s="1245">
        <f>E119+G119+F119</f>
        <v>0</v>
      </c>
      <c r="I119" s="1779"/>
      <c r="J119" s="1243">
        <f t="shared" si="26"/>
        <v>0</v>
      </c>
      <c r="K119" s="2258"/>
      <c r="L119" s="2241"/>
      <c r="M119" s="2241"/>
      <c r="N119" s="510"/>
      <c r="O119" s="510"/>
      <c r="P119" s="2241">
        <f>-'يادداشت 8سرمايه گذاري در شركتها'!G153</f>
        <v>0</v>
      </c>
      <c r="Q119" s="2241"/>
      <c r="R119" s="2241"/>
      <c r="T119" s="510"/>
      <c r="V119" s="510"/>
      <c r="W119" s="510"/>
      <c r="X119" s="551"/>
      <c r="Y119" s="231"/>
      <c r="Z119" s="2236"/>
      <c r="AC119" s="2224"/>
      <c r="AF119" s="2224">
        <f t="shared" si="18"/>
        <v>0</v>
      </c>
      <c r="AG119" s="2224">
        <f t="shared" si="19"/>
        <v>0</v>
      </c>
      <c r="AK119" s="2224">
        <f t="shared" si="20"/>
        <v>0</v>
      </c>
      <c r="AL119" s="2224">
        <f t="shared" si="21"/>
        <v>0</v>
      </c>
      <c r="AP119" s="2224">
        <f t="shared" si="22"/>
        <v>0</v>
      </c>
      <c r="AR119" s="2224">
        <f t="shared" si="17"/>
        <v>0</v>
      </c>
      <c r="AS119" s="2224">
        <f t="shared" si="23"/>
        <v>0</v>
      </c>
      <c r="AU119" s="234"/>
    </row>
    <row r="120" spans="2:47" ht="22.9" customHeight="1" x14ac:dyDescent="0.2">
      <c r="B120" s="3668"/>
      <c r="C120" s="1941" t="s">
        <v>172</v>
      </c>
      <c r="D120" s="1197" t="s">
        <v>173</v>
      </c>
      <c r="E120" s="1245">
        <v>5923961972</v>
      </c>
      <c r="F120" s="1264"/>
      <c r="G120" s="1264"/>
      <c r="H120" s="1245">
        <f t="shared" si="27"/>
        <v>5923961972</v>
      </c>
      <c r="I120" s="1779"/>
      <c r="J120" s="1243">
        <f t="shared" si="26"/>
        <v>0</v>
      </c>
      <c r="K120" s="2258"/>
      <c r="L120" s="2241"/>
      <c r="M120" s="2241"/>
      <c r="N120" s="510"/>
      <c r="O120" s="1246"/>
      <c r="P120" s="2241"/>
      <c r="Q120" s="2241"/>
      <c r="R120" s="2241"/>
      <c r="T120" s="510"/>
      <c r="V120" s="1246"/>
      <c r="W120" s="1246"/>
      <c r="X120" s="1245">
        <v>5923961972</v>
      </c>
      <c r="Y120" s="231"/>
      <c r="Z120" s="2236"/>
      <c r="AC120" s="2224"/>
      <c r="AF120" s="2224">
        <f t="shared" si="18"/>
        <v>11847923944</v>
      </c>
      <c r="AG120" s="2224">
        <f t="shared" si="19"/>
        <v>-5923961972</v>
      </c>
      <c r="AK120" s="2224">
        <f t="shared" si="20"/>
        <v>11847923944</v>
      </c>
      <c r="AL120" s="2224">
        <f t="shared" si="21"/>
        <v>-5923961972</v>
      </c>
      <c r="AP120" s="2224">
        <f t="shared" si="22"/>
        <v>0</v>
      </c>
      <c r="AR120" s="2224">
        <f t="shared" si="17"/>
        <v>5923961972</v>
      </c>
      <c r="AS120" s="2224">
        <f t="shared" si="23"/>
        <v>0</v>
      </c>
      <c r="AU120" s="234"/>
    </row>
    <row r="121" spans="2:47" ht="22.9" customHeight="1" x14ac:dyDescent="0.2">
      <c r="B121" s="3577" t="s">
        <v>94</v>
      </c>
      <c r="C121" s="3577"/>
      <c r="D121" s="3577"/>
      <c r="E121" s="1249">
        <f>SUM(E99:E120)</f>
        <v>18823743813667</v>
      </c>
      <c r="F121" s="1249">
        <f>SUM(F99:F120)</f>
        <v>0</v>
      </c>
      <c r="G121" s="1249">
        <f>SUM(G99:G120)</f>
        <v>0</v>
      </c>
      <c r="H121" s="1249">
        <f>SUM(H99:H120)</f>
        <v>18823743813667</v>
      </c>
      <c r="I121" s="1250">
        <f t="shared" ref="I121:X121" si="28">SUM(I99:I120)</f>
        <v>0</v>
      </c>
      <c r="J121" s="1250">
        <f t="shared" si="28"/>
        <v>9598165170599</v>
      </c>
      <c r="K121" s="1250">
        <f t="shared" si="28"/>
        <v>0</v>
      </c>
      <c r="L121" s="1250">
        <f t="shared" si="28"/>
        <v>0</v>
      </c>
      <c r="M121" s="1250">
        <f t="shared" si="28"/>
        <v>0</v>
      </c>
      <c r="N121" s="1250">
        <f t="shared" si="28"/>
        <v>288735733351</v>
      </c>
      <c r="O121" s="1250">
        <f t="shared" si="28"/>
        <v>301463199453</v>
      </c>
      <c r="P121" s="1250">
        <f t="shared" si="28"/>
        <v>-27402051545</v>
      </c>
      <c r="Q121" s="1250">
        <f t="shared" si="28"/>
        <v>-1059914866015</v>
      </c>
      <c r="R121" s="1250">
        <f t="shared" si="28"/>
        <v>0</v>
      </c>
      <c r="S121" s="1250">
        <f t="shared" si="28"/>
        <v>0</v>
      </c>
      <c r="T121" s="1250">
        <f t="shared" si="28"/>
        <v>0</v>
      </c>
      <c r="U121" s="1250">
        <f t="shared" si="28"/>
        <v>0</v>
      </c>
      <c r="V121" s="1250">
        <f>SUM(V99:V120)</f>
        <v>-34494372912</v>
      </c>
      <c r="W121" s="1250">
        <f t="shared" si="28"/>
        <v>597070354845</v>
      </c>
      <c r="X121" s="1251">
        <f t="shared" si="28"/>
        <v>28487366981443</v>
      </c>
      <c r="Y121" s="241" t="e">
        <f>#N/A</f>
        <v>#N/A</v>
      </c>
      <c r="Z121" s="241" t="e">
        <f>#N/A</f>
        <v>#N/A</v>
      </c>
      <c r="AA121" s="241" t="e">
        <f>#N/A</f>
        <v>#N/A</v>
      </c>
      <c r="AC121" s="2224"/>
      <c r="AF121" s="2224">
        <f t="shared" si="18"/>
        <v>47311110795110</v>
      </c>
      <c r="AG121" s="2224">
        <f t="shared" si="19"/>
        <v>-18823743813667</v>
      </c>
      <c r="AK121" s="2224">
        <f t="shared" si="20"/>
        <v>47345605168022</v>
      </c>
      <c r="AL121" s="2224">
        <f t="shared" si="21"/>
        <v>-18858238186579</v>
      </c>
      <c r="AP121" s="2224">
        <f t="shared" si="22"/>
        <v>0</v>
      </c>
      <c r="AR121" s="2224">
        <f t="shared" si="17"/>
        <v>28487366981443</v>
      </c>
      <c r="AS121" s="2224">
        <f t="shared" si="23"/>
        <v>0</v>
      </c>
      <c r="AU121" s="241">
        <f>SUM(AU99:AU120)</f>
        <v>-359723000000</v>
      </c>
    </row>
    <row r="122" spans="2:47" ht="18.75" customHeight="1" x14ac:dyDescent="0.2">
      <c r="B122" s="2135"/>
      <c r="C122" s="2135"/>
      <c r="D122" s="1202"/>
      <c r="E122" s="1272"/>
      <c r="F122" s="1272"/>
      <c r="G122" s="1272"/>
      <c r="H122" s="1272"/>
      <c r="I122" s="1273"/>
      <c r="J122" s="1273"/>
      <c r="K122" s="1273"/>
      <c r="L122" s="1273"/>
      <c r="M122" s="1273"/>
      <c r="N122" s="1273"/>
      <c r="O122" s="1273"/>
      <c r="P122" s="1273"/>
      <c r="Q122" s="1273"/>
      <c r="R122" s="1273"/>
      <c r="S122" s="1273"/>
      <c r="T122" s="1273"/>
      <c r="U122" s="1273"/>
      <c r="V122" s="1273"/>
      <c r="W122" s="1273"/>
      <c r="X122" s="1274"/>
      <c r="Y122" s="246"/>
      <c r="Z122" s="246"/>
      <c r="AA122" s="246"/>
      <c r="AC122" s="2224"/>
      <c r="AF122" s="2224">
        <f t="shared" si="18"/>
        <v>0</v>
      </c>
      <c r="AG122" s="2224">
        <f t="shared" si="19"/>
        <v>0</v>
      </c>
      <c r="AK122" s="2224">
        <f t="shared" si="20"/>
        <v>0</v>
      </c>
      <c r="AL122" s="2224">
        <f t="shared" si="21"/>
        <v>0</v>
      </c>
      <c r="AP122" s="2224">
        <f t="shared" si="22"/>
        <v>0</v>
      </c>
      <c r="AR122" s="2224">
        <f t="shared" si="17"/>
        <v>0</v>
      </c>
      <c r="AS122" s="2224">
        <f t="shared" si="23"/>
        <v>0</v>
      </c>
      <c r="AU122" s="246"/>
    </row>
    <row r="123" spans="2:47" ht="18.75" customHeight="1" x14ac:dyDescent="0.2">
      <c r="B123" s="2135"/>
      <c r="C123" s="2135"/>
      <c r="D123" s="1202"/>
      <c r="E123" s="1272"/>
      <c r="F123" s="1272"/>
      <c r="G123" s="1272"/>
      <c r="H123" s="1272"/>
      <c r="I123" s="1273"/>
      <c r="J123" s="1273"/>
      <c r="K123" s="1273"/>
      <c r="L123" s="1273"/>
      <c r="M123" s="1273"/>
      <c r="N123" s="1273"/>
      <c r="O123" s="1273"/>
      <c r="P123" s="1273"/>
      <c r="Q123" s="1273"/>
      <c r="R123" s="1273"/>
      <c r="S123" s="1273"/>
      <c r="T123" s="1273"/>
      <c r="U123" s="1273"/>
      <c r="V123" s="1273"/>
      <c r="W123" s="1273"/>
      <c r="X123" s="1274"/>
      <c r="Y123" s="246"/>
      <c r="Z123" s="246"/>
      <c r="AA123" s="246"/>
      <c r="AC123" s="2224"/>
      <c r="AF123" s="2224"/>
      <c r="AG123" s="2224"/>
      <c r="AK123" s="2224"/>
      <c r="AL123" s="2224"/>
      <c r="AP123" s="2224"/>
      <c r="AR123" s="2224">
        <f t="shared" si="17"/>
        <v>0</v>
      </c>
      <c r="AS123" s="2224"/>
      <c r="AU123" s="246"/>
    </row>
    <row r="124" spans="2:47" ht="18.75" customHeight="1" x14ac:dyDescent="0.2">
      <c r="B124" s="2135"/>
      <c r="C124" s="2135"/>
      <c r="D124" s="1202"/>
      <c r="E124" s="1272"/>
      <c r="F124" s="1272"/>
      <c r="G124" s="1272"/>
      <c r="H124" s="1272"/>
      <c r="I124" s="1273"/>
      <c r="J124" s="1273"/>
      <c r="K124" s="1273"/>
      <c r="L124" s="1273"/>
      <c r="M124" s="1273"/>
      <c r="N124" s="1273"/>
      <c r="O124" s="1273"/>
      <c r="P124" s="1273"/>
      <c r="Q124" s="1273"/>
      <c r="R124" s="1273"/>
      <c r="S124" s="1273"/>
      <c r="T124" s="1273"/>
      <c r="U124" s="1273"/>
      <c r="V124" s="1273"/>
      <c r="W124" s="1273"/>
      <c r="X124" s="1274"/>
      <c r="Y124" s="246"/>
      <c r="Z124" s="246"/>
      <c r="AA124" s="246"/>
      <c r="AC124" s="2224"/>
      <c r="AF124" s="2224"/>
      <c r="AG124" s="2224"/>
      <c r="AK124" s="2224"/>
      <c r="AL124" s="2224"/>
      <c r="AP124" s="2224"/>
      <c r="AR124" s="2224">
        <f t="shared" si="17"/>
        <v>0</v>
      </c>
      <c r="AS124" s="2224"/>
      <c r="AU124" s="246"/>
    </row>
    <row r="125" spans="2:47" ht="15.75" customHeight="1" x14ac:dyDescent="0.2">
      <c r="B125" s="3660" t="s">
        <v>1002</v>
      </c>
      <c r="C125" s="3660"/>
      <c r="D125" s="3660"/>
      <c r="E125" s="3660"/>
      <c r="F125" s="3660"/>
      <c r="G125" s="3660"/>
      <c r="H125" s="3660"/>
      <c r="I125" s="3660"/>
      <c r="J125" s="3660"/>
      <c r="K125" s="3660"/>
      <c r="L125" s="3660"/>
      <c r="M125" s="3660"/>
      <c r="N125" s="3660"/>
      <c r="O125" s="3660"/>
      <c r="P125" s="3660"/>
      <c r="Q125" s="3660"/>
      <c r="R125" s="3660"/>
      <c r="S125" s="3660"/>
      <c r="T125" s="3660"/>
      <c r="U125" s="3660"/>
      <c r="V125" s="3660"/>
      <c r="W125" s="3660"/>
      <c r="X125" s="3660"/>
      <c r="Y125" s="91"/>
      <c r="Z125" s="2224"/>
      <c r="AC125" s="2224"/>
      <c r="AF125" s="2224">
        <f t="shared" si="18"/>
        <v>0</v>
      </c>
      <c r="AG125" s="2224">
        <f t="shared" si="19"/>
        <v>0</v>
      </c>
      <c r="AK125" s="2224">
        <f t="shared" si="20"/>
        <v>0</v>
      </c>
      <c r="AL125" s="2224">
        <f t="shared" si="21"/>
        <v>0</v>
      </c>
      <c r="AP125" s="2224">
        <f t="shared" si="22"/>
        <v>0</v>
      </c>
      <c r="AR125" s="2224">
        <f t="shared" si="17"/>
        <v>0</v>
      </c>
      <c r="AS125" s="2224">
        <f t="shared" si="23"/>
        <v>0</v>
      </c>
    </row>
    <row r="126" spans="2:47" ht="18" customHeight="1" x14ac:dyDescent="0.2">
      <c r="B126" s="3574" t="s">
        <v>32</v>
      </c>
      <c r="C126" s="3574"/>
      <c r="D126" s="3574"/>
      <c r="E126" s="3574"/>
      <c r="F126" s="3574"/>
      <c r="G126" s="3574"/>
      <c r="H126" s="3574"/>
      <c r="I126" s="3574"/>
      <c r="J126" s="3574"/>
      <c r="K126" s="3574"/>
      <c r="L126" s="3574"/>
      <c r="M126" s="3574"/>
      <c r="N126" s="3574"/>
      <c r="O126" s="3574"/>
      <c r="P126" s="3574"/>
      <c r="Q126" s="3574"/>
      <c r="R126" s="3574"/>
      <c r="S126" s="3574"/>
      <c r="T126" s="3574"/>
      <c r="U126" s="3574"/>
      <c r="V126" s="3574"/>
      <c r="W126" s="3574"/>
      <c r="X126" s="3574"/>
      <c r="Y126" s="3574"/>
      <c r="Z126" s="3574"/>
      <c r="AA126" s="3574"/>
      <c r="AC126" s="2224"/>
      <c r="AF126" s="2224">
        <f t="shared" si="18"/>
        <v>0</v>
      </c>
      <c r="AG126" s="2224">
        <f t="shared" si="19"/>
        <v>0</v>
      </c>
      <c r="AK126" s="2224">
        <f t="shared" si="20"/>
        <v>0</v>
      </c>
      <c r="AL126" s="2224">
        <f t="shared" si="21"/>
        <v>0</v>
      </c>
      <c r="AP126" s="2224">
        <f t="shared" si="22"/>
        <v>0</v>
      </c>
      <c r="AR126" s="2224">
        <f t="shared" si="17"/>
        <v>0</v>
      </c>
      <c r="AS126" s="2224">
        <f t="shared" si="23"/>
        <v>0</v>
      </c>
    </row>
    <row r="127" spans="2:47" ht="18" customHeight="1" x14ac:dyDescent="0.2">
      <c r="B127" s="3574" t="s">
        <v>45</v>
      </c>
      <c r="C127" s="3574"/>
      <c r="D127" s="3574"/>
      <c r="E127" s="3574"/>
      <c r="F127" s="3574"/>
      <c r="G127" s="3574"/>
      <c r="H127" s="3574"/>
      <c r="I127" s="3574"/>
      <c r="J127" s="3574"/>
      <c r="K127" s="3574"/>
      <c r="L127" s="3574"/>
      <c r="M127" s="3574"/>
      <c r="N127" s="3574"/>
      <c r="O127" s="3574"/>
      <c r="P127" s="3574"/>
      <c r="Q127" s="3574"/>
      <c r="R127" s="3574"/>
      <c r="S127" s="3574"/>
      <c r="T127" s="3574"/>
      <c r="U127" s="3574"/>
      <c r="V127" s="3574"/>
      <c r="W127" s="3574"/>
      <c r="X127" s="3574"/>
      <c r="Y127" s="3574"/>
      <c r="Z127" s="3574"/>
      <c r="AA127" s="3574"/>
      <c r="AC127" s="2224"/>
      <c r="AF127" s="2224">
        <f t="shared" si="18"/>
        <v>0</v>
      </c>
      <c r="AG127" s="2224">
        <f t="shared" si="19"/>
        <v>0</v>
      </c>
      <c r="AK127" s="2224">
        <f t="shared" si="20"/>
        <v>0</v>
      </c>
      <c r="AL127" s="2224">
        <f t="shared" si="21"/>
        <v>0</v>
      </c>
      <c r="AP127" s="2224">
        <f t="shared" si="22"/>
        <v>0</v>
      </c>
      <c r="AR127" s="2224">
        <f t="shared" si="17"/>
        <v>0</v>
      </c>
      <c r="AS127" s="2224">
        <f t="shared" si="23"/>
        <v>0</v>
      </c>
    </row>
    <row r="128" spans="2:47" ht="18" customHeight="1" x14ac:dyDescent="0.2">
      <c r="B128" s="3574" t="s">
        <v>46</v>
      </c>
      <c r="C128" s="3574"/>
      <c r="D128" s="3574"/>
      <c r="E128" s="3574"/>
      <c r="F128" s="3574"/>
      <c r="G128" s="3574"/>
      <c r="H128" s="3574"/>
      <c r="I128" s="3574"/>
      <c r="J128" s="3574"/>
      <c r="K128" s="3574"/>
      <c r="L128" s="3574"/>
      <c r="M128" s="3574"/>
      <c r="N128" s="3574"/>
      <c r="O128" s="3574"/>
      <c r="P128" s="3574"/>
      <c r="Q128" s="3574"/>
      <c r="R128" s="3574"/>
      <c r="S128" s="3574"/>
      <c r="T128" s="3574"/>
      <c r="U128" s="3574"/>
      <c r="V128" s="3574"/>
      <c r="W128" s="3574"/>
      <c r="X128" s="3574"/>
      <c r="Y128" s="3574"/>
      <c r="Z128" s="3574"/>
      <c r="AA128" s="3574"/>
      <c r="AC128" s="2224"/>
      <c r="AF128" s="2224">
        <f t="shared" si="18"/>
        <v>0</v>
      </c>
      <c r="AG128" s="2224">
        <f t="shared" si="19"/>
        <v>0</v>
      </c>
      <c r="AK128" s="2224">
        <f t="shared" si="20"/>
        <v>0</v>
      </c>
      <c r="AL128" s="2224">
        <f t="shared" si="21"/>
        <v>0</v>
      </c>
      <c r="AP128" s="2224">
        <f t="shared" si="22"/>
        <v>0</v>
      </c>
      <c r="AR128" s="2224">
        <f t="shared" si="17"/>
        <v>0</v>
      </c>
      <c r="AS128" s="2224">
        <f t="shared" si="23"/>
        <v>0</v>
      </c>
    </row>
    <row r="129" spans="2:47" ht="18" customHeight="1" x14ac:dyDescent="0.2">
      <c r="B129" s="3572" t="s">
        <v>1992</v>
      </c>
      <c r="C129" s="3572"/>
      <c r="D129" s="3572"/>
      <c r="E129" s="3572"/>
      <c r="F129" s="3572"/>
      <c r="G129" s="3572"/>
      <c r="H129" s="3572"/>
      <c r="I129" s="3572"/>
      <c r="J129" s="3572"/>
      <c r="K129" s="3572"/>
      <c r="L129" s="3572"/>
      <c r="M129" s="3572"/>
      <c r="N129" s="3572"/>
      <c r="O129" s="3572"/>
      <c r="P129" s="3572"/>
      <c r="Q129" s="3572"/>
      <c r="R129" s="3572"/>
      <c r="S129" s="3572"/>
      <c r="T129" s="3572"/>
      <c r="U129" s="3572"/>
      <c r="V129" s="3572"/>
      <c r="W129" s="3572"/>
      <c r="X129" s="3572"/>
      <c r="Y129" s="3572"/>
      <c r="Z129" s="3572"/>
      <c r="AA129" s="3572"/>
      <c r="AC129" s="2224"/>
      <c r="AF129" s="2224">
        <f t="shared" si="18"/>
        <v>0</v>
      </c>
      <c r="AG129" s="2224">
        <f t="shared" si="19"/>
        <v>0</v>
      </c>
      <c r="AK129" s="2224">
        <f t="shared" si="20"/>
        <v>0</v>
      </c>
      <c r="AL129" s="2224">
        <f t="shared" si="21"/>
        <v>0</v>
      </c>
      <c r="AP129" s="2224">
        <f t="shared" si="22"/>
        <v>0</v>
      </c>
      <c r="AR129" s="2224">
        <f t="shared" si="17"/>
        <v>0</v>
      </c>
      <c r="AS129" s="2224">
        <f t="shared" si="23"/>
        <v>0</v>
      </c>
    </row>
    <row r="130" spans="2:47" ht="14.25" customHeight="1" x14ac:dyDescent="0.2">
      <c r="B130" s="3664" t="s">
        <v>894</v>
      </c>
      <c r="C130" s="3672"/>
      <c r="D130" s="3672"/>
      <c r="E130" s="1252"/>
      <c r="F130" s="1252"/>
      <c r="G130" s="1252"/>
      <c r="H130" s="1252"/>
      <c r="I130" s="2239"/>
      <c r="J130" s="2239"/>
      <c r="K130" s="2239"/>
      <c r="L130" s="2239"/>
      <c r="M130" s="2239"/>
      <c r="N130" s="2239"/>
      <c r="O130" s="2239"/>
      <c r="P130" s="2239"/>
      <c r="Q130" s="2239"/>
      <c r="R130" s="2239"/>
      <c r="S130" s="2239"/>
      <c r="T130" s="2239"/>
      <c r="U130" s="2239"/>
      <c r="V130" s="2239"/>
      <c r="W130" s="3665" t="s">
        <v>338</v>
      </c>
      <c r="X130" s="3665"/>
      <c r="Y130" s="2240"/>
      <c r="Z130" s="2240"/>
      <c r="AA130" s="2240"/>
      <c r="AC130" s="2224"/>
      <c r="AF130" s="2224">
        <f t="shared" si="18"/>
        <v>0</v>
      </c>
      <c r="AG130" s="2224">
        <f t="shared" si="19"/>
        <v>0</v>
      </c>
      <c r="AK130" s="2224" t="e">
        <f t="shared" si="20"/>
        <v>#VALUE!</v>
      </c>
      <c r="AL130" s="2224" t="e">
        <f t="shared" si="21"/>
        <v>#VALUE!</v>
      </c>
      <c r="AP130" s="2224" t="e">
        <f t="shared" si="22"/>
        <v>#VALUE!</v>
      </c>
      <c r="AR130" s="2224" t="e">
        <f t="shared" si="17"/>
        <v>#VALUE!</v>
      </c>
      <c r="AS130" s="2224" t="e">
        <f t="shared" si="23"/>
        <v>#VALUE!</v>
      </c>
      <c r="AU130" s="2240"/>
    </row>
    <row r="131" spans="2:47" ht="31.9" customHeight="1" x14ac:dyDescent="0.2">
      <c r="B131" s="3666" t="s">
        <v>419</v>
      </c>
      <c r="C131" s="3659" t="s">
        <v>196</v>
      </c>
      <c r="D131" s="3677" t="s">
        <v>197</v>
      </c>
      <c r="E131" s="3647" t="s">
        <v>1391</v>
      </c>
      <c r="F131" s="3682" t="s">
        <v>1116</v>
      </c>
      <c r="G131" s="3682"/>
      <c r="H131" s="3662" t="s">
        <v>1993</v>
      </c>
      <c r="I131" s="3650" t="s">
        <v>1244</v>
      </c>
      <c r="J131" s="3650"/>
      <c r="K131" s="2216" t="s">
        <v>340</v>
      </c>
      <c r="L131" s="2216"/>
      <c r="M131" s="2216"/>
      <c r="N131" s="3661" t="s">
        <v>341</v>
      </c>
      <c r="O131" s="3661"/>
      <c r="P131" s="3651" t="s">
        <v>1012</v>
      </c>
      <c r="Q131" s="3652"/>
      <c r="R131" s="3652"/>
      <c r="S131" s="3652"/>
      <c r="T131" s="3653"/>
      <c r="U131" s="2217"/>
      <c r="V131" s="3650" t="s">
        <v>1334</v>
      </c>
      <c r="W131" s="3649" t="s">
        <v>898</v>
      </c>
      <c r="X131" s="3648" t="s">
        <v>1986</v>
      </c>
      <c r="Y131" s="2240"/>
      <c r="Z131" s="2240"/>
      <c r="AA131" s="2240"/>
      <c r="AC131" s="2224"/>
      <c r="AF131" s="2224">
        <f t="shared" si="18"/>
        <v>0</v>
      </c>
      <c r="AG131" s="2224" t="e">
        <f t="shared" si="19"/>
        <v>#VALUE!</v>
      </c>
      <c r="AK131" s="2224" t="e">
        <f t="shared" si="20"/>
        <v>#VALUE!</v>
      </c>
      <c r="AL131" s="2224" t="e">
        <f t="shared" si="21"/>
        <v>#VALUE!</v>
      </c>
      <c r="AP131" s="2224" t="e">
        <f t="shared" si="22"/>
        <v>#VALUE!</v>
      </c>
      <c r="AR131" s="2224" t="e">
        <f t="shared" si="17"/>
        <v>#VALUE!</v>
      </c>
      <c r="AS131" s="2224" t="e">
        <f t="shared" si="23"/>
        <v>#VALUE!</v>
      </c>
    </row>
    <row r="132" spans="2:47" ht="72" customHeight="1" x14ac:dyDescent="0.2">
      <c r="B132" s="3666"/>
      <c r="C132" s="3659"/>
      <c r="D132" s="3677"/>
      <c r="E132" s="3647"/>
      <c r="F132" s="1409" t="s">
        <v>1955</v>
      </c>
      <c r="G132" s="1409" t="s">
        <v>1956</v>
      </c>
      <c r="H132" s="3662"/>
      <c r="I132" s="3650"/>
      <c r="J132" s="3650"/>
      <c r="K132" s="2220" t="s">
        <v>315</v>
      </c>
      <c r="L132" s="2220" t="s">
        <v>891</v>
      </c>
      <c r="M132" s="2216" t="s">
        <v>314</v>
      </c>
      <c r="N132" s="2216" t="s">
        <v>1076</v>
      </c>
      <c r="O132" s="2216" t="s">
        <v>18</v>
      </c>
      <c r="P132" s="2220" t="s">
        <v>892</v>
      </c>
      <c r="Q132" s="2220" t="s">
        <v>826</v>
      </c>
      <c r="R132" s="2220" t="s">
        <v>315</v>
      </c>
      <c r="S132" s="2216"/>
      <c r="T132" s="2216" t="s">
        <v>1180</v>
      </c>
      <c r="U132" s="2216"/>
      <c r="V132" s="3650"/>
      <c r="W132" s="3649"/>
      <c r="X132" s="3648"/>
      <c r="Y132" s="2240"/>
      <c r="Z132" s="2240"/>
      <c r="AA132" s="2240"/>
      <c r="AC132" s="2224"/>
      <c r="AF132" s="2224">
        <f t="shared" si="18"/>
        <v>0</v>
      </c>
      <c r="AG132" s="2224">
        <f t="shared" si="19"/>
        <v>0</v>
      </c>
      <c r="AK132" s="2224" t="e">
        <f t="shared" si="20"/>
        <v>#VALUE!</v>
      </c>
      <c r="AL132" s="2224" t="e">
        <f t="shared" si="21"/>
        <v>#VALUE!</v>
      </c>
      <c r="AP132" s="2224" t="e">
        <f t="shared" si="22"/>
        <v>#VALUE!</v>
      </c>
      <c r="AR132" s="2224" t="e">
        <f t="shared" si="17"/>
        <v>#VALUE!</v>
      </c>
      <c r="AS132" s="2224" t="e">
        <f t="shared" si="23"/>
        <v>#VALUE!</v>
      </c>
      <c r="AU132" s="2221" t="s">
        <v>1180</v>
      </c>
    </row>
    <row r="133" spans="2:47" ht="17.45" customHeight="1" x14ac:dyDescent="0.2">
      <c r="B133" s="3654" t="s">
        <v>180</v>
      </c>
      <c r="C133" s="3669" t="s">
        <v>181</v>
      </c>
      <c r="D133" s="3670"/>
      <c r="E133" s="1280">
        <f>E121</f>
        <v>18823743813667</v>
      </c>
      <c r="F133" s="1280">
        <f>F121</f>
        <v>0</v>
      </c>
      <c r="G133" s="1280">
        <f t="shared" ref="G133:X133" si="29">G121</f>
        <v>0</v>
      </c>
      <c r="H133" s="1280">
        <f>H121</f>
        <v>18823743813667</v>
      </c>
      <c r="I133" s="1780">
        <f t="shared" si="29"/>
        <v>0</v>
      </c>
      <c r="J133" s="1780">
        <f t="shared" si="29"/>
        <v>9598165170599</v>
      </c>
      <c r="K133" s="1780">
        <f t="shared" si="29"/>
        <v>0</v>
      </c>
      <c r="L133" s="1780">
        <f t="shared" si="29"/>
        <v>0</v>
      </c>
      <c r="M133" s="1780">
        <f t="shared" si="29"/>
        <v>0</v>
      </c>
      <c r="N133" s="1780">
        <f t="shared" si="29"/>
        <v>288735733351</v>
      </c>
      <c r="O133" s="1780">
        <f t="shared" si="29"/>
        <v>301463199453</v>
      </c>
      <c r="P133" s="1780">
        <f t="shared" si="29"/>
        <v>-27402051545</v>
      </c>
      <c r="Q133" s="1780">
        <f t="shared" si="29"/>
        <v>-1059914866015</v>
      </c>
      <c r="R133" s="1780">
        <f t="shared" si="29"/>
        <v>0</v>
      </c>
      <c r="S133" s="1780">
        <f t="shared" si="29"/>
        <v>0</v>
      </c>
      <c r="T133" s="1780">
        <f t="shared" si="29"/>
        <v>0</v>
      </c>
      <c r="U133" s="1780">
        <f t="shared" si="29"/>
        <v>0</v>
      </c>
      <c r="V133" s="1780">
        <f t="shared" si="29"/>
        <v>-34494372912</v>
      </c>
      <c r="W133" s="1780">
        <f t="shared" si="29"/>
        <v>597070354845</v>
      </c>
      <c r="X133" s="1774">
        <f t="shared" si="29"/>
        <v>28487366981443</v>
      </c>
      <c r="Y133" s="1771" t="e">
        <f>Y121</f>
        <v>#N/A</v>
      </c>
      <c r="Z133" s="1771" t="e">
        <f>Z121</f>
        <v>#N/A</v>
      </c>
      <c r="AA133" s="1771" t="e">
        <f>AA121</f>
        <v>#N/A</v>
      </c>
      <c r="AC133" s="2224"/>
      <c r="AF133" s="2224">
        <f t="shared" si="18"/>
        <v>47311110795110</v>
      </c>
      <c r="AG133" s="2224">
        <f t="shared" si="19"/>
        <v>-18823743813667</v>
      </c>
      <c r="AK133" s="2224">
        <f t="shared" si="20"/>
        <v>47345605168022</v>
      </c>
      <c r="AL133" s="2224">
        <f t="shared" si="21"/>
        <v>-18858238186579</v>
      </c>
      <c r="AP133" s="2224">
        <f t="shared" si="22"/>
        <v>0</v>
      </c>
      <c r="AR133" s="2224">
        <f t="shared" si="17"/>
        <v>28487366981443</v>
      </c>
      <c r="AS133" s="2224">
        <f t="shared" si="23"/>
        <v>0</v>
      </c>
      <c r="AU133" s="1771">
        <f>AU121</f>
        <v>-359723000000</v>
      </c>
    </row>
    <row r="134" spans="2:47" ht="18.600000000000001" customHeight="1" x14ac:dyDescent="0.2">
      <c r="B134" s="3654"/>
      <c r="C134" s="2156" t="s">
        <v>174</v>
      </c>
      <c r="D134" s="1206" t="s">
        <v>175</v>
      </c>
      <c r="E134" s="1255">
        <v>4622224292</v>
      </c>
      <c r="F134" s="1255"/>
      <c r="G134" s="1255"/>
      <c r="H134" s="1255">
        <f>E134+G134+F134</f>
        <v>4622224292</v>
      </c>
      <c r="I134" s="2259"/>
      <c r="J134" s="510">
        <f t="shared" ref="J134:J151" si="30">X134-O134-N134-P134-Q134-K134-R134-W134-E134-T134-I134-V134-F134-G134</f>
        <v>0</v>
      </c>
      <c r="K134" s="2258"/>
      <c r="L134" s="2241"/>
      <c r="M134" s="2241"/>
      <c r="N134" s="510"/>
      <c r="O134" s="240"/>
      <c r="P134" s="2241"/>
      <c r="Q134" s="2241"/>
      <c r="R134" s="2241"/>
      <c r="T134" s="1248"/>
      <c r="V134" s="240"/>
      <c r="W134" s="240"/>
      <c r="X134" s="1257">
        <v>4622224292</v>
      </c>
      <c r="Y134" s="2240"/>
      <c r="Z134" s="2240"/>
      <c r="AA134" s="2240"/>
      <c r="AC134" s="2224"/>
      <c r="AF134" s="2224">
        <f t="shared" si="18"/>
        <v>9244448584</v>
      </c>
      <c r="AG134" s="2224">
        <f t="shared" si="19"/>
        <v>-4622224292</v>
      </c>
      <c r="AK134" s="2224">
        <f t="shared" si="20"/>
        <v>9244448584</v>
      </c>
      <c r="AL134" s="2224">
        <f t="shared" si="21"/>
        <v>-4622224292</v>
      </c>
      <c r="AP134" s="2224">
        <f t="shared" si="22"/>
        <v>0</v>
      </c>
      <c r="AR134" s="2224">
        <f t="shared" si="17"/>
        <v>4622224292</v>
      </c>
      <c r="AS134" s="2224">
        <f t="shared" si="23"/>
        <v>0</v>
      </c>
      <c r="AU134" s="239"/>
    </row>
    <row r="135" spans="2:47" ht="18.600000000000001" customHeight="1" x14ac:dyDescent="0.2">
      <c r="B135" s="3654"/>
      <c r="C135" s="2156" t="s">
        <v>120</v>
      </c>
      <c r="D135" s="1206" t="s">
        <v>121</v>
      </c>
      <c r="E135" s="1255">
        <v>685667903</v>
      </c>
      <c r="F135" s="1255"/>
      <c r="G135" s="1255"/>
      <c r="H135" s="1255">
        <f t="shared" ref="H135:H152" si="31">E135+G135+F135</f>
        <v>685667903</v>
      </c>
      <c r="I135" s="2260"/>
      <c r="J135" s="510">
        <f t="shared" si="30"/>
        <v>0</v>
      </c>
      <c r="K135" s="2258"/>
      <c r="L135" s="2241"/>
      <c r="M135" s="2241"/>
      <c r="N135" s="510"/>
      <c r="O135" s="240"/>
      <c r="P135" s="2241"/>
      <c r="Q135" s="2241"/>
      <c r="R135" s="2241"/>
      <c r="T135" s="1248"/>
      <c r="V135" s="240"/>
      <c r="W135" s="1823"/>
      <c r="X135" s="1255">
        <v>685667903</v>
      </c>
      <c r="Y135" s="2240"/>
      <c r="Z135" s="2240"/>
      <c r="AA135" s="2240"/>
      <c r="AC135" s="2224"/>
      <c r="AF135" s="2224">
        <f t="shared" si="18"/>
        <v>1371335806</v>
      </c>
      <c r="AG135" s="2224">
        <f t="shared" si="19"/>
        <v>-685667903</v>
      </c>
      <c r="AK135" s="2224">
        <f t="shared" si="20"/>
        <v>1371335806</v>
      </c>
      <c r="AL135" s="2224">
        <f t="shared" si="21"/>
        <v>-685667903</v>
      </c>
      <c r="AP135" s="2224">
        <f t="shared" si="22"/>
        <v>0</v>
      </c>
      <c r="AR135" s="2224">
        <f t="shared" si="17"/>
        <v>685667903</v>
      </c>
      <c r="AS135" s="2224">
        <f t="shared" si="23"/>
        <v>0</v>
      </c>
      <c r="AU135" s="239"/>
    </row>
    <row r="136" spans="2:47" ht="18.600000000000001" customHeight="1" x14ac:dyDescent="0.2">
      <c r="B136" s="3654"/>
      <c r="C136" s="2261" t="s">
        <v>81</v>
      </c>
      <c r="D136" s="1410" t="s">
        <v>82</v>
      </c>
      <c r="E136" s="1411">
        <v>4743213943</v>
      </c>
      <c r="F136" s="1411">
        <f>-'يادداشت 8سرمايه گذاري در شركتها'!E122</f>
        <v>0</v>
      </c>
      <c r="G136" s="1411"/>
      <c r="H136" s="1255">
        <f t="shared" si="31"/>
        <v>4743213943</v>
      </c>
      <c r="I136" s="1267"/>
      <c r="J136" s="510">
        <f t="shared" si="30"/>
        <v>0</v>
      </c>
      <c r="K136" s="1766"/>
      <c r="L136" s="1739"/>
      <c r="M136" s="1739"/>
      <c r="N136" s="551"/>
      <c r="O136" s="550"/>
      <c r="P136" s="1739">
        <f>-'يادداشت 8سرمايه گذاري در شركتها'!G122</f>
        <v>0</v>
      </c>
      <c r="Q136" s="1739">
        <f>-'مطالبات بلند مدت دولت ياددا (2)'!G59</f>
        <v>0</v>
      </c>
      <c r="R136" s="1739"/>
      <c r="S136" s="2208"/>
      <c r="T136" s="1281"/>
      <c r="U136" s="2208"/>
      <c r="V136" s="550"/>
      <c r="W136" s="550"/>
      <c r="X136" s="1257">
        <f>4874733943-X443</f>
        <v>4743213943</v>
      </c>
      <c r="Y136" s="2240"/>
      <c r="Z136" s="2240"/>
      <c r="AA136" s="2240"/>
      <c r="AC136" s="2224"/>
      <c r="AF136" s="2224">
        <f t="shared" si="18"/>
        <v>9486427886</v>
      </c>
      <c r="AG136" s="2224">
        <f t="shared" si="19"/>
        <v>-4743213943</v>
      </c>
      <c r="AK136" s="2224">
        <f t="shared" si="20"/>
        <v>9486427886</v>
      </c>
      <c r="AL136" s="2224">
        <f t="shared" si="21"/>
        <v>-4743213943</v>
      </c>
      <c r="AP136" s="2224">
        <f t="shared" si="22"/>
        <v>0</v>
      </c>
      <c r="AR136" s="2224">
        <f t="shared" si="17"/>
        <v>4743213943</v>
      </c>
      <c r="AS136" s="2224">
        <f t="shared" si="23"/>
        <v>0</v>
      </c>
      <c r="AU136" s="271"/>
    </row>
    <row r="137" spans="2:47" ht="18.600000000000001" customHeight="1" x14ac:dyDescent="0.2">
      <c r="B137" s="3654"/>
      <c r="C137" s="2261" t="s">
        <v>1798</v>
      </c>
      <c r="D137" s="1410" t="s">
        <v>1797</v>
      </c>
      <c r="E137" s="1411">
        <v>5157236256</v>
      </c>
      <c r="F137" s="1411">
        <f>-'يادداشت 8سرمايه گذاري در شركتها'!E154</f>
        <v>0</v>
      </c>
      <c r="G137" s="1411"/>
      <c r="H137" s="1255">
        <f t="shared" si="31"/>
        <v>5157236256</v>
      </c>
      <c r="I137" s="1267"/>
      <c r="J137" s="510">
        <f t="shared" si="30"/>
        <v>0</v>
      </c>
      <c r="K137" s="1766"/>
      <c r="L137" s="1739"/>
      <c r="M137" s="1739"/>
      <c r="N137" s="551"/>
      <c r="O137" s="550"/>
      <c r="P137" s="1739">
        <f>-'يادداشت 8سرمايه گذاري در شركتها'!G154</f>
        <v>0</v>
      </c>
      <c r="Q137" s="1739"/>
      <c r="R137" s="1739"/>
      <c r="S137" s="2208"/>
      <c r="T137" s="1281"/>
      <c r="U137" s="2208"/>
      <c r="V137" s="550"/>
      <c r="W137" s="550"/>
      <c r="X137" s="1411">
        <v>5157236256</v>
      </c>
      <c r="Y137" s="2240"/>
      <c r="Z137" s="2240"/>
      <c r="AA137" s="2240"/>
      <c r="AC137" s="2224"/>
      <c r="AF137" s="2224"/>
      <c r="AG137" s="2224"/>
      <c r="AK137" s="2224"/>
      <c r="AL137" s="2224"/>
      <c r="AP137" s="2224"/>
      <c r="AR137" s="2224">
        <f t="shared" si="17"/>
        <v>5157236256</v>
      </c>
      <c r="AS137" s="2224"/>
      <c r="AU137" s="271"/>
    </row>
    <row r="138" spans="2:47" ht="18.600000000000001" customHeight="1" x14ac:dyDescent="0.2">
      <c r="B138" s="3654"/>
      <c r="C138" s="2156" t="s">
        <v>183</v>
      </c>
      <c r="D138" s="1206" t="s">
        <v>184</v>
      </c>
      <c r="E138" s="1255"/>
      <c r="F138" s="1255"/>
      <c r="G138" s="1255"/>
      <c r="H138" s="1255">
        <f t="shared" si="31"/>
        <v>0</v>
      </c>
      <c r="I138" s="2259"/>
      <c r="J138" s="510">
        <f t="shared" si="30"/>
        <v>0</v>
      </c>
      <c r="K138" s="2258"/>
      <c r="L138" s="2241"/>
      <c r="M138" s="2241"/>
      <c r="N138" s="510"/>
      <c r="O138" s="240"/>
      <c r="P138" s="2241"/>
      <c r="Q138" s="2241"/>
      <c r="R138" s="2241"/>
      <c r="T138" s="1248"/>
      <c r="V138" s="240"/>
      <c r="W138" s="240"/>
      <c r="X138" s="1257"/>
      <c r="Y138" s="2240"/>
      <c r="Z138" s="2240"/>
      <c r="AA138" s="2240"/>
      <c r="AC138" s="2224"/>
      <c r="AF138" s="2224">
        <f t="shared" si="18"/>
        <v>0</v>
      </c>
      <c r="AG138" s="2224">
        <f t="shared" si="19"/>
        <v>0</v>
      </c>
      <c r="AK138" s="2224">
        <f t="shared" si="20"/>
        <v>0</v>
      </c>
      <c r="AL138" s="2224">
        <f t="shared" si="21"/>
        <v>0</v>
      </c>
      <c r="AP138" s="2224">
        <f t="shared" si="22"/>
        <v>0</v>
      </c>
      <c r="AR138" s="2224">
        <f t="shared" si="17"/>
        <v>0</v>
      </c>
      <c r="AS138" s="2224">
        <f t="shared" si="23"/>
        <v>0</v>
      </c>
      <c r="AU138" s="239"/>
    </row>
    <row r="139" spans="2:47" ht="18.600000000000001" hidden="1" customHeight="1" x14ac:dyDescent="0.2">
      <c r="B139" s="3654"/>
      <c r="C139" s="2129" t="s">
        <v>244</v>
      </c>
      <c r="D139" s="1206" t="s">
        <v>245</v>
      </c>
      <c r="E139" s="1255"/>
      <c r="F139" s="1255"/>
      <c r="G139" s="1255"/>
      <c r="H139" s="1255">
        <f t="shared" si="31"/>
        <v>0</v>
      </c>
      <c r="I139" s="2258"/>
      <c r="J139" s="510">
        <f t="shared" si="30"/>
        <v>0</v>
      </c>
      <c r="K139" s="2241"/>
      <c r="L139" s="1789"/>
      <c r="M139" s="1789"/>
      <c r="N139" s="510"/>
      <c r="O139" s="510"/>
      <c r="P139" s="1779"/>
      <c r="Q139" s="1779"/>
      <c r="R139" s="2258"/>
      <c r="T139" s="510"/>
      <c r="V139" s="510"/>
      <c r="W139" s="510"/>
      <c r="X139" s="551"/>
      <c r="Y139" s="2240"/>
      <c r="Z139" s="2240"/>
      <c r="AA139" s="2240"/>
      <c r="AC139" s="2224"/>
      <c r="AF139" s="2224">
        <f t="shared" si="18"/>
        <v>0</v>
      </c>
      <c r="AG139" s="2224">
        <f t="shared" si="19"/>
        <v>0</v>
      </c>
      <c r="AK139" s="2224">
        <f t="shared" si="20"/>
        <v>0</v>
      </c>
      <c r="AL139" s="2224">
        <f t="shared" si="21"/>
        <v>0</v>
      </c>
      <c r="AP139" s="2224">
        <f t="shared" si="22"/>
        <v>0</v>
      </c>
      <c r="AR139" s="2224">
        <f t="shared" si="17"/>
        <v>0</v>
      </c>
      <c r="AS139" s="2224">
        <f t="shared" si="23"/>
        <v>0</v>
      </c>
      <c r="AU139" s="234"/>
    </row>
    <row r="140" spans="2:47" ht="18.600000000000001" hidden="1" customHeight="1" x14ac:dyDescent="0.2">
      <c r="B140" s="3654"/>
      <c r="C140" s="546" t="s">
        <v>250</v>
      </c>
      <c r="D140" s="1206" t="s">
        <v>370</v>
      </c>
      <c r="E140" s="1255"/>
      <c r="F140" s="1255"/>
      <c r="G140" s="1255"/>
      <c r="H140" s="1255">
        <f t="shared" si="31"/>
        <v>0</v>
      </c>
      <c r="I140" s="2258"/>
      <c r="J140" s="510">
        <f t="shared" si="30"/>
        <v>0</v>
      </c>
      <c r="K140" s="2241"/>
      <c r="L140" s="2255"/>
      <c r="M140" s="1789"/>
      <c r="N140" s="510"/>
      <c r="O140" s="510"/>
      <c r="P140" s="1779"/>
      <c r="Q140" s="1779"/>
      <c r="R140" s="2258"/>
      <c r="T140" s="510"/>
      <c r="V140" s="510"/>
      <c r="W140" s="510"/>
      <c r="X140" s="551"/>
      <c r="Y140" s="2240"/>
      <c r="Z140" s="2240"/>
      <c r="AA140" s="2240"/>
      <c r="AC140" s="2224"/>
      <c r="AF140" s="2224">
        <f t="shared" si="18"/>
        <v>0</v>
      </c>
      <c r="AG140" s="2224">
        <f t="shared" si="19"/>
        <v>0</v>
      </c>
      <c r="AK140" s="2224">
        <f t="shared" si="20"/>
        <v>0</v>
      </c>
      <c r="AL140" s="2224">
        <f t="shared" si="21"/>
        <v>0</v>
      </c>
      <c r="AP140" s="2224">
        <f t="shared" si="22"/>
        <v>0</v>
      </c>
      <c r="AR140" s="2224">
        <f t="shared" si="17"/>
        <v>0</v>
      </c>
      <c r="AS140" s="2224">
        <f t="shared" si="23"/>
        <v>0</v>
      </c>
      <c r="AU140" s="234"/>
    </row>
    <row r="141" spans="2:47" ht="18.600000000000001" customHeight="1" x14ac:dyDescent="0.2">
      <c r="B141" s="3654"/>
      <c r="C141" s="2156">
        <v>1307006002</v>
      </c>
      <c r="D141" s="1206" t="s">
        <v>88</v>
      </c>
      <c r="E141" s="1255">
        <v>13686834720</v>
      </c>
      <c r="F141" s="1255"/>
      <c r="G141" s="1255">
        <f>-'مطالبات بلند مدت دولت ياددا (2)'!E73</f>
        <v>0</v>
      </c>
      <c r="H141" s="1255">
        <f t="shared" si="31"/>
        <v>13686834720</v>
      </c>
      <c r="I141" s="2259"/>
      <c r="J141" s="510">
        <f t="shared" si="30"/>
        <v>0</v>
      </c>
      <c r="K141" s="2258"/>
      <c r="L141" s="2241"/>
      <c r="M141" s="2241"/>
      <c r="N141" s="510">
        <f>-'يادداشت_-5موجودی_جنسی__(2)'!K34</f>
        <v>0</v>
      </c>
      <c r="O141" s="1243">
        <f>-'پيش پرداخت سرمايه اي يادداشت 6'!I100</f>
        <v>1782042982</v>
      </c>
      <c r="P141" s="2241"/>
      <c r="Q141" s="2241">
        <f>-'مطالبات بلند مدت دولت ياددا (2)'!G73</f>
        <v>0</v>
      </c>
      <c r="R141" s="2241"/>
      <c r="T141" s="510"/>
      <c r="V141" s="1243"/>
      <c r="W141" s="1243">
        <f>-3258343613</f>
        <v>-3258343613</v>
      </c>
      <c r="X141" s="551">
        <f>12210534089</f>
        <v>12210534089</v>
      </c>
      <c r="Y141" s="2240"/>
      <c r="Z141" s="2240"/>
      <c r="AA141" s="2240"/>
      <c r="AC141" s="2224"/>
      <c r="AD141" s="2205">
        <f>X141-AE141</f>
        <v>2269825811</v>
      </c>
      <c r="AE141" s="2204">
        <v>9940708278</v>
      </c>
      <c r="AF141" s="2224">
        <f t="shared" si="18"/>
        <v>25897368809</v>
      </c>
      <c r="AG141" s="2224">
        <f t="shared" si="19"/>
        <v>-13686834720</v>
      </c>
      <c r="AK141" s="2224">
        <f t="shared" si="20"/>
        <v>25897368809</v>
      </c>
      <c r="AL141" s="2224">
        <f t="shared" si="21"/>
        <v>-13686834720</v>
      </c>
      <c r="AP141" s="2224"/>
      <c r="AR141" s="2224">
        <f t="shared" ref="AR141:AR204" si="32">W141+V141+T141+R141+Q141+P141+O141+N141+J141+E141+F141+G141</f>
        <v>12210534089</v>
      </c>
      <c r="AS141" s="2224">
        <f t="shared" si="23"/>
        <v>0</v>
      </c>
      <c r="AU141" s="234"/>
    </row>
    <row r="142" spans="2:47" ht="19.149999999999999" customHeight="1" x14ac:dyDescent="0.2">
      <c r="B142" s="3654"/>
      <c r="C142" s="2156" t="s">
        <v>125</v>
      </c>
      <c r="D142" s="1206" t="s">
        <v>335</v>
      </c>
      <c r="E142" s="1255">
        <v>11786386465</v>
      </c>
      <c r="F142" s="1255"/>
      <c r="G142" s="1255">
        <f>-'مطالبات بلند مدت دولت ياددا (2)'!E74</f>
        <v>0</v>
      </c>
      <c r="H142" s="1255">
        <f t="shared" si="31"/>
        <v>11786386465</v>
      </c>
      <c r="I142" s="2258"/>
      <c r="J142" s="510">
        <f t="shared" si="30"/>
        <v>0</v>
      </c>
      <c r="K142" s="2241"/>
      <c r="L142" s="2241"/>
      <c r="M142" s="2241"/>
      <c r="N142" s="510"/>
      <c r="O142" s="510"/>
      <c r="P142" s="2241"/>
      <c r="Q142" s="2241">
        <f>-'مطالبات بلند مدت دولت ياددا (2)'!G74</f>
        <v>-500000000</v>
      </c>
      <c r="R142" s="2241"/>
      <c r="T142" s="510"/>
      <c r="V142" s="510"/>
      <c r="W142" s="2241">
        <f>-22871880-764931302-14954800</f>
        <v>-802757982</v>
      </c>
      <c r="X142" s="551">
        <f>19137693590-X416</f>
        <v>10483628483</v>
      </c>
      <c r="Y142" s="2240"/>
      <c r="Z142" s="2240"/>
      <c r="AA142" s="2240"/>
      <c r="AC142" s="2224"/>
      <c r="AF142" s="2224">
        <f t="shared" si="18"/>
        <v>22270014948</v>
      </c>
      <c r="AG142" s="2224">
        <f t="shared" si="19"/>
        <v>-11786386465</v>
      </c>
      <c r="AK142" s="2224">
        <f t="shared" si="20"/>
        <v>22270014948</v>
      </c>
      <c r="AL142" s="2224">
        <f t="shared" si="21"/>
        <v>-11786386465</v>
      </c>
      <c r="AP142" s="2224">
        <f t="shared" si="22"/>
        <v>0</v>
      </c>
      <c r="AR142" s="2224">
        <f t="shared" si="32"/>
        <v>10483628483</v>
      </c>
      <c r="AS142" s="2224">
        <f t="shared" si="23"/>
        <v>0</v>
      </c>
      <c r="AU142" s="234"/>
    </row>
    <row r="143" spans="2:47" ht="19.149999999999999" customHeight="1" x14ac:dyDescent="0.2">
      <c r="B143" s="3654"/>
      <c r="C143" s="2156" t="s">
        <v>372</v>
      </c>
      <c r="D143" s="1197" t="s">
        <v>373</v>
      </c>
      <c r="E143" s="1242">
        <v>8571778615</v>
      </c>
      <c r="F143" s="1242"/>
      <c r="G143" s="1242"/>
      <c r="H143" s="1255">
        <f t="shared" si="31"/>
        <v>8571778615</v>
      </c>
      <c r="I143" s="2241"/>
      <c r="J143" s="510">
        <f t="shared" si="30"/>
        <v>0</v>
      </c>
      <c r="K143" s="2241"/>
      <c r="L143" s="2241"/>
      <c r="M143" s="2241"/>
      <c r="N143" s="510"/>
      <c r="O143" s="510"/>
      <c r="P143" s="2241"/>
      <c r="Q143" s="2241"/>
      <c r="R143" s="2241"/>
      <c r="T143" s="510"/>
      <c r="V143" s="510"/>
      <c r="W143" s="510"/>
      <c r="X143" s="1242">
        <v>8571778615</v>
      </c>
      <c r="Y143" s="2240"/>
      <c r="Z143" s="2240"/>
      <c r="AA143" s="2240"/>
      <c r="AC143" s="2224"/>
      <c r="AF143" s="2224">
        <f t="shared" si="18"/>
        <v>17143557230</v>
      </c>
      <c r="AG143" s="2224">
        <f t="shared" si="19"/>
        <v>-8571778615</v>
      </c>
      <c r="AK143" s="2224">
        <f t="shared" si="20"/>
        <v>17143557230</v>
      </c>
      <c r="AL143" s="2224">
        <f t="shared" si="21"/>
        <v>-8571778615</v>
      </c>
      <c r="AO143" s="2204">
        <f>J147+Q147+W147</f>
        <v>-17394552942</v>
      </c>
      <c r="AP143" s="2224">
        <f t="shared" si="22"/>
        <v>0</v>
      </c>
      <c r="AR143" s="2224">
        <f t="shared" si="32"/>
        <v>8571778615</v>
      </c>
      <c r="AS143" s="2224">
        <f t="shared" si="23"/>
        <v>0</v>
      </c>
      <c r="AU143" s="234"/>
    </row>
    <row r="144" spans="2:47" ht="19.149999999999999" customHeight="1" x14ac:dyDescent="0.2">
      <c r="B144" s="3654"/>
      <c r="C144" s="2156" t="s">
        <v>126</v>
      </c>
      <c r="D144" s="1197" t="s">
        <v>375</v>
      </c>
      <c r="E144" s="1245">
        <v>46673369920</v>
      </c>
      <c r="F144" s="1263"/>
      <c r="G144" s="1263"/>
      <c r="H144" s="1255">
        <f t="shared" si="31"/>
        <v>46673369920</v>
      </c>
      <c r="I144" s="2241"/>
      <c r="J144" s="510">
        <f t="shared" si="30"/>
        <v>0</v>
      </c>
      <c r="K144" s="2241"/>
      <c r="L144" s="2241"/>
      <c r="M144" s="2241"/>
      <c r="N144" s="510"/>
      <c r="O144" s="510"/>
      <c r="P144" s="2241"/>
      <c r="Q144" s="2241"/>
      <c r="R144" s="2241"/>
      <c r="T144" s="510"/>
      <c r="V144" s="510"/>
      <c r="W144" s="510">
        <f>-29000000</f>
        <v>-29000000</v>
      </c>
      <c r="X144" s="551">
        <v>46644369920</v>
      </c>
      <c r="Y144" s="2240"/>
      <c r="Z144" s="2240"/>
      <c r="AA144" s="2240"/>
      <c r="AC144" s="2224"/>
      <c r="AF144" s="2224">
        <f t="shared" si="18"/>
        <v>93317739840</v>
      </c>
      <c r="AG144" s="2224">
        <f t="shared" si="19"/>
        <v>-46673369920</v>
      </c>
      <c r="AK144" s="2224">
        <f t="shared" si="20"/>
        <v>93317739840</v>
      </c>
      <c r="AL144" s="2224">
        <f t="shared" si="21"/>
        <v>-46673369920</v>
      </c>
      <c r="AO144" s="2204">
        <f>AO143+W427</f>
        <v>-241894399668</v>
      </c>
      <c r="AP144" s="2224">
        <f t="shared" si="22"/>
        <v>0</v>
      </c>
      <c r="AR144" s="2224">
        <f t="shared" si="32"/>
        <v>46644369920</v>
      </c>
      <c r="AS144" s="2224">
        <f t="shared" si="23"/>
        <v>0</v>
      </c>
      <c r="AU144" s="234"/>
    </row>
    <row r="145" spans="2:74" ht="22.15" customHeight="1" x14ac:dyDescent="0.2">
      <c r="B145" s="3654"/>
      <c r="C145" s="2262" t="s">
        <v>118</v>
      </c>
      <c r="D145" s="1205" t="s">
        <v>552</v>
      </c>
      <c r="E145" s="1247">
        <v>6656835353</v>
      </c>
      <c r="F145" s="1255"/>
      <c r="G145" s="1255"/>
      <c r="H145" s="1255">
        <f t="shared" si="31"/>
        <v>6656835353</v>
      </c>
      <c r="I145" s="2258"/>
      <c r="J145" s="510">
        <f t="shared" si="30"/>
        <v>0</v>
      </c>
      <c r="K145" s="2241"/>
      <c r="L145" s="2241"/>
      <c r="M145" s="2241"/>
      <c r="N145" s="510"/>
      <c r="O145" s="510"/>
      <c r="P145" s="2241"/>
      <c r="Q145" s="2241"/>
      <c r="R145" s="1258"/>
      <c r="T145" s="510"/>
      <c r="V145" s="510"/>
      <c r="W145" s="510"/>
      <c r="X145" s="551">
        <v>6656835353</v>
      </c>
      <c r="Y145" s="2240"/>
      <c r="Z145" s="2240"/>
      <c r="AA145" s="2240"/>
      <c r="AC145" s="2224"/>
      <c r="AF145" s="2224">
        <f t="shared" si="18"/>
        <v>13313670706</v>
      </c>
      <c r="AG145" s="2224">
        <f t="shared" si="19"/>
        <v>-6656835353</v>
      </c>
      <c r="AK145" s="2224">
        <f t="shared" si="20"/>
        <v>13313670706</v>
      </c>
      <c r="AL145" s="2224">
        <f t="shared" si="21"/>
        <v>-6656835353</v>
      </c>
      <c r="AO145" s="2204">
        <f>E147+J147+Q147+W147</f>
        <v>139652177418</v>
      </c>
      <c r="AP145" s="2224">
        <f t="shared" si="22"/>
        <v>0</v>
      </c>
      <c r="AR145" s="2224">
        <f t="shared" si="32"/>
        <v>6656835353</v>
      </c>
      <c r="AS145" s="2224">
        <f t="shared" si="23"/>
        <v>0</v>
      </c>
      <c r="AU145" s="234"/>
    </row>
    <row r="146" spans="2:74" ht="22.15" customHeight="1" x14ac:dyDescent="0.2">
      <c r="B146" s="3654"/>
      <c r="C146" s="2263" t="s">
        <v>77</v>
      </c>
      <c r="D146" s="1206" t="s">
        <v>143</v>
      </c>
      <c r="E146" s="1247">
        <v>977584195</v>
      </c>
      <c r="F146" s="1255"/>
      <c r="G146" s="1300"/>
      <c r="H146" s="1255">
        <f t="shared" si="31"/>
        <v>977584195</v>
      </c>
      <c r="I146" s="2258"/>
      <c r="J146" s="510">
        <f t="shared" si="30"/>
        <v>0</v>
      </c>
      <c r="K146" s="2241"/>
      <c r="L146" s="2241"/>
      <c r="M146" s="2249"/>
      <c r="N146" s="510"/>
      <c r="O146" s="510"/>
      <c r="P146" s="2249"/>
      <c r="Q146" s="2249"/>
      <c r="R146" s="1258"/>
      <c r="T146" s="510"/>
      <c r="V146" s="510"/>
      <c r="W146" s="510"/>
      <c r="X146" s="551">
        <f>1000000000-X444</f>
        <v>977584195</v>
      </c>
      <c r="Y146" s="2240"/>
      <c r="Z146" s="2240"/>
      <c r="AA146" s="2240"/>
      <c r="AB146" s="2204">
        <f>E147+E427</f>
        <v>534738854630</v>
      </c>
      <c r="AC146" s="2224"/>
      <c r="AF146" s="2224">
        <f t="shared" si="18"/>
        <v>1955168390</v>
      </c>
      <c r="AG146" s="2224">
        <f t="shared" si="19"/>
        <v>-977584195</v>
      </c>
      <c r="AK146" s="2224">
        <f t="shared" si="20"/>
        <v>1955168390</v>
      </c>
      <c r="AL146" s="2224">
        <f t="shared" si="21"/>
        <v>-977584195</v>
      </c>
      <c r="AP146" s="2224">
        <f t="shared" si="22"/>
        <v>0</v>
      </c>
      <c r="AR146" s="2224">
        <f t="shared" si="32"/>
        <v>977584195</v>
      </c>
      <c r="AS146" s="2224">
        <f t="shared" si="23"/>
        <v>0</v>
      </c>
      <c r="AU146" s="234"/>
    </row>
    <row r="147" spans="2:74" ht="22.15" customHeight="1" x14ac:dyDescent="0.2">
      <c r="B147" s="3654"/>
      <c r="C147" s="2264" t="s">
        <v>548</v>
      </c>
      <c r="D147" s="1207" t="s">
        <v>547</v>
      </c>
      <c r="E147" s="1245">
        <v>157046730360</v>
      </c>
      <c r="F147" s="1242"/>
      <c r="G147" s="1242">
        <f>-'مطالبات بلند مدت دولت ياددا (2)'!E76</f>
        <v>0</v>
      </c>
      <c r="H147" s="1255">
        <f t="shared" si="31"/>
        <v>157046730360</v>
      </c>
      <c r="I147" s="2241"/>
      <c r="J147" s="510">
        <f>X147-O147-N147-P147-Q147-K147-R147-W147-E147-T147-I147-V147-F147-G147</f>
        <v>0</v>
      </c>
      <c r="K147" s="2241"/>
      <c r="L147" s="2255"/>
      <c r="M147" s="1789"/>
      <c r="N147" s="510">
        <f>-'يادداشت_-5موجودی_جنسی__(2)'!K63</f>
        <v>0</v>
      </c>
      <c r="O147" s="510"/>
      <c r="P147" s="1779"/>
      <c r="Q147" s="1779">
        <f>-'مطالبات بلند مدت دولت ياددا (2)'!G76</f>
        <v>-104288671768</v>
      </c>
      <c r="R147" s="240"/>
      <c r="T147" s="510"/>
      <c r="V147" s="510"/>
      <c r="W147" s="510">
        <f>-W427+14000000000+200000000+6348210579-3000000000-439129777-282496307-288624-24630824-70948098580-1000000000-41039343846-6500000000-3806272676-869682139+200000000-15053995706-15390000000</f>
        <v>86894118826</v>
      </c>
      <c r="X147" s="551">
        <f>15477471058+277366983904-X427</f>
        <v>139652177418</v>
      </c>
      <c r="Y147" s="2240"/>
      <c r="Z147" s="2240"/>
      <c r="AA147" s="2240"/>
      <c r="AB147" s="2204">
        <f>W147+W427</f>
        <v>-137605727900</v>
      </c>
      <c r="AC147" s="2224"/>
      <c r="AD147" s="2205">
        <f>X147-AE147</f>
        <v>51022191914</v>
      </c>
      <c r="AE147" s="234">
        <f>241822263048-X427</f>
        <v>88629985504</v>
      </c>
      <c r="AF147" s="2224">
        <f t="shared" si="18"/>
        <v>296698907778</v>
      </c>
      <c r="AG147" s="2224">
        <f t="shared" si="19"/>
        <v>-157046730360</v>
      </c>
      <c r="AK147" s="2224">
        <f t="shared" si="20"/>
        <v>296698907778</v>
      </c>
      <c r="AL147" s="2224">
        <f t="shared" si="21"/>
        <v>-157046730360</v>
      </c>
      <c r="AN147" s="2204">
        <f>X147+X427</f>
        <v>292844454962</v>
      </c>
      <c r="AO147" s="1656">
        <f>X147+X427</f>
        <v>292844454962</v>
      </c>
      <c r="AP147" s="2224">
        <f t="shared" si="22"/>
        <v>0</v>
      </c>
      <c r="AR147" s="2224">
        <f t="shared" si="32"/>
        <v>139652177418</v>
      </c>
      <c r="AS147" s="2224">
        <f t="shared" si="23"/>
        <v>0</v>
      </c>
      <c r="AU147" s="234"/>
      <c r="BA147" s="2204" t="s">
        <v>1177</v>
      </c>
      <c r="BB147" s="1737" t="s">
        <v>109</v>
      </c>
      <c r="BC147" s="1974" t="s">
        <v>110</v>
      </c>
      <c r="BD147" s="234">
        <v>5769040450</v>
      </c>
      <c r="BE147" s="234"/>
      <c r="BF147" s="234"/>
      <c r="BG147" s="234"/>
      <c r="BH147" s="234">
        <f>BV147-BM147-BL147-BN147-BO147-BI147-BP147-BU147-BD147-BR147-BE147-BF147-BG147-BT147</f>
        <v>15799857444</v>
      </c>
      <c r="BI147" s="234"/>
      <c r="BJ147" s="234"/>
      <c r="BK147" s="234"/>
      <c r="BL147" s="234"/>
      <c r="BM147" s="238"/>
      <c r="BN147" s="234"/>
      <c r="BO147" s="234">
        <v>-2391023977</v>
      </c>
      <c r="BP147" s="234"/>
      <c r="BQ147" s="2224"/>
      <c r="BR147" s="234"/>
      <c r="BS147" s="2224"/>
      <c r="BT147" s="238"/>
      <c r="BU147" s="238">
        <f>-376165682-4181990-209717</f>
        <v>-380557389</v>
      </c>
      <c r="BV147" s="234">
        <v>18797316528</v>
      </c>
    </row>
    <row r="148" spans="2:74" ht="22.15" customHeight="1" x14ac:dyDescent="0.2">
      <c r="B148" s="3654"/>
      <c r="C148" s="2191" t="s">
        <v>542</v>
      </c>
      <c r="D148" s="1207" t="s">
        <v>335</v>
      </c>
      <c r="E148" s="1245">
        <v>237574968048</v>
      </c>
      <c r="F148" s="1245">
        <f>-'يادداشت 8سرمايه گذاري در شركتها'!E123</f>
        <v>0</v>
      </c>
      <c r="G148" s="1245"/>
      <c r="H148" s="1255">
        <f t="shared" si="31"/>
        <v>237574968048</v>
      </c>
      <c r="I148" s="2241"/>
      <c r="J148" s="510">
        <f t="shared" si="30"/>
        <v>15144468453</v>
      </c>
      <c r="K148" s="2241"/>
      <c r="L148" s="2255"/>
      <c r="M148" s="1789"/>
      <c r="N148" s="510">
        <f>-'يادداشت_-5موجودی_جنسی__(2)'!K62</f>
        <v>59774030</v>
      </c>
      <c r="O148" s="510">
        <f>-'پيش پرداخت سرمايه اي يادداشت 6'!I59</f>
        <v>2405195226</v>
      </c>
      <c r="P148" s="1779">
        <f>-'يادداشت 8سرمايه گذاري در شركتها'!G123</f>
        <v>-22401800921</v>
      </c>
      <c r="Q148" s="1823"/>
      <c r="R148" s="240"/>
      <c r="T148" s="510"/>
      <c r="V148" s="510"/>
      <c r="W148" s="510">
        <f>-W420+437662966+2000000000-1375003595-23908803375-5616582696-149996769-3642353606-2812691956-1458695195-204038937-23811153144</f>
        <v>-60337617370</v>
      </c>
      <c r="X148" s="551">
        <f>176009003622-X420</f>
        <v>172444987466</v>
      </c>
      <c r="Y148" s="2240"/>
      <c r="Z148" s="2240"/>
      <c r="AA148" s="2240"/>
      <c r="AC148" s="2224"/>
      <c r="AF148" s="2224">
        <f t="shared" si="18"/>
        <v>410019955514</v>
      </c>
      <c r="AG148" s="2224">
        <f t="shared" si="19"/>
        <v>-237574968048</v>
      </c>
      <c r="AK148" s="2224">
        <f t="shared" si="20"/>
        <v>410019955514</v>
      </c>
      <c r="AL148" s="2224">
        <f t="shared" si="21"/>
        <v>-237574968048</v>
      </c>
      <c r="AN148" s="2204">
        <f>277366983904+15477471058</f>
        <v>292844454962</v>
      </c>
      <c r="AO148" s="1656">
        <v>548026858625</v>
      </c>
      <c r="AP148" s="2224">
        <f t="shared" si="22"/>
        <v>0</v>
      </c>
      <c r="AR148" s="2224">
        <f t="shared" si="32"/>
        <v>172444987466</v>
      </c>
      <c r="AS148" s="2224">
        <f t="shared" si="23"/>
        <v>0</v>
      </c>
      <c r="AU148" s="234">
        <v>-388000000</v>
      </c>
    </row>
    <row r="149" spans="2:74" ht="22.15" customHeight="1" x14ac:dyDescent="0.2">
      <c r="B149" s="3654"/>
      <c r="C149" s="2191" t="s">
        <v>546</v>
      </c>
      <c r="D149" s="1207" t="s">
        <v>545</v>
      </c>
      <c r="E149" s="1245">
        <v>204735962223</v>
      </c>
      <c r="F149" s="1245"/>
      <c r="G149" s="1245">
        <f>-'مطالبات بلند مدت دولت ياددا (2)'!E66</f>
        <v>0</v>
      </c>
      <c r="H149" s="1255">
        <f t="shared" si="31"/>
        <v>204735962223</v>
      </c>
      <c r="I149" s="2241"/>
      <c r="J149" s="510">
        <f t="shared" si="30"/>
        <v>55274973242</v>
      </c>
      <c r="K149" s="2241"/>
      <c r="L149" s="2255"/>
      <c r="M149" s="1789"/>
      <c r="N149" s="510">
        <f>-'يادداشت_-5موجودی_جنسی__(2)'!K60</f>
        <v>1305414532</v>
      </c>
      <c r="O149" s="510"/>
      <c r="P149" s="1779"/>
      <c r="Q149" s="1779">
        <f>-'مطالبات بلند مدت دولت ياددا (2)'!G66</f>
        <v>-7569874255</v>
      </c>
      <c r="R149" s="240"/>
      <c r="T149" s="510"/>
      <c r="V149" s="510"/>
      <c r="W149" s="510">
        <f>-9684925413+216670011</f>
        <v>-9468255402</v>
      </c>
      <c r="X149" s="551">
        <f>247278220340-X421</f>
        <v>244278220340</v>
      </c>
      <c r="Y149" s="2240"/>
      <c r="Z149" s="2240"/>
      <c r="AA149" s="2240"/>
      <c r="AC149" s="2224"/>
      <c r="AD149" s="2205">
        <f>X149-AE149</f>
        <v>123083730102</v>
      </c>
      <c r="AE149" s="234">
        <f>124194490238-X421</f>
        <v>121194490238</v>
      </c>
      <c r="AF149" s="2224">
        <f t="shared" si="18"/>
        <v>449014182563</v>
      </c>
      <c r="AG149" s="2224">
        <f t="shared" si="19"/>
        <v>-204735962223</v>
      </c>
      <c r="AK149" s="2224">
        <f t="shared" si="20"/>
        <v>449014182563</v>
      </c>
      <c r="AL149" s="2224">
        <f t="shared" si="21"/>
        <v>-204735962223</v>
      </c>
      <c r="AO149" s="1656">
        <f>AO148-AO147</f>
        <v>255182403663</v>
      </c>
      <c r="AP149" s="2224">
        <f t="shared" si="22"/>
        <v>0</v>
      </c>
      <c r="AR149" s="2224">
        <f t="shared" si="32"/>
        <v>244278220340</v>
      </c>
      <c r="AS149" s="2224">
        <f t="shared" si="23"/>
        <v>0</v>
      </c>
      <c r="AU149" s="234">
        <v>-112000000</v>
      </c>
    </row>
    <row r="150" spans="2:74" s="2266" customFormat="1" ht="22.15" customHeight="1" x14ac:dyDescent="0.2">
      <c r="B150" s="3654"/>
      <c r="C150" s="547" t="s">
        <v>554</v>
      </c>
      <c r="D150" s="1200" t="s">
        <v>553</v>
      </c>
      <c r="E150" s="1271">
        <v>181334453</v>
      </c>
      <c r="F150" s="1271"/>
      <c r="G150" s="1245">
        <f>-'مطالبات بلند مدت دولت ياددا (2)'!E79</f>
        <v>0</v>
      </c>
      <c r="H150" s="1255">
        <f t="shared" si="31"/>
        <v>181334453</v>
      </c>
      <c r="I150" s="2241"/>
      <c r="J150" s="510">
        <f t="shared" si="30"/>
        <v>0</v>
      </c>
      <c r="K150" s="2241"/>
      <c r="L150" s="1789"/>
      <c r="M150" s="1789"/>
      <c r="N150" s="510"/>
      <c r="O150" s="510"/>
      <c r="P150" s="1779"/>
      <c r="Q150" s="1779">
        <f>-'مطالبات بلند مدت دولت ياددا (2)'!G79</f>
        <v>0</v>
      </c>
      <c r="R150" s="240"/>
      <c r="S150" s="2207"/>
      <c r="T150" s="510"/>
      <c r="U150" s="2207"/>
      <c r="V150" s="510"/>
      <c r="W150" s="510"/>
      <c r="X150" s="1271">
        <v>181334453</v>
      </c>
      <c r="Y150" s="2265"/>
      <c r="Z150" s="2265"/>
      <c r="AA150" s="2265"/>
      <c r="AC150" s="2224"/>
      <c r="AD150" s="2267"/>
      <c r="AF150" s="2224">
        <f t="shared" ref="AF150:AF218" si="33">SUM(E150:W150)</f>
        <v>362668906</v>
      </c>
      <c r="AG150" s="2224">
        <f t="shared" ref="AG150:AG218" si="34">X150-AF150</f>
        <v>-181334453</v>
      </c>
      <c r="AK150" s="2224">
        <f t="shared" ref="AK150:AK218" si="35">E150+H150+J150+N150+P150+Q150+R150+W150+O150</f>
        <v>362668906</v>
      </c>
      <c r="AL150" s="2224">
        <f t="shared" ref="AL150:AL218" si="36">X150-AK150</f>
        <v>-181334453</v>
      </c>
      <c r="AO150" s="2266">
        <v>4482584150</v>
      </c>
      <c r="AP150" s="2224">
        <f t="shared" ref="AP150:AP217" si="37">X150-AR150</f>
        <v>0</v>
      </c>
      <c r="AR150" s="2224">
        <f t="shared" si="32"/>
        <v>181334453</v>
      </c>
      <c r="AS150" s="2224">
        <f t="shared" ref="AS150:AS217" si="38">X150-AR150</f>
        <v>0</v>
      </c>
      <c r="AU150" s="234"/>
    </row>
    <row r="151" spans="2:74" ht="22.15" customHeight="1" x14ac:dyDescent="0.2">
      <c r="B151" s="3654"/>
      <c r="C151" s="2191" t="s">
        <v>555</v>
      </c>
      <c r="D151" s="1207" t="s">
        <v>545</v>
      </c>
      <c r="E151" s="1245">
        <v>88879059875</v>
      </c>
      <c r="F151" s="1245"/>
      <c r="G151" s="1245"/>
      <c r="H151" s="1255">
        <f t="shared" si="31"/>
        <v>88879059875</v>
      </c>
      <c r="I151" s="2241"/>
      <c r="J151" s="510">
        <f t="shared" si="30"/>
        <v>154330202660</v>
      </c>
      <c r="K151" s="2241"/>
      <c r="L151" s="2255"/>
      <c r="M151" s="1789"/>
      <c r="N151" s="510"/>
      <c r="O151" s="510"/>
      <c r="P151" s="1779"/>
      <c r="Q151" s="1817">
        <f>-'مطالبات بلند مدت دولت ياددا (2)'!G67</f>
        <v>-3125724537</v>
      </c>
      <c r="R151" s="390"/>
      <c r="T151" s="510"/>
      <c r="V151" s="510"/>
      <c r="W151" s="510">
        <f>25508631+2482072171+2000000000</f>
        <v>4507580802</v>
      </c>
      <c r="X151" s="551">
        <v>244591118800</v>
      </c>
      <c r="Y151" s="2240"/>
      <c r="Z151" s="2240"/>
      <c r="AA151" s="2240"/>
      <c r="AC151" s="2224"/>
      <c r="AD151" s="2205">
        <f>X151-AE151</f>
        <v>168691328344</v>
      </c>
      <c r="AE151" s="420">
        <v>75899790456</v>
      </c>
      <c r="AF151" s="2224">
        <f t="shared" si="33"/>
        <v>333470178675</v>
      </c>
      <c r="AG151" s="2224">
        <f t="shared" si="34"/>
        <v>-88879059875</v>
      </c>
      <c r="AK151" s="2224">
        <f t="shared" si="35"/>
        <v>333470178675</v>
      </c>
      <c r="AL151" s="2224">
        <f t="shared" si="36"/>
        <v>-88879059875</v>
      </c>
      <c r="AO151" s="2204">
        <v>23699153152</v>
      </c>
      <c r="AP151" s="2224">
        <f t="shared" si="37"/>
        <v>0</v>
      </c>
      <c r="AR151" s="2224">
        <f t="shared" si="32"/>
        <v>244591118800</v>
      </c>
      <c r="AS151" s="2224">
        <f t="shared" si="38"/>
        <v>0</v>
      </c>
      <c r="AU151" s="234"/>
    </row>
    <row r="152" spans="2:74" ht="22.15" customHeight="1" x14ac:dyDescent="0.2">
      <c r="B152" s="3654"/>
      <c r="C152" s="2191" t="s">
        <v>550</v>
      </c>
      <c r="D152" s="1207" t="s">
        <v>556</v>
      </c>
      <c r="E152" s="1245">
        <v>9030374960</v>
      </c>
      <c r="F152" s="1245"/>
      <c r="G152" s="1245">
        <f>-'مطالبات بلند مدت دولت ياددا (2)'!E84</f>
        <v>0</v>
      </c>
      <c r="H152" s="1255">
        <f t="shared" si="31"/>
        <v>9030374960</v>
      </c>
      <c r="I152" s="2241"/>
      <c r="J152" s="510">
        <f>X152-O152-N152-P152-Q152-K152-R152-W152-E152-T152-I152-V152-F152-G152</f>
        <v>15369352992</v>
      </c>
      <c r="K152" s="2241"/>
      <c r="L152" s="2241"/>
      <c r="M152" s="2248"/>
      <c r="N152" s="510">
        <f>-'يادداشت_-5موجودی_جنسی__(2)'!K64</f>
        <v>0</v>
      </c>
      <c r="O152" s="510"/>
      <c r="P152" s="2248"/>
      <c r="Q152" s="2248">
        <f>-'مطالبات بلند مدت دولت ياددا (2)'!G84</f>
        <v>0</v>
      </c>
      <c r="R152" s="1258"/>
      <c r="T152" s="510"/>
      <c r="V152" s="510"/>
      <c r="W152" s="510">
        <f>200000000</f>
        <v>200000000</v>
      </c>
      <c r="X152" s="551">
        <f>24599727952</f>
        <v>24599727952</v>
      </c>
      <c r="Y152" s="2240"/>
      <c r="Z152" s="2240"/>
      <c r="AA152" s="2240"/>
      <c r="AC152" s="2224"/>
      <c r="AF152" s="2224">
        <f t="shared" si="33"/>
        <v>33630102912</v>
      </c>
      <c r="AG152" s="2224">
        <f t="shared" si="34"/>
        <v>-9030374960</v>
      </c>
      <c r="AK152" s="2224">
        <f t="shared" si="35"/>
        <v>33630102912</v>
      </c>
      <c r="AL152" s="2224">
        <f t="shared" si="36"/>
        <v>-9030374960</v>
      </c>
      <c r="AO152" s="2204">
        <f>SUM(AO150:AO151)</f>
        <v>28181737302</v>
      </c>
      <c r="AP152" s="2224">
        <f t="shared" si="37"/>
        <v>0</v>
      </c>
      <c r="AR152" s="2224">
        <f t="shared" si="32"/>
        <v>24599727952</v>
      </c>
      <c r="AS152" s="2224">
        <f t="shared" si="38"/>
        <v>0</v>
      </c>
      <c r="AU152" s="234"/>
    </row>
    <row r="153" spans="2:74" ht="22.15" customHeight="1" x14ac:dyDescent="0.2">
      <c r="B153" s="3706" t="s">
        <v>94</v>
      </c>
      <c r="C153" s="3577"/>
      <c r="D153" s="3577"/>
      <c r="E153" s="1249">
        <f>SUM(E133:E152)</f>
        <v>19624753375248</v>
      </c>
      <c r="F153" s="1249">
        <f>SUM(F133:F152)</f>
        <v>0</v>
      </c>
      <c r="G153" s="1249">
        <f>SUM(G133:G152)</f>
        <v>0</v>
      </c>
      <c r="H153" s="1249">
        <f>SUM(H133:H152)</f>
        <v>19624753375248</v>
      </c>
      <c r="I153" s="1250">
        <f t="shared" ref="I153:AA153" si="39">SUM(I133:I152)</f>
        <v>0</v>
      </c>
      <c r="J153" s="1250">
        <f t="shared" si="39"/>
        <v>9838284167946</v>
      </c>
      <c r="K153" s="1250">
        <f t="shared" si="39"/>
        <v>0</v>
      </c>
      <c r="L153" s="1250">
        <f t="shared" si="39"/>
        <v>0</v>
      </c>
      <c r="M153" s="1250">
        <f t="shared" si="39"/>
        <v>0</v>
      </c>
      <c r="N153" s="1250">
        <f t="shared" si="39"/>
        <v>290100921913</v>
      </c>
      <c r="O153" s="1250">
        <f t="shared" si="39"/>
        <v>305650437661</v>
      </c>
      <c r="P153" s="1250">
        <f t="shared" si="39"/>
        <v>-49803852466</v>
      </c>
      <c r="Q153" s="1250">
        <f t="shared" si="39"/>
        <v>-1175399136575</v>
      </c>
      <c r="R153" s="1250">
        <f t="shared" si="39"/>
        <v>0</v>
      </c>
      <c r="S153" s="1250">
        <f t="shared" si="39"/>
        <v>0</v>
      </c>
      <c r="T153" s="1250">
        <f t="shared" si="39"/>
        <v>0</v>
      </c>
      <c r="U153" s="1250">
        <f t="shared" si="39"/>
        <v>0</v>
      </c>
      <c r="V153" s="1250">
        <f>SUM(V133:V152)</f>
        <v>-34494372912</v>
      </c>
      <c r="W153" s="1250">
        <f>SUM(W133:W152)</f>
        <v>614776080106</v>
      </c>
      <c r="X153" s="1251">
        <f t="shared" si="39"/>
        <v>29413867620921</v>
      </c>
      <c r="Y153" s="241" t="e">
        <f t="shared" si="39"/>
        <v>#N/A</v>
      </c>
      <c r="Z153" s="241" t="e">
        <f t="shared" si="39"/>
        <v>#N/A</v>
      </c>
      <c r="AA153" s="241" t="e">
        <f t="shared" si="39"/>
        <v>#N/A</v>
      </c>
      <c r="AC153" s="2224"/>
      <c r="AF153" s="2224">
        <f t="shared" si="33"/>
        <v>49038620996169</v>
      </c>
      <c r="AG153" s="2224">
        <f t="shared" si="34"/>
        <v>-19624753375248</v>
      </c>
      <c r="AK153" s="2224">
        <f t="shared" si="35"/>
        <v>49073115369081</v>
      </c>
      <c r="AL153" s="2224">
        <f t="shared" si="36"/>
        <v>-19659247748160</v>
      </c>
      <c r="AO153" s="2204">
        <f>AO152+J147</f>
        <v>28181737302</v>
      </c>
      <c r="AP153" s="2224">
        <f t="shared" si="37"/>
        <v>0</v>
      </c>
      <c r="AR153" s="2224">
        <f t="shared" si="32"/>
        <v>29413867620921</v>
      </c>
      <c r="AS153" s="2224">
        <f t="shared" si="38"/>
        <v>0</v>
      </c>
      <c r="AU153" s="241">
        <f>SUM(AU133:AU152)</f>
        <v>-360223000000</v>
      </c>
    </row>
    <row r="154" spans="2:74" ht="22.15" customHeight="1" x14ac:dyDescent="0.2">
      <c r="B154" s="2135"/>
      <c r="C154" s="2135"/>
      <c r="D154" s="2135"/>
      <c r="E154" s="1272"/>
      <c r="F154" s="1272"/>
      <c r="G154" s="1272"/>
      <c r="H154" s="1272"/>
      <c r="I154" s="1273"/>
      <c r="J154" s="1273"/>
      <c r="K154" s="1273"/>
      <c r="L154" s="1273"/>
      <c r="M154" s="1273"/>
      <c r="N154" s="1273"/>
      <c r="O154" s="1273"/>
      <c r="P154" s="1273"/>
      <c r="Q154" s="1273"/>
      <c r="R154" s="1273"/>
      <c r="S154" s="1273"/>
      <c r="T154" s="1273"/>
      <c r="U154" s="1273"/>
      <c r="V154" s="1273"/>
      <c r="W154" s="1273"/>
      <c r="X154" s="1274"/>
      <c r="Y154" s="246"/>
      <c r="Z154" s="246"/>
      <c r="AA154" s="246"/>
      <c r="AC154" s="2224"/>
      <c r="AF154" s="2224"/>
      <c r="AG154" s="2224"/>
      <c r="AK154" s="2224"/>
      <c r="AL154" s="2224"/>
      <c r="AP154" s="2224"/>
      <c r="AR154" s="2224">
        <f t="shared" si="32"/>
        <v>0</v>
      </c>
      <c r="AS154" s="2224"/>
      <c r="AU154" s="246"/>
    </row>
    <row r="155" spans="2:74" ht="18.600000000000001" customHeight="1" x14ac:dyDescent="0.2">
      <c r="B155" s="2135"/>
      <c r="C155" s="2135"/>
      <c r="D155" s="1202"/>
      <c r="E155" s="1272"/>
      <c r="F155" s="1272"/>
      <c r="G155" s="1272"/>
      <c r="H155" s="1272"/>
      <c r="I155" s="1273"/>
      <c r="J155" s="1273"/>
      <c r="K155" s="1273"/>
      <c r="L155" s="1273"/>
      <c r="M155" s="1273"/>
      <c r="N155" s="1273"/>
      <c r="O155" s="1273"/>
      <c r="P155" s="1273"/>
      <c r="Q155" s="1273"/>
      <c r="R155" s="1273"/>
      <c r="S155" s="1273"/>
      <c r="T155" s="1273"/>
      <c r="U155" s="1273"/>
      <c r="V155" s="1273"/>
      <c r="W155" s="1273"/>
      <c r="X155" s="1274"/>
      <c r="Y155" s="246"/>
      <c r="Z155" s="246"/>
      <c r="AA155" s="246"/>
      <c r="AC155" s="2224"/>
      <c r="AF155" s="2224"/>
      <c r="AG155" s="2224"/>
      <c r="AK155" s="2224"/>
      <c r="AL155" s="2224"/>
      <c r="AP155" s="2224">
        <f t="shared" si="37"/>
        <v>0</v>
      </c>
      <c r="AR155" s="2224">
        <f t="shared" si="32"/>
        <v>0</v>
      </c>
      <c r="AS155" s="2224">
        <f t="shared" si="38"/>
        <v>0</v>
      </c>
      <c r="AU155" s="246"/>
    </row>
    <row r="156" spans="2:74" ht="12" customHeight="1" x14ac:dyDescent="0.2">
      <c r="B156" s="3660" t="s">
        <v>271</v>
      </c>
      <c r="C156" s="3660"/>
      <c r="D156" s="3660"/>
      <c r="E156" s="3660"/>
      <c r="F156" s="3660"/>
      <c r="G156" s="3660"/>
      <c r="H156" s="3660"/>
      <c r="I156" s="3660"/>
      <c r="J156" s="3660"/>
      <c r="K156" s="3660"/>
      <c r="L156" s="3660"/>
      <c r="M156" s="3660"/>
      <c r="N156" s="3660"/>
      <c r="O156" s="3660"/>
      <c r="P156" s="3660"/>
      <c r="Q156" s="3660"/>
      <c r="R156" s="3660"/>
      <c r="S156" s="3660"/>
      <c r="T156" s="3660"/>
      <c r="U156" s="3660"/>
      <c r="V156" s="3660"/>
      <c r="W156" s="3660"/>
      <c r="X156" s="3660"/>
      <c r="Y156" s="2240"/>
      <c r="Z156" s="2240"/>
      <c r="AA156" s="2240"/>
      <c r="AC156" s="2224"/>
      <c r="AF156" s="2224">
        <f t="shared" si="33"/>
        <v>0</v>
      </c>
      <c r="AG156" s="2224">
        <f t="shared" si="34"/>
        <v>0</v>
      </c>
      <c r="AK156" s="2224">
        <f t="shared" si="35"/>
        <v>0</v>
      </c>
      <c r="AL156" s="2224">
        <f t="shared" si="36"/>
        <v>0</v>
      </c>
      <c r="AP156" s="2224">
        <f t="shared" si="37"/>
        <v>0</v>
      </c>
      <c r="AR156" s="2224">
        <f t="shared" si="32"/>
        <v>0</v>
      </c>
      <c r="AS156" s="2224">
        <f t="shared" si="38"/>
        <v>0</v>
      </c>
    </row>
    <row r="157" spans="2:74" ht="21" customHeight="1" x14ac:dyDescent="0.2">
      <c r="B157" s="3574" t="s">
        <v>32</v>
      </c>
      <c r="C157" s="3574"/>
      <c r="D157" s="3574"/>
      <c r="E157" s="3574"/>
      <c r="F157" s="3574"/>
      <c r="G157" s="3574"/>
      <c r="H157" s="3574"/>
      <c r="I157" s="3574"/>
      <c r="J157" s="3574"/>
      <c r="K157" s="3574"/>
      <c r="L157" s="3574"/>
      <c r="M157" s="3574"/>
      <c r="N157" s="3574"/>
      <c r="O157" s="3574"/>
      <c r="P157" s="3574"/>
      <c r="Q157" s="3574"/>
      <c r="R157" s="3574"/>
      <c r="S157" s="3574"/>
      <c r="T157" s="3574"/>
      <c r="U157" s="3574"/>
      <c r="V157" s="3574"/>
      <c r="W157" s="3574"/>
      <c r="X157" s="3574"/>
      <c r="Y157" s="3574"/>
      <c r="Z157" s="3574"/>
      <c r="AA157" s="3574"/>
      <c r="AC157" s="2224"/>
      <c r="AF157" s="2224">
        <f t="shared" si="33"/>
        <v>0</v>
      </c>
      <c r="AG157" s="2224">
        <f t="shared" si="34"/>
        <v>0</v>
      </c>
      <c r="AK157" s="2224">
        <f t="shared" si="35"/>
        <v>0</v>
      </c>
      <c r="AL157" s="2224">
        <f t="shared" si="36"/>
        <v>0</v>
      </c>
      <c r="AP157" s="2224">
        <f t="shared" si="37"/>
        <v>0</v>
      </c>
      <c r="AR157" s="2224">
        <f t="shared" si="32"/>
        <v>0</v>
      </c>
      <c r="AS157" s="2224">
        <f t="shared" si="38"/>
        <v>0</v>
      </c>
    </row>
    <row r="158" spans="2:74" ht="21" customHeight="1" x14ac:dyDescent="0.2">
      <c r="B158" s="3574" t="s">
        <v>45</v>
      </c>
      <c r="C158" s="3574"/>
      <c r="D158" s="3574"/>
      <c r="E158" s="3574"/>
      <c r="F158" s="3574"/>
      <c r="G158" s="3574"/>
      <c r="H158" s="3574"/>
      <c r="I158" s="3574"/>
      <c r="J158" s="3574"/>
      <c r="K158" s="3574"/>
      <c r="L158" s="3574"/>
      <c r="M158" s="3574"/>
      <c r="N158" s="3574"/>
      <c r="O158" s="3574"/>
      <c r="P158" s="3574"/>
      <c r="Q158" s="3574"/>
      <c r="R158" s="3574"/>
      <c r="S158" s="3574"/>
      <c r="T158" s="3574"/>
      <c r="U158" s="3574"/>
      <c r="V158" s="3574"/>
      <c r="W158" s="3574"/>
      <c r="X158" s="3574"/>
      <c r="Y158" s="3574"/>
      <c r="Z158" s="3574"/>
      <c r="AA158" s="3574"/>
      <c r="AC158" s="2224"/>
      <c r="AF158" s="2224">
        <f t="shared" si="33"/>
        <v>0</v>
      </c>
      <c r="AG158" s="2224">
        <f t="shared" si="34"/>
        <v>0</v>
      </c>
      <c r="AK158" s="2224">
        <f t="shared" si="35"/>
        <v>0</v>
      </c>
      <c r="AL158" s="2224">
        <f t="shared" si="36"/>
        <v>0</v>
      </c>
      <c r="AP158" s="2224">
        <f t="shared" si="37"/>
        <v>0</v>
      </c>
      <c r="AR158" s="2224">
        <f t="shared" si="32"/>
        <v>0</v>
      </c>
      <c r="AS158" s="2224">
        <f t="shared" si="38"/>
        <v>0</v>
      </c>
    </row>
    <row r="159" spans="2:74" ht="21" customHeight="1" x14ac:dyDescent="0.2">
      <c r="B159" s="3574" t="s">
        <v>46</v>
      </c>
      <c r="C159" s="3574"/>
      <c r="D159" s="3574"/>
      <c r="E159" s="3574"/>
      <c r="F159" s="3574"/>
      <c r="G159" s="3574"/>
      <c r="H159" s="3574"/>
      <c r="I159" s="3574"/>
      <c r="J159" s="3574"/>
      <c r="K159" s="3574"/>
      <c r="L159" s="3574"/>
      <c r="M159" s="3574"/>
      <c r="N159" s="3574"/>
      <c r="O159" s="3574"/>
      <c r="P159" s="3574"/>
      <c r="Q159" s="3574"/>
      <c r="R159" s="3574"/>
      <c r="S159" s="3574"/>
      <c r="T159" s="3574"/>
      <c r="U159" s="3574"/>
      <c r="V159" s="3574"/>
      <c r="W159" s="3574"/>
      <c r="X159" s="3574"/>
      <c r="Y159" s="3574"/>
      <c r="Z159" s="3574"/>
      <c r="AA159" s="3574"/>
      <c r="AC159" s="2224"/>
      <c r="AF159" s="2224">
        <f t="shared" si="33"/>
        <v>0</v>
      </c>
      <c r="AG159" s="2224">
        <f t="shared" si="34"/>
        <v>0</v>
      </c>
      <c r="AK159" s="2224">
        <f t="shared" si="35"/>
        <v>0</v>
      </c>
      <c r="AL159" s="2224">
        <f t="shared" si="36"/>
        <v>0</v>
      </c>
      <c r="AP159" s="2224">
        <f t="shared" si="37"/>
        <v>0</v>
      </c>
      <c r="AR159" s="2224">
        <f t="shared" si="32"/>
        <v>0</v>
      </c>
      <c r="AS159" s="2224">
        <f t="shared" si="38"/>
        <v>0</v>
      </c>
    </row>
    <row r="160" spans="2:74" ht="21" customHeight="1" x14ac:dyDescent="0.2">
      <c r="B160" s="3572" t="s">
        <v>1992</v>
      </c>
      <c r="C160" s="3572"/>
      <c r="D160" s="3572"/>
      <c r="E160" s="3572"/>
      <c r="F160" s="3572"/>
      <c r="G160" s="3572"/>
      <c r="H160" s="3572"/>
      <c r="I160" s="3572"/>
      <c r="J160" s="3572"/>
      <c r="K160" s="3572"/>
      <c r="L160" s="3572"/>
      <c r="M160" s="3572"/>
      <c r="N160" s="3572"/>
      <c r="O160" s="3572"/>
      <c r="P160" s="3572"/>
      <c r="Q160" s="3572"/>
      <c r="R160" s="3572"/>
      <c r="S160" s="3572"/>
      <c r="T160" s="3572"/>
      <c r="U160" s="3572"/>
      <c r="V160" s="3572"/>
      <c r="W160" s="3572"/>
      <c r="X160" s="3572"/>
      <c r="Y160" s="3572"/>
      <c r="Z160" s="3572"/>
      <c r="AA160" s="3572"/>
      <c r="AC160" s="2224"/>
      <c r="AF160" s="2224">
        <f t="shared" si="33"/>
        <v>0</v>
      </c>
      <c r="AG160" s="2224">
        <f t="shared" si="34"/>
        <v>0</v>
      </c>
      <c r="AK160" s="2224">
        <f t="shared" si="35"/>
        <v>0</v>
      </c>
      <c r="AL160" s="2224">
        <f t="shared" si="36"/>
        <v>0</v>
      </c>
      <c r="AP160" s="2224">
        <f t="shared" si="37"/>
        <v>0</v>
      </c>
      <c r="AR160" s="2224">
        <f t="shared" si="32"/>
        <v>0</v>
      </c>
      <c r="AS160" s="2224">
        <f t="shared" si="38"/>
        <v>0</v>
      </c>
    </row>
    <row r="161" spans="2:47" ht="16.5" customHeight="1" x14ac:dyDescent="0.2">
      <c r="B161" s="3664" t="s">
        <v>894</v>
      </c>
      <c r="C161" s="3664"/>
      <c r="D161" s="3664"/>
      <c r="E161" s="1252"/>
      <c r="F161" s="1252"/>
      <c r="G161" s="1252"/>
      <c r="H161" s="1252"/>
      <c r="I161" s="2239"/>
      <c r="J161" s="2239"/>
      <c r="K161" s="2239"/>
      <c r="L161" s="2239"/>
      <c r="M161" s="2239"/>
      <c r="N161" s="2239"/>
      <c r="O161" s="2239"/>
      <c r="P161" s="2239"/>
      <c r="Q161" s="2239"/>
      <c r="R161" s="2239"/>
      <c r="S161" s="2239"/>
      <c r="T161" s="2239"/>
      <c r="U161" s="2239"/>
      <c r="V161" s="2239"/>
      <c r="W161" s="3665" t="s">
        <v>338</v>
      </c>
      <c r="X161" s="3665"/>
      <c r="Y161" s="2240"/>
      <c r="Z161" s="2240"/>
      <c r="AA161" s="2240"/>
      <c r="AC161" s="2224"/>
      <c r="AF161" s="2224">
        <f t="shared" si="33"/>
        <v>0</v>
      </c>
      <c r="AG161" s="2224">
        <f t="shared" si="34"/>
        <v>0</v>
      </c>
      <c r="AK161" s="2224" t="e">
        <f t="shared" si="35"/>
        <v>#VALUE!</v>
      </c>
      <c r="AL161" s="2224" t="e">
        <f t="shared" si="36"/>
        <v>#VALUE!</v>
      </c>
      <c r="AP161" s="2224" t="e">
        <f t="shared" si="37"/>
        <v>#VALUE!</v>
      </c>
      <c r="AR161" s="2224" t="e">
        <f t="shared" si="32"/>
        <v>#VALUE!</v>
      </c>
      <c r="AS161" s="2224" t="e">
        <f t="shared" si="38"/>
        <v>#VALUE!</v>
      </c>
      <c r="AU161" s="2240"/>
    </row>
    <row r="162" spans="2:47" ht="36" customHeight="1" x14ac:dyDescent="0.2">
      <c r="B162" s="3666" t="s">
        <v>419</v>
      </c>
      <c r="C162" s="3659" t="s">
        <v>196</v>
      </c>
      <c r="D162" s="3677" t="s">
        <v>197</v>
      </c>
      <c r="E162" s="3647" t="s">
        <v>1391</v>
      </c>
      <c r="F162" s="3682" t="s">
        <v>1116</v>
      </c>
      <c r="G162" s="3682"/>
      <c r="H162" s="3662" t="s">
        <v>1993</v>
      </c>
      <c r="I162" s="3650" t="s">
        <v>1244</v>
      </c>
      <c r="J162" s="3650"/>
      <c r="K162" s="2216" t="s">
        <v>340</v>
      </c>
      <c r="L162" s="2216"/>
      <c r="M162" s="2216"/>
      <c r="N162" s="3661" t="s">
        <v>341</v>
      </c>
      <c r="O162" s="3661"/>
      <c r="P162" s="3651" t="s">
        <v>1012</v>
      </c>
      <c r="Q162" s="3652"/>
      <c r="R162" s="3652"/>
      <c r="S162" s="3652"/>
      <c r="T162" s="3653"/>
      <c r="U162" s="2217"/>
      <c r="V162" s="3650" t="s">
        <v>1334</v>
      </c>
      <c r="W162" s="3649" t="s">
        <v>898</v>
      </c>
      <c r="X162" s="3648" t="s">
        <v>1986</v>
      </c>
      <c r="Y162" s="2240"/>
      <c r="Z162" s="2240"/>
      <c r="AA162" s="2240"/>
      <c r="AC162" s="2224"/>
      <c r="AF162" s="2224">
        <f t="shared" si="33"/>
        <v>0</v>
      </c>
      <c r="AG162" s="2224" t="e">
        <f t="shared" si="34"/>
        <v>#VALUE!</v>
      </c>
      <c r="AK162" s="2224" t="e">
        <f t="shared" si="35"/>
        <v>#VALUE!</v>
      </c>
      <c r="AL162" s="2224" t="e">
        <f t="shared" si="36"/>
        <v>#VALUE!</v>
      </c>
      <c r="AP162" s="2224" t="e">
        <f t="shared" si="37"/>
        <v>#VALUE!</v>
      </c>
      <c r="AR162" s="2224" t="e">
        <f t="shared" si="32"/>
        <v>#VALUE!</v>
      </c>
      <c r="AS162" s="2224" t="e">
        <f t="shared" si="38"/>
        <v>#VALUE!</v>
      </c>
    </row>
    <row r="163" spans="2:47" ht="48.6" customHeight="1" x14ac:dyDescent="0.2">
      <c r="B163" s="3666"/>
      <c r="C163" s="3659"/>
      <c r="D163" s="3677"/>
      <c r="E163" s="3647"/>
      <c r="F163" s="1409" t="s">
        <v>1955</v>
      </c>
      <c r="G163" s="1409" t="s">
        <v>1956</v>
      </c>
      <c r="H163" s="3662"/>
      <c r="I163" s="3650"/>
      <c r="J163" s="3650"/>
      <c r="K163" s="2220" t="s">
        <v>315</v>
      </c>
      <c r="L163" s="2220" t="s">
        <v>891</v>
      </c>
      <c r="M163" s="2216" t="s">
        <v>314</v>
      </c>
      <c r="N163" s="2216" t="s">
        <v>1076</v>
      </c>
      <c r="O163" s="2216" t="s">
        <v>18</v>
      </c>
      <c r="P163" s="2220" t="s">
        <v>892</v>
      </c>
      <c r="Q163" s="2220" t="s">
        <v>826</v>
      </c>
      <c r="R163" s="2220" t="s">
        <v>315</v>
      </c>
      <c r="S163" s="2216"/>
      <c r="T163" s="2216" t="s">
        <v>1180</v>
      </c>
      <c r="U163" s="2216"/>
      <c r="V163" s="3650"/>
      <c r="W163" s="3649"/>
      <c r="X163" s="3648"/>
      <c r="Y163" s="2240"/>
      <c r="Z163" s="2240"/>
      <c r="AA163" s="2240"/>
      <c r="AC163" s="2224"/>
      <c r="AF163" s="2224">
        <f t="shared" si="33"/>
        <v>0</v>
      </c>
      <c r="AG163" s="2224">
        <f t="shared" si="34"/>
        <v>0</v>
      </c>
      <c r="AK163" s="2224" t="e">
        <f t="shared" si="35"/>
        <v>#VALUE!</v>
      </c>
      <c r="AL163" s="2224" t="e">
        <f t="shared" si="36"/>
        <v>#VALUE!</v>
      </c>
      <c r="AP163" s="2224" t="e">
        <f t="shared" si="37"/>
        <v>#VALUE!</v>
      </c>
      <c r="AR163" s="2224" t="e">
        <f t="shared" si="32"/>
        <v>#VALUE!</v>
      </c>
      <c r="AS163" s="2224" t="e">
        <f t="shared" si="38"/>
        <v>#VALUE!</v>
      </c>
      <c r="AU163" s="2221" t="s">
        <v>1180</v>
      </c>
    </row>
    <row r="164" spans="2:47" ht="28.15" customHeight="1" x14ac:dyDescent="0.2">
      <c r="B164" s="3654" t="s">
        <v>180</v>
      </c>
      <c r="C164" s="3684" t="s">
        <v>181</v>
      </c>
      <c r="D164" s="3684"/>
      <c r="E164" s="1282">
        <f>E153</f>
        <v>19624753375248</v>
      </c>
      <c r="F164" s="1282">
        <f>F153</f>
        <v>0</v>
      </c>
      <c r="G164" s="1282">
        <f t="shared" ref="G164:X164" si="40">G153</f>
        <v>0</v>
      </c>
      <c r="H164" s="1282">
        <f>H153</f>
        <v>19624753375248</v>
      </c>
      <c r="I164" s="2268">
        <f t="shared" si="40"/>
        <v>0</v>
      </c>
      <c r="J164" s="2268">
        <f t="shared" si="40"/>
        <v>9838284167946</v>
      </c>
      <c r="K164" s="2268">
        <f t="shared" si="40"/>
        <v>0</v>
      </c>
      <c r="L164" s="2268">
        <f t="shared" si="40"/>
        <v>0</v>
      </c>
      <c r="M164" s="2268">
        <f t="shared" si="40"/>
        <v>0</v>
      </c>
      <c r="N164" s="2268">
        <f t="shared" si="40"/>
        <v>290100921913</v>
      </c>
      <c r="O164" s="2268">
        <f t="shared" si="40"/>
        <v>305650437661</v>
      </c>
      <c r="P164" s="2268">
        <f t="shared" si="40"/>
        <v>-49803852466</v>
      </c>
      <c r="Q164" s="2268">
        <f t="shared" si="40"/>
        <v>-1175399136575</v>
      </c>
      <c r="R164" s="2268">
        <f t="shared" si="40"/>
        <v>0</v>
      </c>
      <c r="S164" s="2268">
        <f t="shared" si="40"/>
        <v>0</v>
      </c>
      <c r="T164" s="2268">
        <f t="shared" si="40"/>
        <v>0</v>
      </c>
      <c r="U164" s="2268">
        <f t="shared" si="40"/>
        <v>0</v>
      </c>
      <c r="V164" s="2268">
        <f t="shared" si="40"/>
        <v>-34494372912</v>
      </c>
      <c r="W164" s="2268">
        <f t="shared" si="40"/>
        <v>614776080106</v>
      </c>
      <c r="X164" s="1772">
        <f t="shared" si="40"/>
        <v>29413867620921</v>
      </c>
      <c r="Y164" s="2269" t="e">
        <f>#N/A</f>
        <v>#N/A</v>
      </c>
      <c r="Z164" s="2269" t="e">
        <f>#N/A</f>
        <v>#N/A</v>
      </c>
      <c r="AA164" s="2269" t="e">
        <f>#N/A</f>
        <v>#N/A</v>
      </c>
      <c r="AC164" s="2224"/>
      <c r="AF164" s="2224">
        <f t="shared" si="33"/>
        <v>49038620996169</v>
      </c>
      <c r="AG164" s="2224">
        <f t="shared" si="34"/>
        <v>-19624753375248</v>
      </c>
      <c r="AK164" s="2224">
        <f t="shared" si="35"/>
        <v>49073115369081</v>
      </c>
      <c r="AL164" s="2224">
        <f t="shared" si="36"/>
        <v>-19659247748160</v>
      </c>
      <c r="AP164" s="2224">
        <f t="shared" si="37"/>
        <v>0</v>
      </c>
      <c r="AR164" s="2224">
        <f t="shared" si="32"/>
        <v>29413867620921</v>
      </c>
      <c r="AS164" s="2224">
        <f t="shared" si="38"/>
        <v>0</v>
      </c>
      <c r="AU164" s="2143">
        <f>AU153</f>
        <v>-360223000000</v>
      </c>
    </row>
    <row r="165" spans="2:47" ht="34.9" hidden="1" customHeight="1" x14ac:dyDescent="0.2">
      <c r="B165" s="3654"/>
      <c r="C165" s="1762" t="s">
        <v>185</v>
      </c>
      <c r="D165" s="1200" t="s">
        <v>186</v>
      </c>
      <c r="E165" s="1271"/>
      <c r="F165" s="1271"/>
      <c r="G165" s="1245"/>
      <c r="H165" s="1245"/>
      <c r="I165" s="2241"/>
      <c r="J165" s="510">
        <f>X165-O165-N165-P165-Q165-K165-R165-W165-E165-T165-G165-H165-I165-V165</f>
        <v>0</v>
      </c>
      <c r="K165" s="2241"/>
      <c r="L165" s="2241"/>
      <c r="M165" s="2241"/>
      <c r="N165" s="510"/>
      <c r="O165" s="510"/>
      <c r="P165" s="2241"/>
      <c r="Q165" s="2241"/>
      <c r="R165" s="2241"/>
      <c r="T165" s="510"/>
      <c r="V165" s="510"/>
      <c r="W165" s="510"/>
      <c r="X165" s="551"/>
      <c r="Y165" s="2240"/>
      <c r="Z165" s="2240"/>
      <c r="AA165" s="2240"/>
      <c r="AC165" s="2224"/>
      <c r="AF165" s="2224">
        <f t="shared" si="33"/>
        <v>0</v>
      </c>
      <c r="AG165" s="2224">
        <f t="shared" si="34"/>
        <v>0</v>
      </c>
      <c r="AK165" s="2224">
        <f t="shared" si="35"/>
        <v>0</v>
      </c>
      <c r="AL165" s="2224">
        <f t="shared" si="36"/>
        <v>0</v>
      </c>
      <c r="AP165" s="2224">
        <f t="shared" si="37"/>
        <v>0</v>
      </c>
      <c r="AR165" s="2224">
        <f t="shared" si="32"/>
        <v>0</v>
      </c>
      <c r="AS165" s="2224">
        <f t="shared" si="38"/>
        <v>0</v>
      </c>
      <c r="AU165" s="234"/>
    </row>
    <row r="166" spans="2:47" ht="36" customHeight="1" x14ac:dyDescent="0.2">
      <c r="B166" s="3654"/>
      <c r="C166" s="1762" t="s">
        <v>608</v>
      </c>
      <c r="D166" s="1200" t="s">
        <v>1289</v>
      </c>
      <c r="E166" s="1271">
        <v>6420487105120</v>
      </c>
      <c r="F166" s="1271">
        <f>-'يادداشت 8سرمايه گذاري در شركتها'!E124</f>
        <v>0</v>
      </c>
      <c r="G166" s="1245"/>
      <c r="H166" s="1245">
        <f>E166+G166+F166</f>
        <v>6420487105120</v>
      </c>
      <c r="I166" s="2241"/>
      <c r="J166" s="510">
        <f>X166-O166-N166-P166-Q166-K166-R166-W166-E166-T166-I166-V166-F166-G166</f>
        <v>745696093166</v>
      </c>
      <c r="K166" s="2241"/>
      <c r="L166" s="2241"/>
      <c r="M166" s="2241"/>
      <c r="N166" s="510">
        <f>-'يادداشت_-5موجودی_جنسی__(2)'!K40</f>
        <v>186638406627</v>
      </c>
      <c r="O166" s="510">
        <f>-('پيش پرداخت سرمايه اي يادداشت 6'!I61+'پيش پرداخت يادداشت-6'!L26)</f>
        <v>119615072056</v>
      </c>
      <c r="P166" s="2241">
        <f>-'يادداشت 8سرمايه گذاري در شركتها'!G124</f>
        <v>-334805178401</v>
      </c>
      <c r="R166" s="2241"/>
      <c r="T166" s="510"/>
      <c r="V166" s="510">
        <f>-(1217143529+5502243282)-'پيش پرداخت سرمايه اي يادداشت 6'!O61-4905115323</f>
        <v>-11714610268</v>
      </c>
      <c r="W166" s="510">
        <f>-W409+4905431153+6000000000+2597966478+9657432425+8487367485+1595517516+695250955+806000000+6740000000-739069627+94864138-803270885+1721864-3000000000+2500000000+5000000000+27445835860-993273061-28000000000+5718107036-6795786044+282811537+1957309116+40555555</f>
        <v>356446479677</v>
      </c>
      <c r="X166" s="551">
        <f>9468763296719-X409</f>
        <v>7482363367977</v>
      </c>
      <c r="Y166" s="2240"/>
      <c r="Z166" s="2240"/>
      <c r="AA166" s="2240"/>
      <c r="AB166" s="2204">
        <f>W166+W409</f>
        <v>44194771501</v>
      </c>
      <c r="AC166" s="2224"/>
      <c r="AD166" s="2205">
        <f>X166-AE166</f>
        <v>5727034779660</v>
      </c>
      <c r="AE166" s="234">
        <f>3741728517059-X409</f>
        <v>1755328588317</v>
      </c>
      <c r="AF166" s="2224">
        <f t="shared" si="33"/>
        <v>13902850473097</v>
      </c>
      <c r="AG166" s="2224">
        <f t="shared" si="34"/>
        <v>-6420487105120</v>
      </c>
      <c r="AK166" s="2224">
        <f t="shared" si="35"/>
        <v>13914565083365</v>
      </c>
      <c r="AL166" s="2224">
        <f t="shared" si="36"/>
        <v>-6432201715388</v>
      </c>
      <c r="AO166" s="2204">
        <f>X166+X409</f>
        <v>9468763296719</v>
      </c>
      <c r="AP166" s="2224">
        <f>V166+V191+V199+V289+V298</f>
        <v>-11714610268</v>
      </c>
      <c r="AR166" s="2224">
        <f t="shared" si="32"/>
        <v>7482363367977</v>
      </c>
      <c r="AS166" s="2224">
        <f t="shared" si="38"/>
        <v>0</v>
      </c>
      <c r="AU166" s="234">
        <v>-123625000000</v>
      </c>
    </row>
    <row r="167" spans="2:47" ht="35.450000000000003" customHeight="1" x14ac:dyDescent="0.2">
      <c r="B167" s="3654"/>
      <c r="C167" s="1762" t="s">
        <v>609</v>
      </c>
      <c r="D167" s="1200" t="s">
        <v>607</v>
      </c>
      <c r="E167" s="1271">
        <v>1651772573334</v>
      </c>
      <c r="F167" s="1271">
        <f>-'يادداشت 8سرمايه گذاري در شركتها'!E126</f>
        <v>0</v>
      </c>
      <c r="G167" s="1245"/>
      <c r="H167" s="1245">
        <f t="shared" ref="H167:H179" si="41">E167+G167+F167</f>
        <v>1651772573334</v>
      </c>
      <c r="I167" s="2241"/>
      <c r="J167" s="510">
        <f t="shared" ref="J167:J179" si="42">X167-O167-N167-P167-Q167-K167-R167-W167-E167-T167-I167-V167-F167-G167</f>
        <v>220247295318</v>
      </c>
      <c r="K167" s="2241"/>
      <c r="L167" s="2241"/>
      <c r="M167" s="2241"/>
      <c r="N167" s="510">
        <f>-'يادداشت_-5موجودی_جنسی__(2)'!K44</f>
        <v>25253120</v>
      </c>
      <c r="O167" s="510">
        <f>-'پيش پرداخت سرمايه اي يادداشت 6'!I63</f>
        <v>51531503603</v>
      </c>
      <c r="P167" s="2241">
        <f>-'يادداشت 8سرمايه گذاري در شركتها'!G126</f>
        <v>-211803933622</v>
      </c>
      <c r="Q167" s="2241"/>
      <c r="R167" s="2241"/>
      <c r="T167" s="510"/>
      <c r="V167" s="510"/>
      <c r="W167" s="2241">
        <f>-1269744192-80342120+6524190527-193792266+7000000000-1616012787-20380782198-437662966-14879067-W324</f>
        <v>-3043780591</v>
      </c>
      <c r="X167" s="551">
        <f>1768716286315-X422</f>
        <v>1708728911162</v>
      </c>
      <c r="Y167" s="2240"/>
      <c r="Z167" s="2240"/>
      <c r="AA167" s="2240"/>
      <c r="AC167" s="2224"/>
      <c r="AD167" s="2205">
        <f>X167-AE167</f>
        <v>1229205896463</v>
      </c>
      <c r="AE167" s="234">
        <f>539510389852-X422</f>
        <v>479523014699</v>
      </c>
      <c r="AF167" s="2224">
        <f t="shared" si="33"/>
        <v>3360501484496</v>
      </c>
      <c r="AG167" s="2224">
        <f t="shared" si="34"/>
        <v>-1651772573334</v>
      </c>
      <c r="AK167" s="2224">
        <f t="shared" si="35"/>
        <v>3360501484496</v>
      </c>
      <c r="AL167" s="2224">
        <f t="shared" si="36"/>
        <v>-1651772573334</v>
      </c>
      <c r="AP167" s="2224">
        <f t="shared" si="37"/>
        <v>0</v>
      </c>
      <c r="AR167" s="2224">
        <f t="shared" si="32"/>
        <v>1708728911162</v>
      </c>
      <c r="AS167" s="2224">
        <f t="shared" si="38"/>
        <v>0</v>
      </c>
      <c r="AU167" s="234">
        <v>-21194000000</v>
      </c>
    </row>
    <row r="168" spans="2:47" ht="24.6" customHeight="1" x14ac:dyDescent="0.2">
      <c r="B168" s="3654"/>
      <c r="C168" s="1762" t="s">
        <v>610</v>
      </c>
      <c r="D168" s="1200" t="s">
        <v>596</v>
      </c>
      <c r="E168" s="1271">
        <v>339368445489</v>
      </c>
      <c r="F168" s="1271"/>
      <c r="G168" s="1245">
        <f>-'مطالبات بلند مدت دولت ياددا (2)'!E80</f>
        <v>0</v>
      </c>
      <c r="H168" s="1245">
        <f t="shared" si="41"/>
        <v>339368445489</v>
      </c>
      <c r="I168" s="2241"/>
      <c r="J168" s="510">
        <f t="shared" si="42"/>
        <v>7278386404</v>
      </c>
      <c r="K168" s="2241"/>
      <c r="L168" s="2241"/>
      <c r="M168" s="2241"/>
      <c r="N168" s="510">
        <f>-'يادداشت_-5موجودی_جنسی__(2)'!K65</f>
        <v>1500000000</v>
      </c>
      <c r="O168" s="510">
        <f>-'پيش پرداخت سرمايه اي يادداشت 6'!I64</f>
        <v>466409500</v>
      </c>
      <c r="P168" s="2241"/>
      <c r="Q168" s="2241">
        <f>-'مطالبات بلند مدت دولت ياددا (2)'!G80</f>
        <v>-139624567903</v>
      </c>
      <c r="R168" s="2241"/>
      <c r="T168" s="510"/>
      <c r="V168" s="510"/>
      <c r="W168" s="510"/>
      <c r="X168" s="551">
        <f>251538842822-X449</f>
        <v>208988673490</v>
      </c>
      <c r="Y168" s="2240"/>
      <c r="Z168" s="2240"/>
      <c r="AA168" s="2240"/>
      <c r="AC168" s="2224"/>
      <c r="AF168" s="2224">
        <f t="shared" si="33"/>
        <v>548357118979</v>
      </c>
      <c r="AG168" s="2224">
        <f t="shared" si="34"/>
        <v>-339368445489</v>
      </c>
      <c r="AK168" s="2224">
        <f t="shared" si="35"/>
        <v>548357118979</v>
      </c>
      <c r="AL168" s="2224">
        <f t="shared" si="36"/>
        <v>-339368445489</v>
      </c>
      <c r="AP168" s="2224">
        <f t="shared" si="37"/>
        <v>0</v>
      </c>
      <c r="AR168" s="2224">
        <f t="shared" si="32"/>
        <v>208988673490</v>
      </c>
      <c r="AS168" s="2224">
        <f t="shared" si="38"/>
        <v>0</v>
      </c>
      <c r="AU168" s="234"/>
    </row>
    <row r="169" spans="2:47" ht="31.15" customHeight="1" x14ac:dyDescent="0.2">
      <c r="B169" s="3654"/>
      <c r="C169" s="1762" t="s">
        <v>611</v>
      </c>
      <c r="D169" s="1200" t="s">
        <v>597</v>
      </c>
      <c r="E169" s="1271">
        <v>24785718227</v>
      </c>
      <c r="F169" s="1271">
        <f>-'يادداشت 8سرمايه گذاري در شركتها'!E127</f>
        <v>0</v>
      </c>
      <c r="G169" s="1245"/>
      <c r="H169" s="1245">
        <f t="shared" si="41"/>
        <v>24785718227</v>
      </c>
      <c r="I169" s="2241"/>
      <c r="J169" s="510">
        <f t="shared" si="42"/>
        <v>0</v>
      </c>
      <c r="K169" s="2241"/>
      <c r="L169" s="2241"/>
      <c r="M169" s="2241"/>
      <c r="N169" s="510">
        <f>-'يادداشت_-5موجودی_جنسی__(2)'!K42</f>
        <v>311740000</v>
      </c>
      <c r="O169" s="510"/>
      <c r="P169" s="2241">
        <f>-'يادداشت 8سرمايه گذاري در شركتها'!G127</f>
        <v>-14348654</v>
      </c>
      <c r="Q169" s="2241"/>
      <c r="R169" s="2241"/>
      <c r="T169" s="510"/>
      <c r="V169" s="510"/>
      <c r="W169" s="510">
        <f>150000000</f>
        <v>150000000</v>
      </c>
      <c r="X169" s="551">
        <v>25233109573</v>
      </c>
      <c r="Y169" s="2240"/>
      <c r="Z169" s="2240"/>
      <c r="AA169" s="2240"/>
      <c r="AC169" s="2224"/>
      <c r="AF169" s="2224">
        <f t="shared" si="33"/>
        <v>50018827800</v>
      </c>
      <c r="AG169" s="2224">
        <f t="shared" si="34"/>
        <v>-24785718227</v>
      </c>
      <c r="AK169" s="2224">
        <f t="shared" si="35"/>
        <v>50018827800</v>
      </c>
      <c r="AL169" s="2224">
        <f t="shared" si="36"/>
        <v>-24785718227</v>
      </c>
      <c r="AP169" s="2224">
        <f t="shared" si="37"/>
        <v>0</v>
      </c>
      <c r="AR169" s="2224">
        <f t="shared" si="32"/>
        <v>25233109573</v>
      </c>
      <c r="AS169" s="2224">
        <f t="shared" si="38"/>
        <v>0</v>
      </c>
      <c r="AU169" s="234"/>
    </row>
    <row r="170" spans="2:47" ht="24.6" customHeight="1" x14ac:dyDescent="0.2">
      <c r="B170" s="3654"/>
      <c r="C170" s="1762" t="s">
        <v>634</v>
      </c>
      <c r="D170" s="1200" t="s">
        <v>598</v>
      </c>
      <c r="E170" s="1271">
        <v>323259820974</v>
      </c>
      <c r="F170" s="1271">
        <f>-'يادداشت 8سرمايه گذاري در شركتها'!E129</f>
        <v>0</v>
      </c>
      <c r="G170" s="1245"/>
      <c r="H170" s="1245">
        <f t="shared" si="41"/>
        <v>323259820974</v>
      </c>
      <c r="I170" s="2241"/>
      <c r="J170" s="510">
        <f t="shared" si="42"/>
        <v>60595648376</v>
      </c>
      <c r="K170" s="2241"/>
      <c r="L170" s="2241"/>
      <c r="M170" s="2241"/>
      <c r="N170" s="510">
        <f>-'يادداشت_-5موجودی_جنسی__(2)'!K46</f>
        <v>0</v>
      </c>
      <c r="O170" s="510">
        <f>-'پيش پرداخت سرمايه اي يادداشت 6'!I66</f>
        <v>11438822698</v>
      </c>
      <c r="P170" s="2241">
        <f>-'يادداشت 8سرمايه گذاري در شركتها'!G129</f>
        <v>-59599169086</v>
      </c>
      <c r="Q170" s="2241"/>
      <c r="R170" s="2241"/>
      <c r="T170" s="510"/>
      <c r="V170" s="510"/>
      <c r="W170" s="510">
        <f>-W426-190000000-200000000+3000000000+9900000000+1616012787-7000000000-2500000000-10780000000-5000000000-4406254997-576490458-300000000-4650000000-51293769190-7000000000+710000000</f>
        <v>-78335501858</v>
      </c>
      <c r="X170" s="551">
        <f>259131997468-X426</f>
        <v>257359621104</v>
      </c>
      <c r="Y170" s="2240"/>
      <c r="Z170" s="2240"/>
      <c r="AA170" s="2240"/>
      <c r="AC170" s="2224"/>
      <c r="AF170" s="2224">
        <f t="shared" si="33"/>
        <v>580619442078</v>
      </c>
      <c r="AG170" s="2224">
        <f t="shared" si="34"/>
        <v>-323259820974</v>
      </c>
      <c r="AK170" s="2224">
        <f t="shared" si="35"/>
        <v>580619442078</v>
      </c>
      <c r="AL170" s="2224">
        <f t="shared" si="36"/>
        <v>-323259820974</v>
      </c>
      <c r="AP170" s="2224">
        <f t="shared" si="37"/>
        <v>0</v>
      </c>
      <c r="AR170" s="2224">
        <f t="shared" si="32"/>
        <v>257359621104</v>
      </c>
      <c r="AS170" s="2224">
        <f t="shared" si="38"/>
        <v>0</v>
      </c>
      <c r="AU170" s="234">
        <v>-3115000000</v>
      </c>
    </row>
    <row r="171" spans="2:47" ht="24.6" customHeight="1" x14ac:dyDescent="0.2">
      <c r="B171" s="3654"/>
      <c r="C171" s="1762" t="s">
        <v>641</v>
      </c>
      <c r="D171" s="1200" t="s">
        <v>640</v>
      </c>
      <c r="E171" s="1271">
        <v>145428150107</v>
      </c>
      <c r="F171" s="1271">
        <f>-'يادداشت 8سرمايه گذاري در شركتها'!E130</f>
        <v>0</v>
      </c>
      <c r="G171" s="1245"/>
      <c r="H171" s="1245">
        <f t="shared" si="41"/>
        <v>145428150107</v>
      </c>
      <c r="I171" s="2241"/>
      <c r="J171" s="510">
        <f t="shared" si="42"/>
        <v>65651397865</v>
      </c>
      <c r="K171" s="2241"/>
      <c r="L171" s="2241"/>
      <c r="M171" s="2241"/>
      <c r="N171" s="510">
        <f>-'يادداشت_-5موجودی_جنسی__(2)'!K43</f>
        <v>230278240</v>
      </c>
      <c r="O171" s="510">
        <f>-'پيش پرداخت سرمايه اي يادداشت 6'!I67</f>
        <v>7528601055</v>
      </c>
      <c r="P171" s="2241">
        <f>-'يادداشت 8سرمايه گذاري در شركتها'!G130</f>
        <v>-19935601181</v>
      </c>
      <c r="Q171" s="2241"/>
      <c r="R171" s="2270"/>
      <c r="T171" s="510"/>
      <c r="V171" s="510"/>
      <c r="W171" s="510">
        <f>3952920981-1233542084-16091196625-1357646394+810000000</f>
        <v>-13919464122</v>
      </c>
      <c r="X171" s="551">
        <f>184983361964</f>
        <v>184983361964</v>
      </c>
      <c r="Y171" s="2240"/>
      <c r="Z171" s="2240"/>
      <c r="AA171" s="2240"/>
      <c r="AC171" s="2224"/>
      <c r="AD171" s="2205">
        <f>X171-AE171</f>
        <v>104244179613</v>
      </c>
      <c r="AE171" s="234">
        <v>80739182351</v>
      </c>
      <c r="AF171" s="2224">
        <f t="shared" si="33"/>
        <v>330411512071</v>
      </c>
      <c r="AG171" s="2224">
        <f t="shared" si="34"/>
        <v>-145428150107</v>
      </c>
      <c r="AK171" s="2224">
        <f t="shared" si="35"/>
        <v>330411512071</v>
      </c>
      <c r="AL171" s="2224">
        <f t="shared" si="36"/>
        <v>-145428150107</v>
      </c>
      <c r="AP171" s="2224">
        <f t="shared" si="37"/>
        <v>0</v>
      </c>
      <c r="AR171" s="2224">
        <f t="shared" si="32"/>
        <v>184983361964</v>
      </c>
      <c r="AS171" s="2224">
        <f t="shared" si="38"/>
        <v>0</v>
      </c>
      <c r="AU171" s="234">
        <v>-5563000000</v>
      </c>
    </row>
    <row r="172" spans="2:47" ht="24.6" customHeight="1" x14ac:dyDescent="0.2">
      <c r="B172" s="3654"/>
      <c r="C172" s="1762" t="s">
        <v>622</v>
      </c>
      <c r="D172" s="1213" t="s">
        <v>620</v>
      </c>
      <c r="E172" s="1271">
        <v>856027773583</v>
      </c>
      <c r="F172" s="1271">
        <f>-'يادداشت 8سرمايه گذاري در شركتها'!E132</f>
        <v>0</v>
      </c>
      <c r="G172" s="1245"/>
      <c r="H172" s="1245">
        <f t="shared" si="41"/>
        <v>856027773583</v>
      </c>
      <c r="I172" s="2241"/>
      <c r="J172" s="510">
        <f t="shared" si="42"/>
        <v>316477617926</v>
      </c>
      <c r="K172" s="2241"/>
      <c r="L172" s="2241"/>
      <c r="M172" s="2241"/>
      <c r="N172" s="510">
        <f>-'يادداشت_-5موجودی_جنسی__(2)'!K48</f>
        <v>17535650594</v>
      </c>
      <c r="O172" s="510">
        <f>-'پيش پرداخت سرمايه اي يادداشت 6'!I79</f>
        <v>28307191257</v>
      </c>
      <c r="P172" s="2241">
        <f>-'يادداشت 8سرمايه گذاري در شركتها'!G132</f>
        <v>-173129727658</v>
      </c>
      <c r="Q172" s="2241"/>
      <c r="R172" s="2270"/>
      <c r="T172" s="510"/>
      <c r="V172" s="510"/>
      <c r="W172" s="510">
        <f>-W442-2500000000-4157432425+251049+4650000000+46188750+3537719139-594000000+5000000000-14000000000+10251124704-3333366769+71948098580-55752302685+3269900000</f>
        <v>28607336260</v>
      </c>
      <c r="X172" s="551">
        <f>1127435456409-X442</f>
        <v>1073825841962</v>
      </c>
      <c r="Y172" s="2240"/>
      <c r="Z172" s="2240"/>
      <c r="AA172" s="2240"/>
      <c r="AB172" s="2204">
        <f>W172+W442</f>
        <v>18366180343</v>
      </c>
      <c r="AC172" s="2224"/>
      <c r="AD172" s="2205">
        <f>X172-AE172</f>
        <v>751166500158</v>
      </c>
      <c r="AE172" s="234">
        <f>376268956251-X442</f>
        <v>322659341804</v>
      </c>
      <c r="AF172" s="2224">
        <f t="shared" si="33"/>
        <v>1929853615545</v>
      </c>
      <c r="AG172" s="2224">
        <f t="shared" si="34"/>
        <v>-856027773583</v>
      </c>
      <c r="AK172" s="2224">
        <f t="shared" si="35"/>
        <v>1929853615545</v>
      </c>
      <c r="AL172" s="2224">
        <f t="shared" si="36"/>
        <v>-856027773583</v>
      </c>
      <c r="AP172" s="2224">
        <f t="shared" si="37"/>
        <v>0</v>
      </c>
      <c r="AR172" s="2224">
        <f t="shared" si="32"/>
        <v>1073825841962</v>
      </c>
      <c r="AS172" s="2224">
        <f t="shared" si="38"/>
        <v>0</v>
      </c>
      <c r="AU172" s="234">
        <v>-16416000000</v>
      </c>
    </row>
    <row r="173" spans="2:47" ht="24.6" customHeight="1" x14ac:dyDescent="0.2">
      <c r="B173" s="3654"/>
      <c r="C173" s="1762" t="s">
        <v>642</v>
      </c>
      <c r="D173" s="1213" t="s">
        <v>631</v>
      </c>
      <c r="E173" s="1271">
        <v>354307230278</v>
      </c>
      <c r="F173" s="1271">
        <f>-'يادداشت 8سرمايه گذاري در شركتها'!E133</f>
        <v>0</v>
      </c>
      <c r="G173" s="1245"/>
      <c r="H173" s="1245">
        <f t="shared" si="41"/>
        <v>354307230278</v>
      </c>
      <c r="I173" s="2241"/>
      <c r="J173" s="510">
        <f t="shared" si="42"/>
        <v>102116215853</v>
      </c>
      <c r="K173" s="2241"/>
      <c r="L173" s="2241"/>
      <c r="M173" s="2241"/>
      <c r="N173" s="510">
        <f>-'يادداشت_-5موجودی_جنسی__(2)'!K49</f>
        <v>349955400</v>
      </c>
      <c r="O173" s="510">
        <f>-'پيش پرداخت سرمايه اي يادداشت 6'!I80</f>
        <v>1389285123</v>
      </c>
      <c r="P173" s="2241">
        <f>-'يادداشت 8سرمايه گذاري در شركتها'!G133</f>
        <v>-70774853693</v>
      </c>
      <c r="Q173" s="2241"/>
      <c r="R173" s="2270"/>
      <c r="T173" s="510"/>
      <c r="V173" s="510"/>
      <c r="W173" s="510">
        <f>-W452+2379025101+41081507+665369132+1530000000</f>
        <v>8123234100</v>
      </c>
      <c r="X173" s="551">
        <f>400003308701-X452</f>
        <v>395511067061</v>
      </c>
      <c r="Y173" s="2240"/>
      <c r="Z173" s="2240"/>
      <c r="AA173" s="2240"/>
      <c r="AB173" s="2204">
        <f>W173+W452</f>
        <v>4615475740</v>
      </c>
      <c r="AC173" s="2224"/>
      <c r="AD173" s="2205">
        <f>X173-AE173</f>
        <v>251725528922</v>
      </c>
      <c r="AE173" s="234">
        <v>143785538139</v>
      </c>
      <c r="AF173" s="2224">
        <f t="shared" si="33"/>
        <v>749818297339</v>
      </c>
      <c r="AG173" s="2224">
        <f t="shared" si="34"/>
        <v>-354307230278</v>
      </c>
      <c r="AK173" s="2224">
        <f t="shared" si="35"/>
        <v>749818297339</v>
      </c>
      <c r="AL173" s="2224">
        <f t="shared" si="36"/>
        <v>-354307230278</v>
      </c>
      <c r="AP173" s="2224">
        <f t="shared" si="37"/>
        <v>0</v>
      </c>
      <c r="AR173" s="2224">
        <f t="shared" si="32"/>
        <v>395511067061</v>
      </c>
      <c r="AS173" s="2224">
        <f t="shared" si="38"/>
        <v>0</v>
      </c>
      <c r="AU173" s="234">
        <v>-3093000000</v>
      </c>
    </row>
    <row r="174" spans="2:47" ht="24.6" customHeight="1" x14ac:dyDescent="0.2">
      <c r="B174" s="3654"/>
      <c r="C174" s="1762" t="s">
        <v>623</v>
      </c>
      <c r="D174" s="1200" t="s">
        <v>599</v>
      </c>
      <c r="E174" s="1271">
        <v>71700184845</v>
      </c>
      <c r="F174" s="1271">
        <f>-'يادداشت 8سرمايه گذاري در شركتها'!E134</f>
        <v>0</v>
      </c>
      <c r="G174" s="1245"/>
      <c r="H174" s="1245">
        <f t="shared" si="41"/>
        <v>71700184845</v>
      </c>
      <c r="I174" s="2241"/>
      <c r="J174" s="510">
        <f t="shared" si="42"/>
        <v>11046943360</v>
      </c>
      <c r="K174" s="2241"/>
      <c r="L174" s="2241"/>
      <c r="M174" s="2241"/>
      <c r="N174" s="510">
        <f>-'يادداشت_-5موجودی_جنسی__(2)'!K50</f>
        <v>0</v>
      </c>
      <c r="O174" s="510">
        <f>-'پيش پرداخت سرمايه اي يادداشت 6'!I81</f>
        <v>749396474</v>
      </c>
      <c r="P174" s="2241">
        <f>-'يادداشت 8سرمايه گذاري در شركتها'!G134</f>
        <v>0</v>
      </c>
      <c r="Q174" s="2241"/>
      <c r="R174" s="1258"/>
      <c r="T174" s="510"/>
      <c r="V174" s="510"/>
      <c r="W174" s="510">
        <f>144000000+100000000</f>
        <v>244000000</v>
      </c>
      <c r="X174" s="551">
        <f>83740524679</f>
        <v>83740524679</v>
      </c>
      <c r="Y174" s="2240"/>
      <c r="Z174" s="2240"/>
      <c r="AA174" s="2240"/>
      <c r="AC174" s="2224"/>
      <c r="AF174" s="2224">
        <f t="shared" si="33"/>
        <v>155440709524</v>
      </c>
      <c r="AG174" s="2224">
        <f t="shared" si="34"/>
        <v>-71700184845</v>
      </c>
      <c r="AK174" s="2224">
        <f t="shared" si="35"/>
        <v>155440709524</v>
      </c>
      <c r="AL174" s="2224">
        <f t="shared" si="36"/>
        <v>-71700184845</v>
      </c>
      <c r="AP174" s="2224">
        <f t="shared" si="37"/>
        <v>0</v>
      </c>
      <c r="AR174" s="2224">
        <f t="shared" si="32"/>
        <v>83740524679</v>
      </c>
      <c r="AS174" s="2224">
        <f t="shared" si="38"/>
        <v>0</v>
      </c>
      <c r="AU174" s="234">
        <v>-60000000</v>
      </c>
    </row>
    <row r="175" spans="2:47" ht="24.6" customHeight="1" x14ac:dyDescent="0.2">
      <c r="B175" s="3654"/>
      <c r="C175" s="1762" t="s">
        <v>643</v>
      </c>
      <c r="D175" s="1200" t="s">
        <v>632</v>
      </c>
      <c r="E175" s="1271">
        <v>326313258583</v>
      </c>
      <c r="F175" s="1271">
        <f>-'يادداشت 8سرمايه گذاري در شركتها'!E135</f>
        <v>0</v>
      </c>
      <c r="G175" s="1245"/>
      <c r="H175" s="1245">
        <f t="shared" si="41"/>
        <v>326313258583</v>
      </c>
      <c r="I175" s="2241"/>
      <c r="J175" s="510">
        <f t="shared" si="42"/>
        <v>219094658378</v>
      </c>
      <c r="K175" s="2241"/>
      <c r="L175" s="2241"/>
      <c r="M175" s="2241"/>
      <c r="N175" s="510">
        <f>-'يادداشت_-5موجودی_جنسی__(2)'!K47</f>
        <v>93195000</v>
      </c>
      <c r="O175" s="510">
        <f>-('پيش پرداخت سرمايه اي يادداشت 6'!I82+'پيش پرداخت يادداشت-6'!L27)</f>
        <v>72870793077</v>
      </c>
      <c r="P175" s="2241">
        <f>-'يادداشت 8سرمايه گذاري در شركتها'!G135</f>
        <v>-124004979074</v>
      </c>
      <c r="Q175" s="2241"/>
      <c r="R175" s="1258"/>
      <c r="T175" s="510"/>
      <c r="V175" s="510"/>
      <c r="W175" s="510">
        <f>-W453+1406826+12736856412-11279213972</f>
        <v>26578093706</v>
      </c>
      <c r="X175" s="551">
        <f>548356935010-X453</f>
        <v>520945019670</v>
      </c>
      <c r="Y175" s="2240"/>
      <c r="Z175" s="2240"/>
      <c r="AA175" s="2240"/>
      <c r="AC175" s="2224"/>
      <c r="AF175" s="2224">
        <f t="shared" si="33"/>
        <v>847258278253</v>
      </c>
      <c r="AG175" s="2224">
        <f t="shared" si="34"/>
        <v>-326313258583</v>
      </c>
      <c r="AK175" s="2224">
        <f t="shared" si="35"/>
        <v>847258278253</v>
      </c>
      <c r="AL175" s="2224">
        <f t="shared" si="36"/>
        <v>-326313258583</v>
      </c>
      <c r="AP175" s="2224">
        <f t="shared" si="37"/>
        <v>0</v>
      </c>
      <c r="AR175" s="2224">
        <f t="shared" si="32"/>
        <v>520945019670</v>
      </c>
      <c r="AS175" s="2224">
        <f t="shared" si="38"/>
        <v>0</v>
      </c>
      <c r="AU175" s="234">
        <v>-2851000000</v>
      </c>
    </row>
    <row r="176" spans="2:47" ht="24.6" customHeight="1" x14ac:dyDescent="0.2">
      <c r="B176" s="3654"/>
      <c r="C176" s="1762" t="s">
        <v>624</v>
      </c>
      <c r="D176" s="1213" t="s">
        <v>600</v>
      </c>
      <c r="E176" s="1271">
        <v>300809563659</v>
      </c>
      <c r="F176" s="1271">
        <f>-'يادداشت 8سرمايه گذاري در شركتها'!E137</f>
        <v>0</v>
      </c>
      <c r="G176" s="1271"/>
      <c r="H176" s="1245">
        <f t="shared" si="41"/>
        <v>300809563659</v>
      </c>
      <c r="I176" s="2241"/>
      <c r="J176" s="510">
        <f t="shared" si="42"/>
        <v>132790583013</v>
      </c>
      <c r="K176" s="2241"/>
      <c r="L176" s="2241"/>
      <c r="M176" s="2241"/>
      <c r="N176" s="510">
        <f>-'يادداشت_-5موجودی_جنسی__(2)'!K51</f>
        <v>66433320</v>
      </c>
      <c r="O176" s="2271">
        <f>-'پيش پرداخت سرمايه اي يادداشت 6'!I83</f>
        <v>7112741512</v>
      </c>
      <c r="P176" s="2241">
        <f>-'يادداشت 8سرمايه گذاري در شركتها'!G137</f>
        <v>-24675704229</v>
      </c>
      <c r="Q176" s="2241"/>
      <c r="R176" s="1258"/>
      <c r="T176" s="510"/>
      <c r="V176" s="510"/>
      <c r="W176" s="510">
        <f>-895583+986940000</f>
        <v>986044417</v>
      </c>
      <c r="X176" s="551">
        <f>459587543086-X450</f>
        <v>417089661692</v>
      </c>
      <c r="Y176" s="2240"/>
      <c r="Z176" s="2240"/>
      <c r="AA176" s="2240"/>
      <c r="AC176" s="2224"/>
      <c r="AF176" s="2224">
        <f t="shared" si="33"/>
        <v>717899225351</v>
      </c>
      <c r="AG176" s="2224">
        <f t="shared" si="34"/>
        <v>-300809563659</v>
      </c>
      <c r="AK176" s="2224">
        <f t="shared" si="35"/>
        <v>717899225351</v>
      </c>
      <c r="AL176" s="2224">
        <f t="shared" si="36"/>
        <v>-300809563659</v>
      </c>
      <c r="AP176" s="2224">
        <f t="shared" si="37"/>
        <v>0</v>
      </c>
      <c r="AR176" s="2224">
        <f t="shared" si="32"/>
        <v>417089661692</v>
      </c>
      <c r="AS176" s="2224">
        <f t="shared" si="38"/>
        <v>0</v>
      </c>
      <c r="AU176" s="234">
        <v>-490000000</v>
      </c>
    </row>
    <row r="177" spans="1:47" ht="21.75" customHeight="1" x14ac:dyDescent="0.2">
      <c r="B177" s="3654"/>
      <c r="C177" s="1762" t="s">
        <v>625</v>
      </c>
      <c r="D177" s="1200" t="s">
        <v>601</v>
      </c>
      <c r="E177" s="1271">
        <v>381651606330</v>
      </c>
      <c r="F177" s="1271">
        <f>-'يادداشت 8سرمايه گذاري در شركتها'!E139</f>
        <v>0</v>
      </c>
      <c r="G177" s="1271"/>
      <c r="H177" s="1245">
        <f t="shared" si="41"/>
        <v>381651606330</v>
      </c>
      <c r="I177" s="2241"/>
      <c r="J177" s="510">
        <f t="shared" si="42"/>
        <v>91192569673</v>
      </c>
      <c r="K177" s="2241"/>
      <c r="L177" s="2241"/>
      <c r="M177" s="2241"/>
      <c r="N177" s="510">
        <f>-'يادداشت_-5موجودی_جنسی__(2)'!K41</f>
        <v>515293191</v>
      </c>
      <c r="O177" s="510">
        <f>-'پيش پرداخت سرمايه اي يادداشت 6'!I84</f>
        <v>12477559973</v>
      </c>
      <c r="P177" s="2241">
        <f>-'يادداشت 8سرمايه گذاري در شركتها'!G139</f>
        <v>-188301285546</v>
      </c>
      <c r="Q177" s="2241"/>
      <c r="R177" s="1258"/>
      <c r="T177" s="510"/>
      <c r="V177" s="510"/>
      <c r="W177" s="510">
        <f>-W451+8857555329+927373972</f>
        <v>13596295268</v>
      </c>
      <c r="X177" s="1270">
        <f>315320672922-X451</f>
        <v>311132038889</v>
      </c>
      <c r="Y177" s="2240"/>
      <c r="Z177" s="2240"/>
      <c r="AA177" s="2240"/>
      <c r="AC177" s="2224"/>
      <c r="AD177" s="2205">
        <f>X177-AE177</f>
        <v>238183674922</v>
      </c>
      <c r="AE177" s="238">
        <v>72948363967</v>
      </c>
      <c r="AF177" s="2224">
        <f t="shared" si="33"/>
        <v>692783645219</v>
      </c>
      <c r="AG177" s="2224">
        <f t="shared" si="34"/>
        <v>-381651606330</v>
      </c>
      <c r="AK177" s="2224">
        <f t="shared" si="35"/>
        <v>692783645219</v>
      </c>
      <c r="AL177" s="2224">
        <f t="shared" si="36"/>
        <v>-381651606330</v>
      </c>
      <c r="AP177" s="2224">
        <f t="shared" si="37"/>
        <v>0</v>
      </c>
      <c r="AR177" s="2224">
        <f t="shared" si="32"/>
        <v>311132038889</v>
      </c>
      <c r="AS177" s="2224">
        <f t="shared" si="38"/>
        <v>0</v>
      </c>
      <c r="AU177" s="234">
        <v>-3916000000</v>
      </c>
    </row>
    <row r="178" spans="1:47" ht="21.75" customHeight="1" x14ac:dyDescent="0.2">
      <c r="B178" s="3654"/>
      <c r="C178" s="1762" t="s">
        <v>626</v>
      </c>
      <c r="D178" s="1200" t="s">
        <v>602</v>
      </c>
      <c r="E178" s="1271">
        <v>54815680415</v>
      </c>
      <c r="F178" s="1271">
        <f>-'يادداشت 8سرمايه گذاري در شركتها'!E140</f>
        <v>0</v>
      </c>
      <c r="G178" s="1271"/>
      <c r="H178" s="1245">
        <f t="shared" si="41"/>
        <v>54815680415</v>
      </c>
      <c r="I178" s="2241"/>
      <c r="J178" s="510">
        <f t="shared" si="42"/>
        <v>5740137820</v>
      </c>
      <c r="K178" s="2241"/>
      <c r="L178" s="2241"/>
      <c r="M178" s="2241"/>
      <c r="N178" s="510"/>
      <c r="O178" s="510">
        <f>-('پيش پرداخت سرمايه اي يادداشت 6'!I86+'پيش پرداخت يادداشت-6'!L29)</f>
        <v>9767500092</v>
      </c>
      <c r="P178" s="2241">
        <f>-'يادداشت 8سرمايه گذاري در شركتها'!G140</f>
        <v>-27450470553</v>
      </c>
      <c r="Q178" s="2241"/>
      <c r="R178" s="1258"/>
      <c r="T178" s="510"/>
      <c r="V178" s="510"/>
      <c r="W178" s="1248">
        <f>-W412+803270885-151643129</f>
        <v>63685605058</v>
      </c>
      <c r="X178" s="550">
        <f>152877467972-X412</f>
        <v>106558452832</v>
      </c>
      <c r="Y178" s="2240"/>
      <c r="Z178" s="2240"/>
      <c r="AA178" s="2240"/>
      <c r="AC178" s="2224"/>
      <c r="AE178" s="235"/>
      <c r="AF178" s="2224">
        <f t="shared" si="33"/>
        <v>161374133247</v>
      </c>
      <c r="AG178" s="2224">
        <f t="shared" si="34"/>
        <v>-54815680415</v>
      </c>
      <c r="AK178" s="2224">
        <f t="shared" si="35"/>
        <v>161374133247</v>
      </c>
      <c r="AL178" s="2224">
        <f t="shared" si="36"/>
        <v>-54815680415</v>
      </c>
      <c r="AP178" s="2224">
        <f t="shared" si="37"/>
        <v>0</v>
      </c>
      <c r="AR178" s="2224">
        <f t="shared" si="32"/>
        <v>106558452832</v>
      </c>
      <c r="AS178" s="2224">
        <f t="shared" si="38"/>
        <v>0</v>
      </c>
      <c r="AU178" s="234">
        <v>-934000000</v>
      </c>
    </row>
    <row r="179" spans="1:47" ht="21.75" customHeight="1" x14ac:dyDescent="0.2">
      <c r="B179" s="3654"/>
      <c r="C179" s="1762" t="s">
        <v>627</v>
      </c>
      <c r="D179" s="1200" t="s">
        <v>603</v>
      </c>
      <c r="E179" s="1271">
        <v>97008421144</v>
      </c>
      <c r="F179" s="1271">
        <f>-'يادداشت 8سرمايه گذاري در شركتها'!E141</f>
        <v>0</v>
      </c>
      <c r="G179" s="1271"/>
      <c r="H179" s="1245">
        <f t="shared" si="41"/>
        <v>97008421144</v>
      </c>
      <c r="I179" s="2241"/>
      <c r="J179" s="510">
        <f t="shared" si="42"/>
        <v>63608995050</v>
      </c>
      <c r="K179" s="2241"/>
      <c r="L179" s="2241"/>
      <c r="M179" s="2241"/>
      <c r="N179" s="510">
        <f>-'يادداشت_-5موجودی_جنسی__(2)'!K56</f>
        <v>0</v>
      </c>
      <c r="O179" s="510">
        <f>-'پيش پرداخت سرمايه اي يادداشت 6'!I88</f>
        <v>2983569349</v>
      </c>
      <c r="P179" s="2241">
        <f>-'يادداشت 8سرمايه گذاري در شركتها'!G141</f>
        <v>-16001409725</v>
      </c>
      <c r="Q179" s="2241"/>
      <c r="R179" s="1258"/>
      <c r="T179" s="510"/>
      <c r="V179" s="510"/>
      <c r="W179" s="1248">
        <f>-158000000+10780000000</f>
        <v>10622000000</v>
      </c>
      <c r="X179" s="1746">
        <f>158221575818</f>
        <v>158221575818</v>
      </c>
      <c r="Y179" s="2240"/>
      <c r="Z179" s="2240"/>
      <c r="AA179" s="2240"/>
      <c r="AC179" s="2224"/>
      <c r="AF179" s="2224">
        <f t="shared" si="33"/>
        <v>255229996962</v>
      </c>
      <c r="AG179" s="2224">
        <f t="shared" si="34"/>
        <v>-97008421144</v>
      </c>
      <c r="AK179" s="2224">
        <f t="shared" si="35"/>
        <v>255229996962</v>
      </c>
      <c r="AL179" s="2224">
        <f t="shared" si="36"/>
        <v>-97008421144</v>
      </c>
      <c r="AP179" s="2224">
        <f t="shared" si="37"/>
        <v>0</v>
      </c>
      <c r="AR179" s="2224">
        <f t="shared" si="32"/>
        <v>158221575818</v>
      </c>
      <c r="AS179" s="2224">
        <f t="shared" si="38"/>
        <v>0</v>
      </c>
      <c r="AU179" s="234">
        <v>-530000000</v>
      </c>
    </row>
    <row r="180" spans="1:47" ht="24.6" customHeight="1" x14ac:dyDescent="0.2">
      <c r="B180" s="3655" t="s">
        <v>94</v>
      </c>
      <c r="C180" s="3656"/>
      <c r="D180" s="3657"/>
      <c r="E180" s="1283">
        <f>SUM(E164:E179)</f>
        <v>30972488907336</v>
      </c>
      <c r="F180" s="1283">
        <f>SUM(F164:F179)</f>
        <v>0</v>
      </c>
      <c r="G180" s="1283">
        <f>SUM(G164:G179)</f>
        <v>0</v>
      </c>
      <c r="H180" s="1249">
        <f>SUM(H164:H179)</f>
        <v>30972488907336</v>
      </c>
      <c r="I180" s="1250">
        <f t="shared" ref="I180:X180" si="43">SUM(I164:I179)</f>
        <v>0</v>
      </c>
      <c r="J180" s="1250">
        <f t="shared" si="43"/>
        <v>11879820710148</v>
      </c>
      <c r="K180" s="1250">
        <f t="shared" si="43"/>
        <v>0</v>
      </c>
      <c r="L180" s="1250">
        <f t="shared" si="43"/>
        <v>0</v>
      </c>
      <c r="M180" s="1250">
        <f t="shared" si="43"/>
        <v>0</v>
      </c>
      <c r="N180" s="1250">
        <f t="shared" si="43"/>
        <v>497367127405</v>
      </c>
      <c r="O180" s="1250">
        <f t="shared" si="43"/>
        <v>631888883430</v>
      </c>
      <c r="P180" s="1250">
        <f t="shared" si="43"/>
        <v>-1300300513888</v>
      </c>
      <c r="Q180" s="1250">
        <f t="shared" si="43"/>
        <v>-1315023704478</v>
      </c>
      <c r="R180" s="1250">
        <f t="shared" si="43"/>
        <v>0</v>
      </c>
      <c r="S180" s="1250">
        <f t="shared" si="43"/>
        <v>0</v>
      </c>
      <c r="T180" s="1250">
        <f t="shared" si="43"/>
        <v>0</v>
      </c>
      <c r="U180" s="1250">
        <f t="shared" si="43"/>
        <v>0</v>
      </c>
      <c r="V180" s="1250">
        <f>SUM(V164:V179)</f>
        <v>-46208983180</v>
      </c>
      <c r="W180" s="1250">
        <f>SUM(W164:W179)</f>
        <v>1028516422021</v>
      </c>
      <c r="X180" s="1251">
        <f t="shared" si="43"/>
        <v>42348548848794</v>
      </c>
      <c r="Y180" s="2240"/>
      <c r="Z180" s="2240"/>
      <c r="AA180" s="2240"/>
      <c r="AC180" s="2224"/>
      <c r="AF180" s="2224">
        <f t="shared" si="33"/>
        <v>73321037756130</v>
      </c>
      <c r="AG180" s="2224">
        <f t="shared" si="34"/>
        <v>-30972488907336</v>
      </c>
      <c r="AK180" s="2224">
        <f t="shared" si="35"/>
        <v>73367246739310</v>
      </c>
      <c r="AL180" s="2224">
        <f t="shared" si="36"/>
        <v>-31018697890516</v>
      </c>
      <c r="AP180" s="2224">
        <f t="shared" si="37"/>
        <v>0</v>
      </c>
      <c r="AR180" s="2224">
        <f t="shared" si="32"/>
        <v>42348548848794</v>
      </c>
      <c r="AS180" s="2224">
        <f t="shared" si="38"/>
        <v>0</v>
      </c>
      <c r="AU180" s="241">
        <f>SUM(AU164:AU179)</f>
        <v>-542010000000</v>
      </c>
    </row>
    <row r="181" spans="1:47" ht="15.6" customHeight="1" x14ac:dyDescent="0.2">
      <c r="B181" s="2272"/>
      <c r="C181" s="2272"/>
      <c r="D181" s="2272"/>
      <c r="E181" s="1272"/>
      <c r="F181" s="1272"/>
      <c r="G181" s="1272"/>
      <c r="H181" s="1272"/>
      <c r="I181" s="1273"/>
      <c r="J181" s="1273"/>
      <c r="K181" s="1273"/>
      <c r="L181" s="1273"/>
      <c r="M181" s="1273"/>
      <c r="N181" s="1273"/>
      <c r="O181" s="1273"/>
      <c r="P181" s="1273"/>
      <c r="Q181" s="1273"/>
      <c r="R181" s="1273"/>
      <c r="S181" s="1273"/>
      <c r="T181" s="1273"/>
      <c r="U181" s="1273"/>
      <c r="V181" s="1273"/>
      <c r="W181" s="1273"/>
      <c r="X181" s="1274"/>
      <c r="Y181" s="2240"/>
      <c r="Z181" s="2240"/>
      <c r="AA181" s="2240"/>
      <c r="AC181" s="2224"/>
      <c r="AF181" s="2224"/>
      <c r="AG181" s="2224"/>
      <c r="AK181" s="2224"/>
      <c r="AL181" s="2224"/>
      <c r="AP181" s="2224"/>
      <c r="AR181" s="2224">
        <f t="shared" si="32"/>
        <v>0</v>
      </c>
      <c r="AS181" s="2224"/>
      <c r="AU181" s="246"/>
    </row>
    <row r="182" spans="1:47" ht="12.75" customHeight="1" x14ac:dyDescent="0.2">
      <c r="B182" s="2273"/>
      <c r="C182" s="3660" t="s">
        <v>1063</v>
      </c>
      <c r="D182" s="3660"/>
      <c r="E182" s="3660"/>
      <c r="F182" s="3660"/>
      <c r="G182" s="3660"/>
      <c r="H182" s="3660"/>
      <c r="I182" s="3660"/>
      <c r="J182" s="3660"/>
      <c r="K182" s="3660"/>
      <c r="L182" s="3660"/>
      <c r="M182" s="3660"/>
      <c r="N182" s="3660"/>
      <c r="O182" s="3660"/>
      <c r="P182" s="3660"/>
      <c r="Q182" s="3660"/>
      <c r="R182" s="3660"/>
      <c r="S182" s="3660"/>
      <c r="T182" s="3660"/>
      <c r="U182" s="3660"/>
      <c r="V182" s="3660"/>
      <c r="W182" s="3660"/>
      <c r="X182" s="3660"/>
      <c r="Y182" s="3660"/>
      <c r="Z182" s="2274"/>
      <c r="AC182" s="2224"/>
      <c r="AF182" s="2224">
        <f t="shared" si="33"/>
        <v>0</v>
      </c>
      <c r="AG182" s="2224">
        <f t="shared" si="34"/>
        <v>0</v>
      </c>
      <c r="AK182" s="2224">
        <f t="shared" si="35"/>
        <v>0</v>
      </c>
      <c r="AL182" s="2224">
        <f t="shared" si="36"/>
        <v>0</v>
      </c>
      <c r="AP182" s="2224">
        <f t="shared" si="37"/>
        <v>0</v>
      </c>
      <c r="AR182" s="2224">
        <f t="shared" si="32"/>
        <v>0</v>
      </c>
      <c r="AS182" s="2224">
        <f t="shared" si="38"/>
        <v>0</v>
      </c>
    </row>
    <row r="183" spans="1:47" ht="15.75" customHeight="1" x14ac:dyDescent="0.2">
      <c r="B183" s="3574" t="s">
        <v>32</v>
      </c>
      <c r="C183" s="3574"/>
      <c r="D183" s="3574"/>
      <c r="E183" s="3574"/>
      <c r="F183" s="3574"/>
      <c r="G183" s="3574"/>
      <c r="H183" s="3574"/>
      <c r="I183" s="3574"/>
      <c r="J183" s="3574"/>
      <c r="K183" s="3574"/>
      <c r="L183" s="3574"/>
      <c r="M183" s="3574"/>
      <c r="N183" s="3574"/>
      <c r="O183" s="3574"/>
      <c r="P183" s="3574"/>
      <c r="Q183" s="3574"/>
      <c r="R183" s="3574"/>
      <c r="S183" s="3574"/>
      <c r="T183" s="3574"/>
      <c r="U183" s="3574"/>
      <c r="V183" s="3574"/>
      <c r="W183" s="3574"/>
      <c r="X183" s="3574"/>
      <c r="Y183" s="3574"/>
      <c r="Z183" s="3574"/>
      <c r="AA183" s="3574"/>
      <c r="AC183" s="2224"/>
      <c r="AF183" s="2224">
        <f t="shared" si="33"/>
        <v>0</v>
      </c>
      <c r="AG183" s="2224">
        <f t="shared" si="34"/>
        <v>0</v>
      </c>
      <c r="AK183" s="2224">
        <f t="shared" si="35"/>
        <v>0</v>
      </c>
      <c r="AL183" s="2224">
        <f t="shared" si="36"/>
        <v>0</v>
      </c>
      <c r="AP183" s="2224">
        <f t="shared" si="37"/>
        <v>0</v>
      </c>
      <c r="AR183" s="2224">
        <f t="shared" si="32"/>
        <v>0</v>
      </c>
      <c r="AS183" s="2224">
        <f t="shared" si="38"/>
        <v>0</v>
      </c>
    </row>
    <row r="184" spans="1:47" ht="15.75" customHeight="1" x14ac:dyDescent="0.2">
      <c r="B184" s="3574" t="s">
        <v>45</v>
      </c>
      <c r="C184" s="3574"/>
      <c r="D184" s="3574"/>
      <c r="E184" s="3574"/>
      <c r="F184" s="3574"/>
      <c r="G184" s="3574"/>
      <c r="H184" s="3574"/>
      <c r="I184" s="3574"/>
      <c r="J184" s="3574"/>
      <c r="K184" s="3574"/>
      <c r="L184" s="3574"/>
      <c r="M184" s="3574"/>
      <c r="N184" s="3574"/>
      <c r="O184" s="3574"/>
      <c r="P184" s="3574"/>
      <c r="Q184" s="3574"/>
      <c r="R184" s="3574"/>
      <c r="S184" s="3574"/>
      <c r="T184" s="3574"/>
      <c r="U184" s="3574"/>
      <c r="V184" s="3574"/>
      <c r="W184" s="3574"/>
      <c r="X184" s="3574"/>
      <c r="Y184" s="3574"/>
      <c r="Z184" s="3574"/>
      <c r="AA184" s="3574"/>
      <c r="AC184" s="2224"/>
      <c r="AF184" s="2224">
        <f t="shared" si="33"/>
        <v>0</v>
      </c>
      <c r="AG184" s="2224">
        <f t="shared" si="34"/>
        <v>0</v>
      </c>
      <c r="AK184" s="2224">
        <f t="shared" si="35"/>
        <v>0</v>
      </c>
      <c r="AL184" s="2224">
        <f t="shared" si="36"/>
        <v>0</v>
      </c>
      <c r="AP184" s="2224">
        <f t="shared" si="37"/>
        <v>0</v>
      </c>
      <c r="AR184" s="2224">
        <f t="shared" si="32"/>
        <v>0</v>
      </c>
      <c r="AS184" s="2224">
        <f t="shared" si="38"/>
        <v>0</v>
      </c>
    </row>
    <row r="185" spans="1:47" ht="15.75" customHeight="1" x14ac:dyDescent="0.2">
      <c r="B185" s="3574" t="s">
        <v>46</v>
      </c>
      <c r="C185" s="3574"/>
      <c r="D185" s="3574"/>
      <c r="E185" s="3574"/>
      <c r="F185" s="3574"/>
      <c r="G185" s="3574"/>
      <c r="H185" s="3574"/>
      <c r="I185" s="3574"/>
      <c r="J185" s="3574"/>
      <c r="K185" s="3574"/>
      <c r="L185" s="3574"/>
      <c r="M185" s="3574"/>
      <c r="N185" s="3574"/>
      <c r="O185" s="3574"/>
      <c r="P185" s="3574"/>
      <c r="Q185" s="3574"/>
      <c r="R185" s="3574"/>
      <c r="S185" s="3574"/>
      <c r="T185" s="3574"/>
      <c r="U185" s="3574"/>
      <c r="V185" s="3574"/>
      <c r="W185" s="3574"/>
      <c r="X185" s="3574"/>
      <c r="Y185" s="3574"/>
      <c r="Z185" s="3574"/>
      <c r="AA185" s="3574"/>
      <c r="AC185" s="2224"/>
      <c r="AF185" s="2224">
        <f t="shared" si="33"/>
        <v>0</v>
      </c>
      <c r="AG185" s="2224">
        <f t="shared" si="34"/>
        <v>0</v>
      </c>
      <c r="AK185" s="2224">
        <f t="shared" si="35"/>
        <v>0</v>
      </c>
      <c r="AL185" s="2224">
        <f t="shared" si="36"/>
        <v>0</v>
      </c>
      <c r="AP185" s="2224">
        <f t="shared" si="37"/>
        <v>0</v>
      </c>
      <c r="AR185" s="2224">
        <f t="shared" si="32"/>
        <v>0</v>
      </c>
      <c r="AS185" s="2224">
        <f t="shared" si="38"/>
        <v>0</v>
      </c>
    </row>
    <row r="186" spans="1:47" ht="15.75" customHeight="1" x14ac:dyDescent="0.2">
      <c r="B186" s="3572" t="s">
        <v>1992</v>
      </c>
      <c r="C186" s="3572"/>
      <c r="D186" s="3572"/>
      <c r="E186" s="3572"/>
      <c r="F186" s="3572"/>
      <c r="G186" s="3572"/>
      <c r="H186" s="3572"/>
      <c r="I186" s="3572"/>
      <c r="J186" s="3572"/>
      <c r="K186" s="3572"/>
      <c r="L186" s="3572"/>
      <c r="M186" s="3572"/>
      <c r="N186" s="3572"/>
      <c r="O186" s="3572"/>
      <c r="P186" s="3572"/>
      <c r="Q186" s="3572"/>
      <c r="R186" s="3572"/>
      <c r="S186" s="3572"/>
      <c r="T186" s="3572"/>
      <c r="U186" s="3572"/>
      <c r="V186" s="3572"/>
      <c r="W186" s="3572"/>
      <c r="X186" s="3572"/>
      <c r="Y186" s="3572"/>
      <c r="Z186" s="3572"/>
      <c r="AA186" s="3572"/>
      <c r="AC186" s="2224"/>
      <c r="AF186" s="2224">
        <f t="shared" si="33"/>
        <v>0</v>
      </c>
      <c r="AG186" s="2224">
        <f t="shared" si="34"/>
        <v>0</v>
      </c>
      <c r="AK186" s="2224">
        <f t="shared" si="35"/>
        <v>0</v>
      </c>
      <c r="AL186" s="2224">
        <f t="shared" si="36"/>
        <v>0</v>
      </c>
      <c r="AP186" s="2224">
        <f t="shared" si="37"/>
        <v>0</v>
      </c>
      <c r="AR186" s="2224">
        <f t="shared" si="32"/>
        <v>0</v>
      </c>
      <c r="AS186" s="2224">
        <f t="shared" si="38"/>
        <v>0</v>
      </c>
    </row>
    <row r="187" spans="1:47" ht="10.9" customHeight="1" x14ac:dyDescent="0.2">
      <c r="B187" s="3664" t="s">
        <v>894</v>
      </c>
      <c r="C187" s="3664"/>
      <c r="D187" s="3664"/>
      <c r="E187" s="1252"/>
      <c r="F187" s="1252"/>
      <c r="G187" s="1252"/>
      <c r="H187" s="1252"/>
      <c r="I187" s="2239"/>
      <c r="J187" s="2239"/>
      <c r="K187" s="2239"/>
      <c r="L187" s="2239"/>
      <c r="M187" s="2239"/>
      <c r="N187" s="2239"/>
      <c r="O187" s="2239"/>
      <c r="P187" s="2239"/>
      <c r="Q187" s="2239"/>
      <c r="R187" s="2239"/>
      <c r="S187" s="2239"/>
      <c r="T187" s="2239"/>
      <c r="U187" s="2239"/>
      <c r="V187" s="2239"/>
      <c r="W187" s="3665" t="s">
        <v>338</v>
      </c>
      <c r="X187" s="3665"/>
      <c r="Y187" s="2240"/>
      <c r="Z187" s="2240"/>
      <c r="AA187" s="2240"/>
      <c r="AC187" s="2224"/>
      <c r="AF187" s="2224">
        <f t="shared" si="33"/>
        <v>0</v>
      </c>
      <c r="AG187" s="2224">
        <f t="shared" si="34"/>
        <v>0</v>
      </c>
      <c r="AK187" s="2224" t="e">
        <f t="shared" si="35"/>
        <v>#VALUE!</v>
      </c>
      <c r="AL187" s="2224" t="e">
        <f t="shared" si="36"/>
        <v>#VALUE!</v>
      </c>
      <c r="AP187" s="2224" t="e">
        <f t="shared" si="37"/>
        <v>#VALUE!</v>
      </c>
      <c r="AR187" s="2224" t="e">
        <f t="shared" si="32"/>
        <v>#VALUE!</v>
      </c>
      <c r="AS187" s="2224" t="e">
        <f t="shared" si="38"/>
        <v>#VALUE!</v>
      </c>
      <c r="AU187" s="2240"/>
    </row>
    <row r="188" spans="1:47" ht="32.450000000000003" customHeight="1" x14ac:dyDescent="0.2">
      <c r="B188" s="3666" t="s">
        <v>419</v>
      </c>
      <c r="C188" s="3659" t="s">
        <v>196</v>
      </c>
      <c r="D188" s="3677" t="s">
        <v>197</v>
      </c>
      <c r="E188" s="3647" t="s">
        <v>1391</v>
      </c>
      <c r="F188" s="3682" t="s">
        <v>1116</v>
      </c>
      <c r="G188" s="3682"/>
      <c r="H188" s="3662" t="s">
        <v>1993</v>
      </c>
      <c r="I188" s="3650" t="s">
        <v>1244</v>
      </c>
      <c r="J188" s="3650"/>
      <c r="K188" s="2216" t="s">
        <v>340</v>
      </c>
      <c r="L188" s="2216"/>
      <c r="M188" s="2216"/>
      <c r="N188" s="3661" t="s">
        <v>341</v>
      </c>
      <c r="O188" s="3661"/>
      <c r="P188" s="3651" t="s">
        <v>1012</v>
      </c>
      <c r="Q188" s="3652"/>
      <c r="R188" s="3652"/>
      <c r="S188" s="3652"/>
      <c r="T188" s="3653"/>
      <c r="U188" s="2217"/>
      <c r="V188" s="3650" t="s">
        <v>1334</v>
      </c>
      <c r="W188" s="3649" t="s">
        <v>898</v>
      </c>
      <c r="X188" s="3648" t="s">
        <v>1986</v>
      </c>
      <c r="Y188" s="2240"/>
      <c r="Z188" s="2240"/>
      <c r="AA188" s="2240"/>
      <c r="AC188" s="2224"/>
      <c r="AF188" s="2224">
        <f t="shared" si="33"/>
        <v>0</v>
      </c>
      <c r="AG188" s="2224" t="e">
        <f t="shared" si="34"/>
        <v>#VALUE!</v>
      </c>
      <c r="AK188" s="2224" t="e">
        <f t="shared" si="35"/>
        <v>#VALUE!</v>
      </c>
      <c r="AL188" s="2224" t="e">
        <f t="shared" si="36"/>
        <v>#VALUE!</v>
      </c>
      <c r="AP188" s="2224" t="e">
        <f t="shared" si="37"/>
        <v>#VALUE!</v>
      </c>
      <c r="AR188" s="2224" t="e">
        <f t="shared" si="32"/>
        <v>#VALUE!</v>
      </c>
      <c r="AS188" s="2224" t="e">
        <f t="shared" si="38"/>
        <v>#VALUE!</v>
      </c>
    </row>
    <row r="189" spans="1:47" ht="67.900000000000006" customHeight="1" x14ac:dyDescent="0.2">
      <c r="B189" s="3666"/>
      <c r="C189" s="3659"/>
      <c r="D189" s="3677"/>
      <c r="E189" s="3647"/>
      <c r="F189" s="1409" t="s">
        <v>1955</v>
      </c>
      <c r="G189" s="1409" t="s">
        <v>1956</v>
      </c>
      <c r="H189" s="3662"/>
      <c r="I189" s="3650"/>
      <c r="J189" s="3650"/>
      <c r="K189" s="2220" t="s">
        <v>315</v>
      </c>
      <c r="L189" s="2220" t="s">
        <v>891</v>
      </c>
      <c r="M189" s="2216" t="s">
        <v>314</v>
      </c>
      <c r="N189" s="2216" t="s">
        <v>1076</v>
      </c>
      <c r="O189" s="2216" t="s">
        <v>18</v>
      </c>
      <c r="P189" s="2220" t="s">
        <v>892</v>
      </c>
      <c r="Q189" s="2220" t="s">
        <v>826</v>
      </c>
      <c r="R189" s="2220" t="s">
        <v>315</v>
      </c>
      <c r="S189" s="2216"/>
      <c r="T189" s="2216" t="s">
        <v>1180</v>
      </c>
      <c r="U189" s="2216"/>
      <c r="V189" s="3650"/>
      <c r="W189" s="3649"/>
      <c r="X189" s="3648"/>
      <c r="Y189" s="2240"/>
      <c r="Z189" s="2240"/>
      <c r="AA189" s="2240"/>
      <c r="AC189" s="2224"/>
      <c r="AF189" s="2224">
        <f t="shared" si="33"/>
        <v>0</v>
      </c>
      <c r="AG189" s="2224">
        <f t="shared" si="34"/>
        <v>0</v>
      </c>
      <c r="AK189" s="2224" t="e">
        <f t="shared" si="35"/>
        <v>#VALUE!</v>
      </c>
      <c r="AL189" s="2224" t="e">
        <f t="shared" si="36"/>
        <v>#VALUE!</v>
      </c>
      <c r="AP189" s="2224" t="e">
        <f t="shared" si="37"/>
        <v>#VALUE!</v>
      </c>
      <c r="AR189" s="2224" t="e">
        <f t="shared" si="32"/>
        <v>#VALUE!</v>
      </c>
      <c r="AS189" s="2224" t="e">
        <f t="shared" si="38"/>
        <v>#VALUE!</v>
      </c>
      <c r="AU189" s="2221" t="s">
        <v>1180</v>
      </c>
    </row>
    <row r="190" spans="1:47" ht="18.600000000000001" customHeight="1" x14ac:dyDescent="0.2">
      <c r="A190" s="2273" t="s">
        <v>180</v>
      </c>
      <c r="B190" s="3654" t="s">
        <v>420</v>
      </c>
      <c r="C190" s="3684" t="s">
        <v>181</v>
      </c>
      <c r="D190" s="3684"/>
      <c r="E190" s="1280">
        <f t="shared" ref="E190:X190" si="44">E180</f>
        <v>30972488907336</v>
      </c>
      <c r="F190" s="1280">
        <f t="shared" si="44"/>
        <v>0</v>
      </c>
      <c r="G190" s="1280">
        <f t="shared" si="44"/>
        <v>0</v>
      </c>
      <c r="H190" s="1280">
        <f t="shared" si="44"/>
        <v>30972488907336</v>
      </c>
      <c r="I190" s="1780">
        <f t="shared" si="44"/>
        <v>0</v>
      </c>
      <c r="J190" s="1780">
        <f t="shared" si="44"/>
        <v>11879820710148</v>
      </c>
      <c r="K190" s="1780">
        <f t="shared" si="44"/>
        <v>0</v>
      </c>
      <c r="L190" s="1780">
        <f t="shared" si="44"/>
        <v>0</v>
      </c>
      <c r="M190" s="1780">
        <f t="shared" si="44"/>
        <v>0</v>
      </c>
      <c r="N190" s="1780">
        <f t="shared" si="44"/>
        <v>497367127405</v>
      </c>
      <c r="O190" s="2275">
        <f t="shared" si="44"/>
        <v>631888883430</v>
      </c>
      <c r="P190" s="2275">
        <f t="shared" si="44"/>
        <v>-1300300513888</v>
      </c>
      <c r="Q190" s="2275">
        <f t="shared" si="44"/>
        <v>-1315023704478</v>
      </c>
      <c r="R190" s="2275">
        <f t="shared" si="44"/>
        <v>0</v>
      </c>
      <c r="S190" s="2275">
        <f t="shared" si="44"/>
        <v>0</v>
      </c>
      <c r="T190" s="2275">
        <f t="shared" si="44"/>
        <v>0</v>
      </c>
      <c r="U190" s="2275">
        <f t="shared" si="44"/>
        <v>0</v>
      </c>
      <c r="V190" s="2275">
        <f t="shared" si="44"/>
        <v>-46208983180</v>
      </c>
      <c r="W190" s="2275">
        <f t="shared" si="44"/>
        <v>1028516422021</v>
      </c>
      <c r="X190" s="2276">
        <f t="shared" si="44"/>
        <v>42348548848794</v>
      </c>
      <c r="Y190" s="215" t="e">
        <f>#N/A</f>
        <v>#N/A</v>
      </c>
      <c r="Z190" s="2240"/>
      <c r="AA190" s="2240"/>
      <c r="AC190" s="2224"/>
      <c r="AF190" s="2224">
        <f t="shared" si="33"/>
        <v>73321037756130</v>
      </c>
      <c r="AG190" s="2224">
        <f t="shared" si="34"/>
        <v>-30972488907336</v>
      </c>
      <c r="AK190" s="2224">
        <f t="shared" si="35"/>
        <v>73367246739310</v>
      </c>
      <c r="AL190" s="2224">
        <f t="shared" si="36"/>
        <v>-31018697890516</v>
      </c>
      <c r="AP190" s="2224">
        <f t="shared" si="37"/>
        <v>0</v>
      </c>
      <c r="AR190" s="2224">
        <f t="shared" si="32"/>
        <v>42348548848794</v>
      </c>
      <c r="AS190" s="2224">
        <f t="shared" si="38"/>
        <v>0</v>
      </c>
      <c r="AU190" s="2142">
        <f>AU180</f>
        <v>-542010000000</v>
      </c>
    </row>
    <row r="191" spans="1:47" ht="21" customHeight="1" x14ac:dyDescent="0.2">
      <c r="A191" s="2273"/>
      <c r="B191" s="3654"/>
      <c r="C191" s="1762" t="s">
        <v>628</v>
      </c>
      <c r="D191" s="1200" t="s">
        <v>604</v>
      </c>
      <c r="E191" s="1300">
        <v>6265791324</v>
      </c>
      <c r="F191" s="1300">
        <f>-'يادداشت 8سرمايه گذاري در شركتها'!E142</f>
        <v>0</v>
      </c>
      <c r="G191" s="1255"/>
      <c r="H191" s="1255">
        <f>E191+G191+F191</f>
        <v>6265791324</v>
      </c>
      <c r="I191" s="1779"/>
      <c r="J191" s="240">
        <f t="shared" ref="J191:J207" si="45">X191-O191-N191-P191-Q191-K191-R191-W191-E191-T191-I191-V191-F191-G191</f>
        <v>0</v>
      </c>
      <c r="K191" s="1779"/>
      <c r="L191" s="1779"/>
      <c r="M191" s="1779"/>
      <c r="N191" s="240"/>
      <c r="O191" s="1256"/>
      <c r="P191" s="2241">
        <f>-'يادداشت 8سرمايه گذاري در شركتها'!G142</f>
        <v>0</v>
      </c>
      <c r="Q191" s="2241"/>
      <c r="R191" s="1258"/>
      <c r="T191" s="510"/>
      <c r="V191" s="510"/>
      <c r="W191" s="1248">
        <f>-W446-826281</f>
        <v>1921173719</v>
      </c>
      <c r="X191" s="1746">
        <f>8186966043-X446</f>
        <v>8186965043</v>
      </c>
      <c r="Y191" s="2240"/>
      <c r="Z191" s="2240"/>
      <c r="AA191" s="2240"/>
      <c r="AC191" s="2224"/>
      <c r="AF191" s="2224">
        <f t="shared" si="33"/>
        <v>14452756367</v>
      </c>
      <c r="AG191" s="2224">
        <f t="shared" si="34"/>
        <v>-6265791324</v>
      </c>
      <c r="AH191" s="2204">
        <v>14457389460</v>
      </c>
      <c r="AK191" s="2224">
        <f t="shared" si="35"/>
        <v>14452756367</v>
      </c>
      <c r="AL191" s="2224">
        <f t="shared" si="36"/>
        <v>-6265791324</v>
      </c>
      <c r="AP191" s="2224">
        <f t="shared" si="37"/>
        <v>0</v>
      </c>
      <c r="AR191" s="2224">
        <f t="shared" si="32"/>
        <v>8186965043</v>
      </c>
      <c r="AS191" s="2224">
        <f t="shared" si="38"/>
        <v>0</v>
      </c>
      <c r="AU191" s="234"/>
    </row>
    <row r="192" spans="1:47" ht="21" customHeight="1" x14ac:dyDescent="0.2">
      <c r="A192" s="2273"/>
      <c r="B192" s="3654"/>
      <c r="C192" s="1762" t="s">
        <v>645</v>
      </c>
      <c r="D192" s="1208" t="s">
        <v>644</v>
      </c>
      <c r="E192" s="1255">
        <v>152040474</v>
      </c>
      <c r="F192" s="1255">
        <f>-'يادداشت 8سرمايه گذاري در شركتها'!E145</f>
        <v>0</v>
      </c>
      <c r="G192" s="1255"/>
      <c r="H192" s="1255">
        <f t="shared" ref="H192:H207" si="46">E192+G192+F192</f>
        <v>152040474</v>
      </c>
      <c r="I192" s="1779"/>
      <c r="J192" s="240">
        <f t="shared" si="45"/>
        <v>0</v>
      </c>
      <c r="K192" s="1779"/>
      <c r="L192" s="1779"/>
      <c r="M192" s="1779"/>
      <c r="N192" s="240"/>
      <c r="O192" s="1256"/>
      <c r="P192" s="2241"/>
      <c r="Q192" s="2241"/>
      <c r="R192" s="1258"/>
      <c r="T192" s="510"/>
      <c r="V192" s="510"/>
      <c r="W192" s="1248"/>
      <c r="X192" s="550">
        <f>1759432152-X447</f>
        <v>152040474</v>
      </c>
      <c r="Y192" s="2240"/>
      <c r="Z192" s="2240"/>
      <c r="AA192" s="2240"/>
      <c r="AC192" s="2224"/>
      <c r="AF192" s="2224">
        <f t="shared" si="33"/>
        <v>304080948</v>
      </c>
      <c r="AG192" s="2224">
        <f t="shared" si="34"/>
        <v>-152040474</v>
      </c>
      <c r="AK192" s="2224">
        <f t="shared" si="35"/>
        <v>304080948</v>
      </c>
      <c r="AL192" s="2224">
        <f t="shared" si="36"/>
        <v>-152040474</v>
      </c>
      <c r="AP192" s="2224">
        <f t="shared" si="37"/>
        <v>0</v>
      </c>
      <c r="AR192" s="2224">
        <f t="shared" si="32"/>
        <v>152040474</v>
      </c>
      <c r="AS192" s="2224">
        <f t="shared" si="38"/>
        <v>0</v>
      </c>
      <c r="AU192" s="234"/>
    </row>
    <row r="193" spans="1:47" ht="21" customHeight="1" x14ac:dyDescent="0.2">
      <c r="A193" s="2273"/>
      <c r="B193" s="3654"/>
      <c r="C193" s="1762" t="s">
        <v>629</v>
      </c>
      <c r="D193" s="1200" t="s">
        <v>605</v>
      </c>
      <c r="E193" s="1255">
        <v>240826408488</v>
      </c>
      <c r="F193" s="1255"/>
      <c r="G193" s="1255"/>
      <c r="H193" s="1255">
        <f t="shared" si="46"/>
        <v>240826408488</v>
      </c>
      <c r="I193" s="1779"/>
      <c r="J193" s="240">
        <f t="shared" si="45"/>
        <v>3971044096</v>
      </c>
      <c r="K193" s="1779"/>
      <c r="L193" s="1779"/>
      <c r="M193" s="1779"/>
      <c r="N193" s="240">
        <f>-'يادداشت_-5موجودی_جنسی__(2)'!K45</f>
        <v>0</v>
      </c>
      <c r="O193" s="1256">
        <f>-'پيش پرداخت سرمايه اي يادداشت 6'!I90</f>
        <v>3851169154</v>
      </c>
      <c r="P193" s="2241">
        <f>-'يادداشت 8سرمايه گذاري در شركتها'!G145</f>
        <v>-30788889618</v>
      </c>
      <c r="Q193" s="2241"/>
      <c r="R193" s="1258"/>
      <c r="T193" s="510"/>
      <c r="V193" s="510"/>
      <c r="W193" s="510"/>
      <c r="X193" s="1244">
        <f>217859732120</f>
        <v>217859732120</v>
      </c>
      <c r="Y193" s="2240"/>
      <c r="Z193" s="2240"/>
      <c r="AA193" s="2240"/>
      <c r="AC193" s="2224"/>
      <c r="AD193" s="2205">
        <f>X193-AE193</f>
        <v>172693061377</v>
      </c>
      <c r="AE193" s="237">
        <v>45166670743</v>
      </c>
      <c r="AF193" s="2224">
        <f t="shared" si="33"/>
        <v>458686140608</v>
      </c>
      <c r="AG193" s="2224">
        <f t="shared" si="34"/>
        <v>-240826408488</v>
      </c>
      <c r="AK193" s="2224">
        <f t="shared" si="35"/>
        <v>458686140608</v>
      </c>
      <c r="AL193" s="2224">
        <f t="shared" si="36"/>
        <v>-240826408488</v>
      </c>
      <c r="AP193" s="2224">
        <f t="shared" si="37"/>
        <v>0</v>
      </c>
      <c r="AR193" s="2224">
        <f t="shared" si="32"/>
        <v>217859732120</v>
      </c>
      <c r="AS193" s="2224">
        <f t="shared" si="38"/>
        <v>0</v>
      </c>
      <c r="AU193" s="234">
        <v>-4178000000</v>
      </c>
    </row>
    <row r="194" spans="1:47" ht="21" customHeight="1" x14ac:dyDescent="0.2">
      <c r="A194" s="2273"/>
      <c r="B194" s="3654"/>
      <c r="C194" s="1762" t="s">
        <v>647</v>
      </c>
      <c r="D194" s="1208" t="s">
        <v>646</v>
      </c>
      <c r="E194" s="1255">
        <v>81802691569</v>
      </c>
      <c r="F194" s="1255"/>
      <c r="G194" s="1255"/>
      <c r="H194" s="1255">
        <f t="shared" si="46"/>
        <v>81802691569</v>
      </c>
      <c r="I194" s="1779"/>
      <c r="J194" s="240">
        <f t="shared" si="45"/>
        <v>0</v>
      </c>
      <c r="K194" s="1779"/>
      <c r="L194" s="1779"/>
      <c r="M194" s="1779"/>
      <c r="N194" s="240"/>
      <c r="O194" s="1256"/>
      <c r="P194" s="2241"/>
      <c r="Q194" s="2241"/>
      <c r="R194" s="1258"/>
      <c r="T194" s="510"/>
      <c r="V194" s="510"/>
      <c r="W194" s="510">
        <f>-1406826</f>
        <v>-1406826</v>
      </c>
      <c r="X194" s="1766">
        <v>81801284743</v>
      </c>
      <c r="Y194" s="2240"/>
      <c r="Z194" s="2240"/>
      <c r="AA194" s="2240"/>
      <c r="AC194" s="2224"/>
      <c r="AF194" s="2224">
        <f t="shared" si="33"/>
        <v>163603976312</v>
      </c>
      <c r="AG194" s="2224">
        <f t="shared" si="34"/>
        <v>-81802691569</v>
      </c>
      <c r="AK194" s="2224">
        <f t="shared" si="35"/>
        <v>163603976312</v>
      </c>
      <c r="AL194" s="2224">
        <f t="shared" si="36"/>
        <v>-81802691569</v>
      </c>
      <c r="AP194" s="2224">
        <f t="shared" si="37"/>
        <v>0</v>
      </c>
      <c r="AR194" s="2224">
        <f t="shared" si="32"/>
        <v>81801284743</v>
      </c>
      <c r="AS194" s="2224">
        <f t="shared" si="38"/>
        <v>0</v>
      </c>
      <c r="AU194" s="234"/>
    </row>
    <row r="195" spans="1:47" ht="21" customHeight="1" x14ac:dyDescent="0.2">
      <c r="A195" s="2273"/>
      <c r="B195" s="3654"/>
      <c r="C195" s="1762" t="s">
        <v>612</v>
      </c>
      <c r="D195" s="1200" t="s">
        <v>606</v>
      </c>
      <c r="E195" s="1255">
        <v>2024938569</v>
      </c>
      <c r="F195" s="1255"/>
      <c r="G195" s="1255"/>
      <c r="H195" s="1255">
        <f t="shared" si="46"/>
        <v>2024938569</v>
      </c>
      <c r="I195" s="1779"/>
      <c r="J195" s="240">
        <f t="shared" si="45"/>
        <v>0</v>
      </c>
      <c r="K195" s="1779"/>
      <c r="L195" s="1779"/>
      <c r="M195" s="1779"/>
      <c r="N195" s="240"/>
      <c r="O195" s="1256"/>
      <c r="P195" s="2241"/>
      <c r="Q195" s="2241"/>
      <c r="R195" s="1258"/>
      <c r="T195" s="1246"/>
      <c r="V195" s="1246"/>
      <c r="W195" s="1246">
        <f>-66000000</f>
        <v>-66000000</v>
      </c>
      <c r="X195" s="1270">
        <v>1958938569</v>
      </c>
      <c r="Y195" s="2240"/>
      <c r="Z195" s="2240"/>
      <c r="AA195" s="2240"/>
      <c r="AC195" s="2224"/>
      <c r="AF195" s="2224">
        <f t="shared" si="33"/>
        <v>3983877138</v>
      </c>
      <c r="AG195" s="2224">
        <f t="shared" si="34"/>
        <v>-2024938569</v>
      </c>
      <c r="AK195" s="2224">
        <f t="shared" si="35"/>
        <v>3983877138</v>
      </c>
      <c r="AL195" s="2224">
        <f t="shared" si="36"/>
        <v>-2024938569</v>
      </c>
      <c r="AP195" s="2224">
        <f t="shared" si="37"/>
        <v>0</v>
      </c>
      <c r="AR195" s="2224">
        <f t="shared" si="32"/>
        <v>1958938569</v>
      </c>
      <c r="AS195" s="2224">
        <f t="shared" si="38"/>
        <v>0</v>
      </c>
      <c r="AU195" s="238"/>
    </row>
    <row r="196" spans="1:47" ht="25.15" customHeight="1" x14ac:dyDescent="0.2">
      <c r="A196" s="2273"/>
      <c r="B196" s="3654"/>
      <c r="C196" s="1762" t="s">
        <v>630</v>
      </c>
      <c r="D196" s="1208" t="s">
        <v>621</v>
      </c>
      <c r="E196" s="1255">
        <v>307308595862</v>
      </c>
      <c r="F196" s="1255"/>
      <c r="G196" s="1255"/>
      <c r="H196" s="1255">
        <f t="shared" si="46"/>
        <v>307308595862</v>
      </c>
      <c r="I196" s="1779"/>
      <c r="J196" s="240">
        <f t="shared" si="45"/>
        <v>0</v>
      </c>
      <c r="K196" s="1779"/>
      <c r="L196" s="1779"/>
      <c r="M196" s="1779"/>
      <c r="N196" s="240"/>
      <c r="O196" s="1256"/>
      <c r="P196" s="2241"/>
      <c r="Q196" s="2255"/>
      <c r="R196" s="240"/>
      <c r="S196" s="1823"/>
      <c r="T196" s="240"/>
      <c r="U196" s="1823"/>
      <c r="V196" s="240"/>
      <c r="W196" s="240"/>
      <c r="X196" s="1255">
        <v>307308595862</v>
      </c>
      <c r="Y196" s="2240"/>
      <c r="Z196" s="2240"/>
      <c r="AA196" s="2240"/>
      <c r="AC196" s="2224"/>
      <c r="AF196" s="2224">
        <f t="shared" si="33"/>
        <v>614617191724</v>
      </c>
      <c r="AG196" s="2224">
        <f t="shared" si="34"/>
        <v>-307308595862</v>
      </c>
      <c r="AK196" s="2224">
        <f t="shared" si="35"/>
        <v>614617191724</v>
      </c>
      <c r="AL196" s="2224">
        <f t="shared" si="36"/>
        <v>-307308595862</v>
      </c>
      <c r="AP196" s="2224">
        <f t="shared" si="37"/>
        <v>0</v>
      </c>
      <c r="AR196" s="2224">
        <f t="shared" si="32"/>
        <v>307308595862</v>
      </c>
      <c r="AS196" s="2224">
        <f t="shared" si="38"/>
        <v>0</v>
      </c>
      <c r="AU196" s="235"/>
    </row>
    <row r="197" spans="1:47" ht="21" hidden="1" customHeight="1" x14ac:dyDescent="0.2">
      <c r="A197" s="2273"/>
      <c r="B197" s="3654"/>
      <c r="C197" s="1821" t="s">
        <v>637</v>
      </c>
      <c r="D197" s="1412" t="s">
        <v>613</v>
      </c>
      <c r="E197" s="1287">
        <v>0</v>
      </c>
      <c r="F197" s="1350"/>
      <c r="G197" s="1407"/>
      <c r="H197" s="1286">
        <f t="shared" si="46"/>
        <v>0</v>
      </c>
      <c r="I197" s="2277"/>
      <c r="J197" s="240">
        <f t="shared" si="45"/>
        <v>0</v>
      </c>
      <c r="K197" s="2277"/>
      <c r="L197" s="2277"/>
      <c r="M197" s="2277"/>
      <c r="N197" s="1297"/>
      <c r="O197" s="1246"/>
      <c r="P197" s="2249"/>
      <c r="Q197" s="2270"/>
      <c r="R197" s="240"/>
      <c r="S197" s="1823"/>
      <c r="T197" s="240"/>
      <c r="U197" s="1823"/>
      <c r="V197" s="240"/>
      <c r="W197" s="240"/>
      <c r="X197" s="550"/>
      <c r="Y197" s="2240"/>
      <c r="Z197" s="2240"/>
      <c r="AA197" s="2240"/>
      <c r="AC197" s="2224"/>
      <c r="AF197" s="2224">
        <f t="shared" si="33"/>
        <v>0</v>
      </c>
      <c r="AG197" s="2224">
        <f t="shared" si="34"/>
        <v>0</v>
      </c>
      <c r="AK197" s="2224">
        <f t="shared" si="35"/>
        <v>0</v>
      </c>
      <c r="AL197" s="2224">
        <f t="shared" si="36"/>
        <v>0</v>
      </c>
      <c r="AP197" s="2224">
        <f t="shared" si="37"/>
        <v>0</v>
      </c>
      <c r="AR197" s="2224">
        <f t="shared" si="32"/>
        <v>0</v>
      </c>
      <c r="AS197" s="2224">
        <f t="shared" si="38"/>
        <v>0</v>
      </c>
      <c r="AU197" s="235"/>
    </row>
    <row r="198" spans="1:47" ht="21" customHeight="1" x14ac:dyDescent="0.2">
      <c r="A198" s="2273"/>
      <c r="B198" s="3654"/>
      <c r="C198" s="1762" t="s">
        <v>671</v>
      </c>
      <c r="D198" s="1208" t="s">
        <v>670</v>
      </c>
      <c r="E198" s="1285">
        <v>4296948776</v>
      </c>
      <c r="F198" s="1285"/>
      <c r="G198" s="1255"/>
      <c r="H198" s="1271">
        <f t="shared" si="46"/>
        <v>4296948776</v>
      </c>
      <c r="I198" s="1779"/>
      <c r="J198" s="240">
        <f t="shared" si="45"/>
        <v>0</v>
      </c>
      <c r="K198" s="1779"/>
      <c r="L198" s="1779"/>
      <c r="M198" s="1779"/>
      <c r="N198" s="240"/>
      <c r="O198" s="240"/>
      <c r="P198" s="1779"/>
      <c r="Q198" s="2256"/>
      <c r="R198" s="1779"/>
      <c r="S198" s="1823"/>
      <c r="T198" s="240"/>
      <c r="U198" s="1823"/>
      <c r="V198" s="240"/>
      <c r="W198" s="240"/>
      <c r="X198" s="1740">
        <v>4296948776</v>
      </c>
      <c r="Y198" s="2240"/>
      <c r="Z198" s="2240"/>
      <c r="AA198" s="2240"/>
      <c r="AC198" s="2224"/>
      <c r="AF198" s="2224">
        <f t="shared" si="33"/>
        <v>8593897552</v>
      </c>
      <c r="AG198" s="2224">
        <f t="shared" si="34"/>
        <v>-4296948776</v>
      </c>
      <c r="AK198" s="2224">
        <f t="shared" si="35"/>
        <v>8593897552</v>
      </c>
      <c r="AL198" s="2224">
        <f t="shared" si="36"/>
        <v>-4296948776</v>
      </c>
      <c r="AP198" s="2224">
        <f t="shared" si="37"/>
        <v>0</v>
      </c>
      <c r="AR198" s="2224">
        <f t="shared" si="32"/>
        <v>4296948776</v>
      </c>
      <c r="AS198" s="2224">
        <f t="shared" si="38"/>
        <v>0</v>
      </c>
      <c r="AU198" s="235"/>
    </row>
    <row r="199" spans="1:47" ht="21" customHeight="1" x14ac:dyDescent="0.2">
      <c r="A199" s="2273"/>
      <c r="B199" s="3654"/>
      <c r="C199" s="1762" t="s">
        <v>674</v>
      </c>
      <c r="D199" s="1208" t="s">
        <v>672</v>
      </c>
      <c r="E199" s="1285">
        <v>805716668</v>
      </c>
      <c r="F199" s="1285"/>
      <c r="G199" s="1255"/>
      <c r="H199" s="1271">
        <f t="shared" si="46"/>
        <v>805716668</v>
      </c>
      <c r="I199" s="2258"/>
      <c r="J199" s="240">
        <f t="shared" si="45"/>
        <v>0</v>
      </c>
      <c r="K199" s="2241"/>
      <c r="L199" s="2241"/>
      <c r="M199" s="2241"/>
      <c r="N199" s="510"/>
      <c r="O199" s="510"/>
      <c r="P199" s="2241"/>
      <c r="Q199" s="2255"/>
      <c r="R199" s="1779"/>
      <c r="S199" s="1823"/>
      <c r="T199" s="240"/>
      <c r="U199" s="1823"/>
      <c r="V199" s="240"/>
      <c r="W199" s="1779">
        <f>-W415</f>
        <v>53357901</v>
      </c>
      <c r="X199" s="550">
        <f>859074569-X415</f>
        <v>859074569</v>
      </c>
      <c r="Y199" s="2240"/>
      <c r="Z199" s="2240"/>
      <c r="AA199" s="2240"/>
      <c r="AC199" s="2224"/>
      <c r="AF199" s="2224">
        <f t="shared" si="33"/>
        <v>1664791237</v>
      </c>
      <c r="AG199" s="2224">
        <f t="shared" si="34"/>
        <v>-805716668</v>
      </c>
      <c r="AK199" s="2224">
        <f t="shared" si="35"/>
        <v>1664791237</v>
      </c>
      <c r="AL199" s="2224">
        <f t="shared" si="36"/>
        <v>-805716668</v>
      </c>
      <c r="AP199" s="2224">
        <f t="shared" si="37"/>
        <v>0</v>
      </c>
      <c r="AR199" s="2224">
        <f t="shared" si="32"/>
        <v>859074569</v>
      </c>
      <c r="AS199" s="2224">
        <f t="shared" si="38"/>
        <v>0</v>
      </c>
      <c r="AU199" s="235"/>
    </row>
    <row r="200" spans="1:47" ht="21" customHeight="1" x14ac:dyDescent="0.2">
      <c r="A200" s="2273"/>
      <c r="B200" s="3654"/>
      <c r="C200" s="1762" t="s">
        <v>675</v>
      </c>
      <c r="D200" s="1208" t="s">
        <v>673</v>
      </c>
      <c r="E200" s="1285">
        <v>54614056121</v>
      </c>
      <c r="F200" s="1285"/>
      <c r="G200" s="1255"/>
      <c r="H200" s="1271">
        <f t="shared" si="46"/>
        <v>54614056121</v>
      </c>
      <c r="I200" s="2258"/>
      <c r="J200" s="240">
        <f t="shared" si="45"/>
        <v>0</v>
      </c>
      <c r="K200" s="2241"/>
      <c r="L200" s="2241"/>
      <c r="M200" s="2241"/>
      <c r="N200" s="510"/>
      <c r="O200" s="510"/>
      <c r="P200" s="2241"/>
      <c r="Q200" s="2255"/>
      <c r="R200" s="1779"/>
      <c r="S200" s="1823"/>
      <c r="T200" s="240"/>
      <c r="U200" s="1823"/>
      <c r="V200" s="240"/>
      <c r="W200" s="240"/>
      <c r="X200" s="550">
        <v>54614056121</v>
      </c>
      <c r="Y200" s="2240"/>
      <c r="Z200" s="2240"/>
      <c r="AA200" s="2240"/>
      <c r="AC200" s="2224"/>
      <c r="AF200" s="2224">
        <f t="shared" si="33"/>
        <v>109228112242</v>
      </c>
      <c r="AG200" s="2224">
        <f t="shared" si="34"/>
        <v>-54614056121</v>
      </c>
      <c r="AK200" s="2224">
        <f t="shared" si="35"/>
        <v>109228112242</v>
      </c>
      <c r="AL200" s="2224">
        <f t="shared" si="36"/>
        <v>-54614056121</v>
      </c>
      <c r="AP200" s="2224">
        <f t="shared" si="37"/>
        <v>0</v>
      </c>
      <c r="AR200" s="2224">
        <f t="shared" si="32"/>
        <v>54614056121</v>
      </c>
      <c r="AS200" s="2224">
        <f t="shared" si="38"/>
        <v>0</v>
      </c>
      <c r="AU200" s="235"/>
    </row>
    <row r="201" spans="1:47" ht="21" customHeight="1" x14ac:dyDescent="0.2">
      <c r="A201" s="2273"/>
      <c r="B201" s="3654"/>
      <c r="C201" s="1762" t="s">
        <v>677</v>
      </c>
      <c r="D201" s="1208" t="s">
        <v>676</v>
      </c>
      <c r="E201" s="1287">
        <v>408340774744</v>
      </c>
      <c r="F201" s="1287">
        <f>-'يادداشت 8سرمايه گذاري در شركتها'!E149</f>
        <v>0</v>
      </c>
      <c r="G201" s="1255"/>
      <c r="H201" s="1271">
        <f>E201+G201+F201</f>
        <v>408340774744</v>
      </c>
      <c r="I201" s="2258"/>
      <c r="J201" s="240">
        <f t="shared" si="45"/>
        <v>51801985159</v>
      </c>
      <c r="K201" s="2241"/>
      <c r="L201" s="2241"/>
      <c r="M201" s="2241"/>
      <c r="N201" s="510"/>
      <c r="O201" s="510">
        <f>-'پيش پرداخت سرمايه اي يادداشت 6'!I85</f>
        <v>1700000000</v>
      </c>
      <c r="P201" s="2241">
        <f>-'يادداشت 8سرمايه گذاري در شركتها'!G149</f>
        <v>-14436000000</v>
      </c>
      <c r="Q201" s="2241"/>
      <c r="R201" s="2248"/>
      <c r="T201" s="1243"/>
      <c r="V201" s="1243"/>
      <c r="W201" s="1243">
        <f>-W448+11059929008+6000000000</f>
        <v>17369929008</v>
      </c>
      <c r="X201" s="1770">
        <f>471827237047-X448</f>
        <v>464776688911</v>
      </c>
      <c r="Y201" s="2240"/>
      <c r="Z201" s="2240"/>
      <c r="AA201" s="2240"/>
      <c r="AC201" s="2224"/>
      <c r="AF201" s="2224">
        <f t="shared" si="33"/>
        <v>873117463655</v>
      </c>
      <c r="AG201" s="2224">
        <f t="shared" si="34"/>
        <v>-408340774744</v>
      </c>
      <c r="AK201" s="2224">
        <f t="shared" si="35"/>
        <v>873117463655</v>
      </c>
      <c r="AL201" s="2224">
        <f t="shared" si="36"/>
        <v>-408340774744</v>
      </c>
      <c r="AO201" s="2204">
        <f>X201+X448</f>
        <v>471827237047</v>
      </c>
      <c r="AP201" s="2224">
        <f t="shared" si="37"/>
        <v>0</v>
      </c>
      <c r="AR201" s="2224">
        <f>W201+V201+T201+R201+Q201+P201+O201+N201+J201+E201+F201+G201</f>
        <v>464776688911</v>
      </c>
      <c r="AS201" s="2224">
        <f t="shared" si="38"/>
        <v>0</v>
      </c>
      <c r="AU201" s="237">
        <v>-1060000000</v>
      </c>
    </row>
    <row r="202" spans="1:47" ht="21" customHeight="1" x14ac:dyDescent="0.2">
      <c r="A202" s="2273"/>
      <c r="B202" s="3654"/>
      <c r="C202" s="1762" t="s">
        <v>664</v>
      </c>
      <c r="D202" s="1208" t="s">
        <v>685</v>
      </c>
      <c r="E202" s="1285">
        <v>5342172622</v>
      </c>
      <c r="F202" s="1285"/>
      <c r="G202" s="1255"/>
      <c r="H202" s="1271">
        <f>E202+G202+F202</f>
        <v>5342172622</v>
      </c>
      <c r="I202" s="2258"/>
      <c r="J202" s="240">
        <f t="shared" si="45"/>
        <v>0</v>
      </c>
      <c r="K202" s="2241"/>
      <c r="L202" s="2241"/>
      <c r="M202" s="2241"/>
      <c r="N202" s="510"/>
      <c r="O202" s="510"/>
      <c r="P202" s="2241"/>
      <c r="Q202" s="2241"/>
      <c r="R202" s="2241"/>
      <c r="T202" s="510"/>
      <c r="V202" s="510"/>
      <c r="W202" s="510"/>
      <c r="X202" s="1285">
        <v>5342172622</v>
      </c>
      <c r="Y202" s="2240"/>
      <c r="Z202" s="2240"/>
      <c r="AA202" s="2240"/>
      <c r="AC202" s="2224"/>
      <c r="AF202" s="2224">
        <f t="shared" si="33"/>
        <v>10684345244</v>
      </c>
      <c r="AG202" s="2224">
        <f t="shared" si="34"/>
        <v>-5342172622</v>
      </c>
      <c r="AK202" s="2224">
        <f t="shared" si="35"/>
        <v>10684345244</v>
      </c>
      <c r="AL202" s="2224">
        <f t="shared" si="36"/>
        <v>-5342172622</v>
      </c>
      <c r="AP202" s="2224">
        <f t="shared" si="37"/>
        <v>0</v>
      </c>
      <c r="AR202" s="2224">
        <f t="shared" si="32"/>
        <v>5342172622</v>
      </c>
      <c r="AS202" s="2224">
        <f t="shared" si="38"/>
        <v>0</v>
      </c>
      <c r="AU202" s="234"/>
    </row>
    <row r="203" spans="1:47" ht="21" customHeight="1" x14ac:dyDescent="0.2">
      <c r="A203" s="2273"/>
      <c r="B203" s="3654"/>
      <c r="C203" s="1762" t="s">
        <v>687</v>
      </c>
      <c r="D203" s="1208" t="s">
        <v>686</v>
      </c>
      <c r="E203" s="1285">
        <v>2721045180</v>
      </c>
      <c r="F203" s="1285"/>
      <c r="G203" s="1255"/>
      <c r="H203" s="1271">
        <f>E203+G203+F203</f>
        <v>2721045180</v>
      </c>
      <c r="I203" s="2258"/>
      <c r="J203" s="240">
        <f t="shared" si="45"/>
        <v>0</v>
      </c>
      <c r="K203" s="2241"/>
      <c r="L203" s="2241"/>
      <c r="M203" s="2241"/>
      <c r="N203" s="510"/>
      <c r="O203" s="510"/>
      <c r="P203" s="2241"/>
      <c r="Q203" s="2241"/>
      <c r="R203" s="2241"/>
      <c r="T203" s="510"/>
      <c r="V203" s="510"/>
      <c r="W203" s="510"/>
      <c r="X203" s="550">
        <v>2721045180</v>
      </c>
      <c r="Y203" s="2240"/>
      <c r="Z203" s="2240"/>
      <c r="AA203" s="2240"/>
      <c r="AC203" s="2224"/>
      <c r="AF203" s="2224">
        <f t="shared" si="33"/>
        <v>5442090360</v>
      </c>
      <c r="AG203" s="2224">
        <f t="shared" si="34"/>
        <v>-2721045180</v>
      </c>
      <c r="AK203" s="2224">
        <f t="shared" si="35"/>
        <v>5442090360</v>
      </c>
      <c r="AL203" s="2224">
        <f t="shared" si="36"/>
        <v>-2721045180</v>
      </c>
      <c r="AP203" s="2224">
        <f t="shared" si="37"/>
        <v>0</v>
      </c>
      <c r="AR203" s="2224">
        <f t="shared" si="32"/>
        <v>2721045180</v>
      </c>
      <c r="AS203" s="2224">
        <f t="shared" si="38"/>
        <v>0</v>
      </c>
      <c r="AU203" s="234"/>
    </row>
    <row r="204" spans="1:47" ht="21" customHeight="1" x14ac:dyDescent="0.2">
      <c r="A204" s="2273"/>
      <c r="B204" s="3654"/>
      <c r="C204" s="1762" t="s">
        <v>689</v>
      </c>
      <c r="D204" s="1208" t="s">
        <v>688</v>
      </c>
      <c r="E204" s="1285">
        <v>3663442960</v>
      </c>
      <c r="F204" s="1285"/>
      <c r="G204" s="1255"/>
      <c r="H204" s="1271">
        <f t="shared" si="46"/>
        <v>3663442960</v>
      </c>
      <c r="I204" s="2258"/>
      <c r="J204" s="240">
        <f t="shared" si="45"/>
        <v>0</v>
      </c>
      <c r="K204" s="2241"/>
      <c r="L204" s="2241"/>
      <c r="M204" s="2241"/>
      <c r="N204" s="510"/>
      <c r="O204" s="510"/>
      <c r="P204" s="2241"/>
      <c r="Q204" s="2241"/>
      <c r="R204" s="2241"/>
      <c r="T204" s="510"/>
      <c r="V204" s="510"/>
      <c r="W204" s="510"/>
      <c r="X204" s="550">
        <v>3663442960</v>
      </c>
      <c r="Y204" s="2240"/>
      <c r="Z204" s="2240"/>
      <c r="AA204" s="2240"/>
      <c r="AC204" s="2224"/>
      <c r="AF204" s="2224">
        <f t="shared" si="33"/>
        <v>7326885920</v>
      </c>
      <c r="AG204" s="2224">
        <f t="shared" si="34"/>
        <v>-3663442960</v>
      </c>
      <c r="AK204" s="2224">
        <f t="shared" si="35"/>
        <v>7326885920</v>
      </c>
      <c r="AL204" s="2224">
        <f t="shared" si="36"/>
        <v>-3663442960</v>
      </c>
      <c r="AP204" s="2224">
        <f t="shared" si="37"/>
        <v>0</v>
      </c>
      <c r="AR204" s="2224">
        <f t="shared" si="32"/>
        <v>3663442960</v>
      </c>
      <c r="AS204" s="2224">
        <f t="shared" si="38"/>
        <v>0</v>
      </c>
      <c r="AU204" s="234"/>
    </row>
    <row r="205" spans="1:47" ht="21" customHeight="1" x14ac:dyDescent="0.2">
      <c r="A205" s="2273"/>
      <c r="B205" s="3654"/>
      <c r="C205" s="1762" t="s">
        <v>691</v>
      </c>
      <c r="D205" s="1208" t="s">
        <v>690</v>
      </c>
      <c r="E205" s="1285">
        <v>1528916422</v>
      </c>
      <c r="F205" s="1285"/>
      <c r="G205" s="1255"/>
      <c r="H205" s="1271">
        <f>E205+G205+F205</f>
        <v>1528916422</v>
      </c>
      <c r="I205" s="2258"/>
      <c r="J205" s="240">
        <f t="shared" si="45"/>
        <v>0</v>
      </c>
      <c r="K205" s="2241"/>
      <c r="L205" s="2241"/>
      <c r="M205" s="2241"/>
      <c r="N205" s="510"/>
      <c r="O205" s="510"/>
      <c r="P205" s="2241"/>
      <c r="Q205" s="2241"/>
      <c r="R205" s="2241"/>
      <c r="T205" s="510"/>
      <c r="V205" s="510"/>
      <c r="W205" s="510"/>
      <c r="X205" s="550">
        <v>1528916422</v>
      </c>
      <c r="Y205" s="2240"/>
      <c r="Z205" s="2240"/>
      <c r="AA205" s="2240"/>
      <c r="AC205" s="2224"/>
      <c r="AF205" s="2224">
        <f t="shared" si="33"/>
        <v>3057832844</v>
      </c>
      <c r="AG205" s="2224">
        <f t="shared" si="34"/>
        <v>-1528916422</v>
      </c>
      <c r="AK205" s="2224">
        <f t="shared" si="35"/>
        <v>3057832844</v>
      </c>
      <c r="AL205" s="2224">
        <f t="shared" si="36"/>
        <v>-1528916422</v>
      </c>
      <c r="AP205" s="2224">
        <f t="shared" si="37"/>
        <v>0</v>
      </c>
      <c r="AR205" s="2224">
        <f t="shared" ref="AR205:AR268" si="47">W205+V205+T205+R205+Q205+P205+O205+N205+J205+E205+F205+G205</f>
        <v>1528916422</v>
      </c>
      <c r="AS205" s="2224">
        <f t="shared" si="38"/>
        <v>0</v>
      </c>
      <c r="AU205" s="234"/>
    </row>
    <row r="206" spans="1:47" ht="21" customHeight="1" x14ac:dyDescent="0.2">
      <c r="A206" s="2273"/>
      <c r="B206" s="3654"/>
      <c r="C206" s="1762" t="s">
        <v>693</v>
      </c>
      <c r="D206" s="1208" t="s">
        <v>692</v>
      </c>
      <c r="E206" s="1285">
        <v>1482480694</v>
      </c>
      <c r="F206" s="1285"/>
      <c r="G206" s="1255"/>
      <c r="H206" s="1271">
        <f t="shared" si="46"/>
        <v>1482480694</v>
      </c>
      <c r="I206" s="2258"/>
      <c r="J206" s="240">
        <f t="shared" si="45"/>
        <v>0</v>
      </c>
      <c r="K206" s="2241"/>
      <c r="L206" s="2241"/>
      <c r="M206" s="2241"/>
      <c r="N206" s="510"/>
      <c r="O206" s="510"/>
      <c r="P206" s="2241"/>
      <c r="Q206" s="2241"/>
      <c r="R206" s="2241"/>
      <c r="T206" s="510"/>
      <c r="V206" s="510"/>
      <c r="W206" s="510"/>
      <c r="X206" s="550">
        <v>1482480694</v>
      </c>
      <c r="Y206" s="2240"/>
      <c r="Z206" s="2240"/>
      <c r="AA206" s="2240"/>
      <c r="AC206" s="2224"/>
      <c r="AF206" s="2224">
        <f t="shared" si="33"/>
        <v>2964961388</v>
      </c>
      <c r="AG206" s="2224">
        <f t="shared" si="34"/>
        <v>-1482480694</v>
      </c>
      <c r="AK206" s="2224">
        <f t="shared" si="35"/>
        <v>2964961388</v>
      </c>
      <c r="AL206" s="2224">
        <f t="shared" si="36"/>
        <v>-1482480694</v>
      </c>
      <c r="AP206" s="2224">
        <f t="shared" si="37"/>
        <v>0</v>
      </c>
      <c r="AR206" s="2224">
        <f t="shared" si="47"/>
        <v>1482480694</v>
      </c>
      <c r="AS206" s="2224">
        <f t="shared" si="38"/>
        <v>0</v>
      </c>
      <c r="AU206" s="234"/>
    </row>
    <row r="207" spans="1:47" ht="21" customHeight="1" x14ac:dyDescent="0.2">
      <c r="A207" s="2273"/>
      <c r="B207" s="3654"/>
      <c r="C207" s="1762" t="s">
        <v>695</v>
      </c>
      <c r="D207" s="1208" t="s">
        <v>694</v>
      </c>
      <c r="E207" s="1285">
        <v>1195086679</v>
      </c>
      <c r="F207" s="1285"/>
      <c r="G207" s="1255"/>
      <c r="H207" s="1271">
        <f t="shared" si="46"/>
        <v>1195086679</v>
      </c>
      <c r="I207" s="2258"/>
      <c r="J207" s="240">
        <f t="shared" si="45"/>
        <v>0</v>
      </c>
      <c r="K207" s="2241"/>
      <c r="L207" s="2241"/>
      <c r="M207" s="2241"/>
      <c r="N207" s="510"/>
      <c r="O207" s="510"/>
      <c r="P207" s="2241"/>
      <c r="Q207" s="2241"/>
      <c r="R207" s="2270"/>
      <c r="T207" s="510"/>
      <c r="V207" s="510"/>
      <c r="W207" s="510"/>
      <c r="X207" s="550">
        <v>1195086679</v>
      </c>
      <c r="Y207" s="2240"/>
      <c r="Z207" s="2240"/>
      <c r="AA207" s="2240"/>
      <c r="AC207" s="2224"/>
      <c r="AF207" s="2224">
        <f t="shared" si="33"/>
        <v>2390173358</v>
      </c>
      <c r="AG207" s="2224">
        <f t="shared" si="34"/>
        <v>-1195086679</v>
      </c>
      <c r="AK207" s="2224">
        <f t="shared" si="35"/>
        <v>2390173358</v>
      </c>
      <c r="AL207" s="2224">
        <f t="shared" si="36"/>
        <v>-1195086679</v>
      </c>
      <c r="AP207" s="2224">
        <f t="shared" si="37"/>
        <v>0</v>
      </c>
      <c r="AR207" s="2224">
        <f t="shared" si="47"/>
        <v>1195086679</v>
      </c>
      <c r="AS207" s="2224">
        <f t="shared" si="38"/>
        <v>0</v>
      </c>
      <c r="AU207" s="234"/>
    </row>
    <row r="208" spans="1:47" ht="21" customHeight="1" x14ac:dyDescent="0.2">
      <c r="B208" s="3663" t="s">
        <v>786</v>
      </c>
      <c r="C208" s="3663"/>
      <c r="D208" s="3663"/>
      <c r="E208" s="1288">
        <f>SUM(E190:E207)</f>
        <v>32094860014488</v>
      </c>
      <c r="F208" s="1288">
        <f>SUM(F190:F207)</f>
        <v>0</v>
      </c>
      <c r="G208" s="1288">
        <f>SUM(G190:G207)</f>
        <v>0</v>
      </c>
      <c r="H208" s="1289">
        <f>SUM(H190:H207)</f>
        <v>32094860014488</v>
      </c>
      <c r="I208" s="294">
        <f t="shared" ref="I208:AA208" si="48">SUM(I190:I207)</f>
        <v>0</v>
      </c>
      <c r="J208" s="294">
        <f t="shared" si="48"/>
        <v>11935593739403</v>
      </c>
      <c r="K208" s="294">
        <f t="shared" si="48"/>
        <v>0</v>
      </c>
      <c r="L208" s="294">
        <f t="shared" si="48"/>
        <v>0</v>
      </c>
      <c r="M208" s="294">
        <f t="shared" si="48"/>
        <v>0</v>
      </c>
      <c r="N208" s="294">
        <f t="shared" si="48"/>
        <v>497367127405</v>
      </c>
      <c r="O208" s="294">
        <f t="shared" si="48"/>
        <v>637440052584</v>
      </c>
      <c r="P208" s="294">
        <f t="shared" si="48"/>
        <v>-1345525403506</v>
      </c>
      <c r="Q208" s="294">
        <f t="shared" si="48"/>
        <v>-1315023704478</v>
      </c>
      <c r="R208" s="294">
        <f t="shared" si="48"/>
        <v>0</v>
      </c>
      <c r="S208" s="294">
        <f t="shared" si="48"/>
        <v>0</v>
      </c>
      <c r="T208" s="294">
        <f t="shared" si="48"/>
        <v>0</v>
      </c>
      <c r="U208" s="294">
        <f t="shared" si="48"/>
        <v>0</v>
      </c>
      <c r="V208" s="294">
        <f>SUM(V190:V207)</f>
        <v>-46208983180</v>
      </c>
      <c r="W208" s="294">
        <f>SUM(W190:W207)</f>
        <v>1047793475823</v>
      </c>
      <c r="X208" s="553">
        <f t="shared" si="48"/>
        <v>43506296318539</v>
      </c>
      <c r="Y208" s="259" t="e">
        <f t="shared" si="48"/>
        <v>#N/A</v>
      </c>
      <c r="Z208" s="259">
        <f t="shared" si="48"/>
        <v>0</v>
      </c>
      <c r="AA208" s="259">
        <f t="shared" si="48"/>
        <v>0</v>
      </c>
      <c r="AC208" s="2224"/>
      <c r="AF208" s="2224">
        <f t="shared" si="33"/>
        <v>75601156333027</v>
      </c>
      <c r="AG208" s="2224">
        <f t="shared" si="34"/>
        <v>-32094860014488</v>
      </c>
      <c r="AK208" s="2224">
        <f t="shared" si="35"/>
        <v>75647365316207</v>
      </c>
      <c r="AL208" s="2224">
        <f t="shared" si="36"/>
        <v>-32141068997668</v>
      </c>
      <c r="AP208" s="2224">
        <f t="shared" si="37"/>
        <v>0</v>
      </c>
      <c r="AR208" s="2224">
        <f t="shared" si="47"/>
        <v>43506296318539</v>
      </c>
      <c r="AS208" s="2224">
        <f t="shared" si="38"/>
        <v>0</v>
      </c>
      <c r="AU208" s="259">
        <f>SUM(AU190:AU207)</f>
        <v>-547248000000</v>
      </c>
    </row>
    <row r="209" spans="2:47" ht="21" customHeight="1" x14ac:dyDescent="0.2">
      <c r="B209" s="2272"/>
      <c r="C209" s="2272"/>
      <c r="D209" s="2272"/>
      <c r="E209" s="1272"/>
      <c r="F209" s="1272"/>
      <c r="G209" s="1272"/>
      <c r="H209" s="1272"/>
      <c r="I209" s="1273"/>
      <c r="J209" s="1273"/>
      <c r="K209" s="1273"/>
      <c r="L209" s="1273"/>
      <c r="M209" s="1273"/>
      <c r="N209" s="1273"/>
      <c r="O209" s="1273"/>
      <c r="P209" s="1273"/>
      <c r="Q209" s="1273"/>
      <c r="R209" s="1273"/>
      <c r="S209" s="1273"/>
      <c r="T209" s="1273"/>
      <c r="U209" s="1273"/>
      <c r="V209" s="1273"/>
      <c r="W209" s="1273"/>
      <c r="X209" s="1274"/>
      <c r="Y209" s="246"/>
      <c r="Z209" s="246"/>
      <c r="AA209" s="246"/>
      <c r="AC209" s="2224"/>
      <c r="AF209" s="2224"/>
      <c r="AG209" s="2224"/>
      <c r="AK209" s="2224"/>
      <c r="AL209" s="2224"/>
      <c r="AP209" s="2224"/>
      <c r="AR209" s="2224">
        <f t="shared" si="47"/>
        <v>0</v>
      </c>
      <c r="AS209" s="2224"/>
      <c r="AU209" s="246"/>
    </row>
    <row r="210" spans="2:47" ht="21" customHeight="1" x14ac:dyDescent="0.2">
      <c r="B210" s="2272"/>
      <c r="C210" s="2272"/>
      <c r="D210" s="2272"/>
      <c r="E210" s="1272"/>
      <c r="F210" s="1272"/>
      <c r="G210" s="1272"/>
      <c r="H210" s="1272"/>
      <c r="I210" s="1273"/>
      <c r="J210" s="1273"/>
      <c r="K210" s="1273"/>
      <c r="L210" s="1273"/>
      <c r="M210" s="1273"/>
      <c r="N210" s="1273"/>
      <c r="O210" s="1273"/>
      <c r="P210" s="1273"/>
      <c r="Q210" s="1273"/>
      <c r="R210" s="1273"/>
      <c r="S210" s="1273"/>
      <c r="T210" s="1273"/>
      <c r="U210" s="1273"/>
      <c r="V210" s="1273"/>
      <c r="W210" s="1273"/>
      <c r="X210" s="1274"/>
      <c r="Y210" s="246"/>
      <c r="Z210" s="246"/>
      <c r="AA210" s="246"/>
      <c r="AC210" s="2224"/>
      <c r="AF210" s="2224"/>
      <c r="AG210" s="2224"/>
      <c r="AK210" s="2224"/>
      <c r="AL210" s="2224"/>
      <c r="AP210" s="2224"/>
      <c r="AR210" s="2224">
        <f t="shared" si="47"/>
        <v>0</v>
      </c>
      <c r="AS210" s="2224"/>
      <c r="AU210" s="246"/>
    </row>
    <row r="211" spans="2:47" ht="21" customHeight="1" x14ac:dyDescent="0.2">
      <c r="B211" s="2273"/>
      <c r="C211" s="3660" t="s">
        <v>274</v>
      </c>
      <c r="D211" s="3660"/>
      <c r="E211" s="3660"/>
      <c r="F211" s="3660"/>
      <c r="G211" s="3660"/>
      <c r="H211" s="3660"/>
      <c r="I211" s="3660"/>
      <c r="J211" s="3660"/>
      <c r="K211" s="3660"/>
      <c r="L211" s="3660"/>
      <c r="M211" s="3660"/>
      <c r="N211" s="3660"/>
      <c r="O211" s="3660"/>
      <c r="P211" s="3660"/>
      <c r="Q211" s="3660"/>
      <c r="R211" s="3660"/>
      <c r="S211" s="3660"/>
      <c r="T211" s="3660"/>
      <c r="U211" s="3660"/>
      <c r="V211" s="3660"/>
      <c r="W211" s="3660"/>
      <c r="X211" s="3660"/>
      <c r="Y211" s="3660"/>
      <c r="Z211" s="2274"/>
      <c r="AC211" s="2224"/>
      <c r="AF211" s="2224">
        <f t="shared" si="33"/>
        <v>0</v>
      </c>
      <c r="AG211" s="2224">
        <f t="shared" si="34"/>
        <v>0</v>
      </c>
      <c r="AK211" s="2224">
        <f t="shared" si="35"/>
        <v>0</v>
      </c>
      <c r="AL211" s="2224">
        <f t="shared" si="36"/>
        <v>0</v>
      </c>
      <c r="AP211" s="2224">
        <f t="shared" si="37"/>
        <v>0</v>
      </c>
      <c r="AR211" s="2224">
        <f t="shared" si="47"/>
        <v>0</v>
      </c>
      <c r="AS211" s="2224">
        <f t="shared" si="38"/>
        <v>0</v>
      </c>
    </row>
    <row r="212" spans="2:47" ht="21" customHeight="1" x14ac:dyDescent="0.2">
      <c r="B212" s="3574" t="s">
        <v>32</v>
      </c>
      <c r="C212" s="3574"/>
      <c r="D212" s="3574"/>
      <c r="E212" s="3574"/>
      <c r="F212" s="3574"/>
      <c r="G212" s="3574"/>
      <c r="H212" s="3574"/>
      <c r="I212" s="3574"/>
      <c r="J212" s="3574"/>
      <c r="K212" s="3574"/>
      <c r="L212" s="3574"/>
      <c r="M212" s="3574"/>
      <c r="N212" s="3574"/>
      <c r="O212" s="3574"/>
      <c r="P212" s="3574"/>
      <c r="Q212" s="3574"/>
      <c r="R212" s="3574"/>
      <c r="S212" s="3574"/>
      <c r="T212" s="3574"/>
      <c r="U212" s="3574"/>
      <c r="V212" s="3574"/>
      <c r="W212" s="3574"/>
      <c r="X212" s="3574"/>
      <c r="Y212" s="3574"/>
      <c r="Z212" s="3574"/>
      <c r="AA212" s="3574"/>
      <c r="AC212" s="2224"/>
      <c r="AF212" s="2224">
        <f t="shared" si="33"/>
        <v>0</v>
      </c>
      <c r="AG212" s="2224">
        <f t="shared" si="34"/>
        <v>0</v>
      </c>
      <c r="AK212" s="2224">
        <f t="shared" si="35"/>
        <v>0</v>
      </c>
      <c r="AL212" s="2224">
        <f t="shared" si="36"/>
        <v>0</v>
      </c>
      <c r="AP212" s="2224">
        <f t="shared" si="37"/>
        <v>0</v>
      </c>
      <c r="AR212" s="2224">
        <f t="shared" si="47"/>
        <v>0</v>
      </c>
      <c r="AS212" s="2224">
        <f t="shared" si="38"/>
        <v>0</v>
      </c>
    </row>
    <row r="213" spans="2:47" ht="21" customHeight="1" x14ac:dyDescent="0.2">
      <c r="B213" s="3574" t="s">
        <v>45</v>
      </c>
      <c r="C213" s="3574"/>
      <c r="D213" s="3574"/>
      <c r="E213" s="3574"/>
      <c r="F213" s="3574"/>
      <c r="G213" s="3574"/>
      <c r="H213" s="3574"/>
      <c r="I213" s="3574"/>
      <c r="J213" s="3574"/>
      <c r="K213" s="3574"/>
      <c r="L213" s="3574"/>
      <c r="M213" s="3574"/>
      <c r="N213" s="3574"/>
      <c r="O213" s="3574"/>
      <c r="P213" s="3574"/>
      <c r="Q213" s="3574"/>
      <c r="R213" s="3574"/>
      <c r="S213" s="3574"/>
      <c r="T213" s="3574"/>
      <c r="U213" s="3574"/>
      <c r="V213" s="3574"/>
      <c r="W213" s="3574"/>
      <c r="X213" s="3574"/>
      <c r="Y213" s="3574"/>
      <c r="Z213" s="3574"/>
      <c r="AA213" s="3574"/>
      <c r="AC213" s="2224"/>
      <c r="AF213" s="2224">
        <f t="shared" si="33"/>
        <v>0</v>
      </c>
      <c r="AG213" s="2224">
        <f t="shared" si="34"/>
        <v>0</v>
      </c>
      <c r="AK213" s="2224">
        <f t="shared" si="35"/>
        <v>0</v>
      </c>
      <c r="AL213" s="2224">
        <f t="shared" si="36"/>
        <v>0</v>
      </c>
      <c r="AP213" s="2224">
        <f t="shared" si="37"/>
        <v>0</v>
      </c>
      <c r="AR213" s="2224">
        <f t="shared" si="47"/>
        <v>0</v>
      </c>
      <c r="AS213" s="2224">
        <f t="shared" si="38"/>
        <v>0</v>
      </c>
    </row>
    <row r="214" spans="2:47" ht="21" customHeight="1" x14ac:dyDescent="0.2">
      <c r="B214" s="3574" t="s">
        <v>46</v>
      </c>
      <c r="C214" s="3574"/>
      <c r="D214" s="3574"/>
      <c r="E214" s="3574"/>
      <c r="F214" s="3574"/>
      <c r="G214" s="3574"/>
      <c r="H214" s="3574"/>
      <c r="I214" s="3574"/>
      <c r="J214" s="3574"/>
      <c r="K214" s="3574"/>
      <c r="L214" s="3574"/>
      <c r="M214" s="3574"/>
      <c r="N214" s="3574"/>
      <c r="O214" s="3574"/>
      <c r="P214" s="3574"/>
      <c r="Q214" s="3574"/>
      <c r="R214" s="3574"/>
      <c r="S214" s="3574"/>
      <c r="T214" s="3574"/>
      <c r="U214" s="3574"/>
      <c r="V214" s="3574"/>
      <c r="W214" s="3574"/>
      <c r="X214" s="3574"/>
      <c r="Y214" s="3574"/>
      <c r="Z214" s="3574"/>
      <c r="AA214" s="3574"/>
      <c r="AC214" s="2224"/>
      <c r="AF214" s="2224">
        <f t="shared" si="33"/>
        <v>0</v>
      </c>
      <c r="AG214" s="2224">
        <f t="shared" si="34"/>
        <v>0</v>
      </c>
      <c r="AK214" s="2224">
        <f t="shared" si="35"/>
        <v>0</v>
      </c>
      <c r="AL214" s="2224">
        <f t="shared" si="36"/>
        <v>0</v>
      </c>
      <c r="AP214" s="2224">
        <f t="shared" si="37"/>
        <v>0</v>
      </c>
      <c r="AR214" s="2224">
        <f t="shared" si="47"/>
        <v>0</v>
      </c>
      <c r="AS214" s="2224">
        <f t="shared" si="38"/>
        <v>0</v>
      </c>
    </row>
    <row r="215" spans="2:47" ht="21" customHeight="1" x14ac:dyDescent="0.2">
      <c r="B215" s="3572" t="s">
        <v>1992</v>
      </c>
      <c r="C215" s="3572"/>
      <c r="D215" s="3572"/>
      <c r="E215" s="3572"/>
      <c r="F215" s="3572"/>
      <c r="G215" s="3572"/>
      <c r="H215" s="3572"/>
      <c r="I215" s="3572"/>
      <c r="J215" s="3572"/>
      <c r="K215" s="3572"/>
      <c r="L215" s="3572"/>
      <c r="M215" s="3572"/>
      <c r="N215" s="3572"/>
      <c r="O215" s="3572"/>
      <c r="P215" s="3572"/>
      <c r="Q215" s="3572"/>
      <c r="R215" s="3572"/>
      <c r="S215" s="3572"/>
      <c r="T215" s="3572"/>
      <c r="U215" s="3572"/>
      <c r="V215" s="3572"/>
      <c r="W215" s="3572"/>
      <c r="X215" s="3572"/>
      <c r="Y215" s="3572"/>
      <c r="Z215" s="3572"/>
      <c r="AA215" s="3572"/>
      <c r="AC215" s="2224"/>
      <c r="AF215" s="2224">
        <f t="shared" si="33"/>
        <v>0</v>
      </c>
      <c r="AG215" s="2224">
        <f t="shared" si="34"/>
        <v>0</v>
      </c>
      <c r="AK215" s="2224">
        <f t="shared" si="35"/>
        <v>0</v>
      </c>
      <c r="AL215" s="2224">
        <f t="shared" si="36"/>
        <v>0</v>
      </c>
      <c r="AP215" s="2224">
        <f t="shared" si="37"/>
        <v>0</v>
      </c>
      <c r="AR215" s="2224">
        <f t="shared" si="47"/>
        <v>0</v>
      </c>
      <c r="AS215" s="2224">
        <f t="shared" si="38"/>
        <v>0</v>
      </c>
    </row>
    <row r="216" spans="2:47" ht="21" customHeight="1" x14ac:dyDescent="0.2">
      <c r="B216" s="2185"/>
      <c r="C216" s="2185"/>
      <c r="D216" s="1212"/>
      <c r="E216" s="1262"/>
      <c r="F216" s="1262"/>
      <c r="G216" s="1262"/>
      <c r="H216" s="1262"/>
      <c r="I216" s="2245"/>
      <c r="J216" s="2245"/>
      <c r="K216" s="2245"/>
      <c r="L216" s="2245"/>
      <c r="M216" s="2245"/>
      <c r="N216" s="2245"/>
      <c r="O216" s="2245"/>
      <c r="P216" s="2245"/>
      <c r="Q216" s="2245"/>
      <c r="R216" s="2245"/>
      <c r="S216" s="2245"/>
      <c r="T216" s="2245"/>
      <c r="U216" s="2245"/>
      <c r="V216" s="2245"/>
      <c r="W216" s="2245"/>
      <c r="X216" s="2246"/>
      <c r="Y216" s="2185"/>
      <c r="Z216" s="2185"/>
      <c r="AA216" s="2185"/>
      <c r="AC216" s="2224"/>
      <c r="AF216" s="2224">
        <f t="shared" si="33"/>
        <v>0</v>
      </c>
      <c r="AG216" s="2224">
        <f t="shared" si="34"/>
        <v>0</v>
      </c>
      <c r="AK216" s="2224">
        <f t="shared" si="35"/>
        <v>0</v>
      </c>
      <c r="AL216" s="2224">
        <f t="shared" si="36"/>
        <v>0</v>
      </c>
      <c r="AP216" s="2224">
        <f t="shared" si="37"/>
        <v>0</v>
      </c>
      <c r="AR216" s="2224">
        <f t="shared" si="47"/>
        <v>0</v>
      </c>
      <c r="AS216" s="2224">
        <f t="shared" si="38"/>
        <v>0</v>
      </c>
      <c r="AU216" s="2185"/>
    </row>
    <row r="217" spans="2:47" ht="21" customHeight="1" x14ac:dyDescent="0.2">
      <c r="B217" s="3664" t="s">
        <v>894</v>
      </c>
      <c r="C217" s="3664"/>
      <c r="D217" s="3664"/>
      <c r="E217" s="1252"/>
      <c r="F217" s="1252"/>
      <c r="G217" s="1252"/>
      <c r="H217" s="1252"/>
      <c r="I217" s="2239"/>
      <c r="J217" s="2239"/>
      <c r="K217" s="2239"/>
      <c r="L217" s="2239"/>
      <c r="M217" s="2239"/>
      <c r="N217" s="2239"/>
      <c r="O217" s="2239"/>
      <c r="P217" s="2239"/>
      <c r="Q217" s="2239"/>
      <c r="R217" s="2239"/>
      <c r="S217" s="2239"/>
      <c r="T217" s="2239"/>
      <c r="U217" s="2239"/>
      <c r="V217" s="2239"/>
      <c r="W217" s="3674" t="s">
        <v>338</v>
      </c>
      <c r="X217" s="3694"/>
      <c r="Y217" s="2240"/>
      <c r="Z217" s="2240"/>
      <c r="AA217" s="2240"/>
      <c r="AC217" s="2224"/>
      <c r="AF217" s="2224">
        <f t="shared" si="33"/>
        <v>0</v>
      </c>
      <c r="AG217" s="2224">
        <f t="shared" si="34"/>
        <v>0</v>
      </c>
      <c r="AK217" s="2224" t="e">
        <f t="shared" si="35"/>
        <v>#VALUE!</v>
      </c>
      <c r="AL217" s="2224" t="e">
        <f t="shared" si="36"/>
        <v>#VALUE!</v>
      </c>
      <c r="AP217" s="2224" t="e">
        <f t="shared" si="37"/>
        <v>#VALUE!</v>
      </c>
      <c r="AR217" s="2224" t="e">
        <f t="shared" si="47"/>
        <v>#VALUE!</v>
      </c>
      <c r="AS217" s="2224" t="e">
        <f t="shared" si="38"/>
        <v>#VALUE!</v>
      </c>
      <c r="AU217" s="2240"/>
    </row>
    <row r="218" spans="2:47" ht="23.45" customHeight="1" x14ac:dyDescent="0.2">
      <c r="B218" s="3666" t="s">
        <v>419</v>
      </c>
      <c r="C218" s="3659" t="s">
        <v>196</v>
      </c>
      <c r="D218" s="3677" t="s">
        <v>197</v>
      </c>
      <c r="E218" s="3647" t="s">
        <v>1391</v>
      </c>
      <c r="F218" s="3682" t="s">
        <v>1116</v>
      </c>
      <c r="G218" s="3682"/>
      <c r="H218" s="3662" t="s">
        <v>1993</v>
      </c>
      <c r="I218" s="3650" t="s">
        <v>1244</v>
      </c>
      <c r="J218" s="3650"/>
      <c r="K218" s="2216" t="s">
        <v>340</v>
      </c>
      <c r="L218" s="2216"/>
      <c r="M218" s="2216"/>
      <c r="N218" s="3661" t="s">
        <v>341</v>
      </c>
      <c r="O218" s="3661"/>
      <c r="P218" s="3651" t="s">
        <v>1012</v>
      </c>
      <c r="Q218" s="3652"/>
      <c r="R218" s="3652"/>
      <c r="S218" s="3652"/>
      <c r="T218" s="3653"/>
      <c r="U218" s="2217"/>
      <c r="V218" s="3650" t="s">
        <v>1334</v>
      </c>
      <c r="W218" s="3649" t="s">
        <v>898</v>
      </c>
      <c r="X218" s="3648" t="s">
        <v>1986</v>
      </c>
      <c r="Y218" s="2240"/>
      <c r="Z218" s="2240"/>
      <c r="AA218" s="2240"/>
      <c r="AC218" s="2224"/>
      <c r="AF218" s="2224">
        <f t="shared" si="33"/>
        <v>0</v>
      </c>
      <c r="AG218" s="2224" t="e">
        <f t="shared" si="34"/>
        <v>#VALUE!</v>
      </c>
      <c r="AK218" s="2224" t="e">
        <f t="shared" si="35"/>
        <v>#VALUE!</v>
      </c>
      <c r="AL218" s="2224" t="e">
        <f t="shared" si="36"/>
        <v>#VALUE!</v>
      </c>
      <c r="AP218" s="2224" t="e">
        <f t="shared" ref="AP218:AP285" si="49">X218-AR218</f>
        <v>#VALUE!</v>
      </c>
      <c r="AR218" s="2224" t="e">
        <f t="shared" si="47"/>
        <v>#VALUE!</v>
      </c>
      <c r="AS218" s="2224" t="e">
        <f t="shared" ref="AS218:AS285" si="50">X218-AR218</f>
        <v>#VALUE!</v>
      </c>
    </row>
    <row r="219" spans="2:47" ht="54.6" customHeight="1" x14ac:dyDescent="0.2">
      <c r="B219" s="3666"/>
      <c r="C219" s="3659"/>
      <c r="D219" s="3677"/>
      <c r="E219" s="3647"/>
      <c r="F219" s="1409" t="s">
        <v>1955</v>
      </c>
      <c r="G219" s="1409" t="s">
        <v>1956</v>
      </c>
      <c r="H219" s="3662"/>
      <c r="I219" s="3650"/>
      <c r="J219" s="3650"/>
      <c r="K219" s="2220" t="s">
        <v>315</v>
      </c>
      <c r="L219" s="2220" t="s">
        <v>891</v>
      </c>
      <c r="M219" s="2216" t="s">
        <v>314</v>
      </c>
      <c r="N219" s="2216" t="s">
        <v>1076</v>
      </c>
      <c r="O219" s="2216" t="s">
        <v>18</v>
      </c>
      <c r="P219" s="2220" t="s">
        <v>892</v>
      </c>
      <c r="Q219" s="2220" t="s">
        <v>826</v>
      </c>
      <c r="R219" s="2220" t="s">
        <v>315</v>
      </c>
      <c r="S219" s="2216"/>
      <c r="T219" s="2216" t="s">
        <v>1180</v>
      </c>
      <c r="U219" s="2216"/>
      <c r="V219" s="3650"/>
      <c r="W219" s="3649"/>
      <c r="X219" s="3648"/>
      <c r="Y219" s="2240"/>
      <c r="Z219" s="2240"/>
      <c r="AA219" s="2240"/>
      <c r="AC219" s="2224"/>
      <c r="AF219" s="2224">
        <f t="shared" ref="AF219:AF286" si="51">SUM(E219:W219)</f>
        <v>0</v>
      </c>
      <c r="AG219" s="2224">
        <f t="shared" ref="AG219:AG286" si="52">X219-AF219</f>
        <v>0</v>
      </c>
      <c r="AK219" s="2224" t="e">
        <f t="shared" ref="AK219:AK286" si="53">E219+H219+J219+N219+P219+Q219+R219+W219+O219</f>
        <v>#VALUE!</v>
      </c>
      <c r="AL219" s="2224" t="e">
        <f t="shared" ref="AL219:AL286" si="54">X219-AK219</f>
        <v>#VALUE!</v>
      </c>
      <c r="AP219" s="2224" t="e">
        <f t="shared" si="49"/>
        <v>#VALUE!</v>
      </c>
      <c r="AR219" s="2224" t="e">
        <f t="shared" si="47"/>
        <v>#VALUE!</v>
      </c>
      <c r="AS219" s="2224" t="e">
        <f t="shared" si="50"/>
        <v>#VALUE!</v>
      </c>
      <c r="AU219" s="2221" t="s">
        <v>1180</v>
      </c>
    </row>
    <row r="220" spans="2:47" ht="21" customHeight="1" x14ac:dyDescent="0.2">
      <c r="B220" s="3654" t="s">
        <v>180</v>
      </c>
      <c r="C220" s="3684" t="s">
        <v>181</v>
      </c>
      <c r="D220" s="3684"/>
      <c r="E220" s="1284">
        <f>E208</f>
        <v>32094860014488</v>
      </c>
      <c r="F220" s="1284">
        <f>F208</f>
        <v>0</v>
      </c>
      <c r="G220" s="1284">
        <f>G208</f>
        <v>0</v>
      </c>
      <c r="H220" s="1284">
        <f t="shared" ref="H220:X220" si="55">H208</f>
        <v>32094860014488</v>
      </c>
      <c r="I220" s="2275">
        <f t="shared" si="55"/>
        <v>0</v>
      </c>
      <c r="J220" s="2275">
        <f t="shared" si="55"/>
        <v>11935593739403</v>
      </c>
      <c r="K220" s="2275">
        <f t="shared" si="55"/>
        <v>0</v>
      </c>
      <c r="L220" s="2275">
        <f t="shared" si="55"/>
        <v>0</v>
      </c>
      <c r="M220" s="2275">
        <f t="shared" si="55"/>
        <v>0</v>
      </c>
      <c r="N220" s="2275">
        <f t="shared" si="55"/>
        <v>497367127405</v>
      </c>
      <c r="O220" s="2275">
        <f t="shared" si="55"/>
        <v>637440052584</v>
      </c>
      <c r="P220" s="2275">
        <f t="shared" si="55"/>
        <v>-1345525403506</v>
      </c>
      <c r="Q220" s="2275">
        <f t="shared" si="55"/>
        <v>-1315023704478</v>
      </c>
      <c r="R220" s="2275">
        <f t="shared" si="55"/>
        <v>0</v>
      </c>
      <c r="S220" s="2275">
        <f t="shared" si="55"/>
        <v>0</v>
      </c>
      <c r="T220" s="2275">
        <f t="shared" si="55"/>
        <v>0</v>
      </c>
      <c r="U220" s="2275">
        <f t="shared" si="55"/>
        <v>0</v>
      </c>
      <c r="V220" s="2275">
        <f t="shared" si="55"/>
        <v>-46208983180</v>
      </c>
      <c r="W220" s="2275">
        <f t="shared" si="55"/>
        <v>1047793475823</v>
      </c>
      <c r="X220" s="2276">
        <f t="shared" si="55"/>
        <v>43506296318539</v>
      </c>
      <c r="Y220" s="2269" t="e">
        <f>Y208</f>
        <v>#N/A</v>
      </c>
      <c r="Z220" s="2269">
        <f>Z208</f>
        <v>0</v>
      </c>
      <c r="AA220" s="2269">
        <f>AA208</f>
        <v>0</v>
      </c>
      <c r="AC220" s="2224"/>
      <c r="AF220" s="2224">
        <f t="shared" si="51"/>
        <v>75601156333027</v>
      </c>
      <c r="AG220" s="2224">
        <f t="shared" si="52"/>
        <v>-32094860014488</v>
      </c>
      <c r="AK220" s="2224">
        <f t="shared" si="53"/>
        <v>75647365316207</v>
      </c>
      <c r="AL220" s="2224">
        <f t="shared" si="54"/>
        <v>-32141068997668</v>
      </c>
      <c r="AP220" s="2224">
        <f t="shared" si="49"/>
        <v>0</v>
      </c>
      <c r="AR220" s="2224">
        <f t="shared" si="47"/>
        <v>43506296318539</v>
      </c>
      <c r="AS220" s="2224">
        <f t="shared" si="50"/>
        <v>0</v>
      </c>
      <c r="AU220" s="2142">
        <f>AU208</f>
        <v>-547248000000</v>
      </c>
    </row>
    <row r="221" spans="2:47" ht="21" customHeight="1" x14ac:dyDescent="0.2">
      <c r="B221" s="3654"/>
      <c r="C221" s="1762" t="s">
        <v>697</v>
      </c>
      <c r="D221" s="1208" t="s">
        <v>696</v>
      </c>
      <c r="E221" s="1285">
        <v>1019916443</v>
      </c>
      <c r="F221" s="1285"/>
      <c r="G221" s="1255"/>
      <c r="H221" s="1271">
        <f>E221+G221+F221</f>
        <v>1019916443</v>
      </c>
      <c r="I221" s="2258"/>
      <c r="J221" s="510">
        <f t="shared" ref="J221:J236" si="56">X221-O221-N221-P221-Q221-K221-R221-W221-E221-T221-I221-V221-F221-G221</f>
        <v>0</v>
      </c>
      <c r="K221" s="2241"/>
      <c r="L221" s="2241"/>
      <c r="M221" s="2241"/>
      <c r="N221" s="510"/>
      <c r="O221" s="510"/>
      <c r="P221" s="2241"/>
      <c r="Q221" s="2241"/>
      <c r="R221" s="2270"/>
      <c r="T221" s="510"/>
      <c r="V221" s="510"/>
      <c r="W221" s="510"/>
      <c r="X221" s="550">
        <v>1019916443</v>
      </c>
      <c r="Y221" s="2240"/>
      <c r="Z221" s="2240"/>
      <c r="AA221" s="2240"/>
      <c r="AC221" s="2224"/>
      <c r="AF221" s="2224">
        <f t="shared" si="51"/>
        <v>2039832886</v>
      </c>
      <c r="AG221" s="2224">
        <f t="shared" si="52"/>
        <v>-1019916443</v>
      </c>
      <c r="AK221" s="2224">
        <f t="shared" si="53"/>
        <v>2039832886</v>
      </c>
      <c r="AL221" s="2224">
        <f t="shared" si="54"/>
        <v>-1019916443</v>
      </c>
      <c r="AP221" s="2224">
        <f t="shared" si="49"/>
        <v>0</v>
      </c>
      <c r="AR221" s="2224">
        <f t="shared" si="47"/>
        <v>1019916443</v>
      </c>
      <c r="AS221" s="2224">
        <f t="shared" si="50"/>
        <v>0</v>
      </c>
      <c r="AU221" s="234"/>
    </row>
    <row r="222" spans="2:47" ht="21" customHeight="1" x14ac:dyDescent="0.2">
      <c r="B222" s="3654"/>
      <c r="C222" s="1762" t="s">
        <v>699</v>
      </c>
      <c r="D222" s="1208" t="s">
        <v>698</v>
      </c>
      <c r="E222" s="1285">
        <v>806949843</v>
      </c>
      <c r="F222" s="1285"/>
      <c r="G222" s="1255"/>
      <c r="H222" s="1271">
        <f t="shared" ref="H222:H236" si="57">E222+G222+F222</f>
        <v>806949843</v>
      </c>
      <c r="I222" s="2258"/>
      <c r="J222" s="510">
        <f t="shared" si="56"/>
        <v>0</v>
      </c>
      <c r="K222" s="2241"/>
      <c r="L222" s="2241"/>
      <c r="M222" s="2241"/>
      <c r="N222" s="510"/>
      <c r="O222" s="510"/>
      <c r="P222" s="2241"/>
      <c r="Q222" s="2241"/>
      <c r="R222" s="2270"/>
      <c r="T222" s="510"/>
      <c r="V222" s="510"/>
      <c r="W222" s="510"/>
      <c r="X222" s="550">
        <v>806949843</v>
      </c>
      <c r="Y222" s="2240"/>
      <c r="Z222" s="2240"/>
      <c r="AA222" s="2240"/>
      <c r="AC222" s="2224"/>
      <c r="AF222" s="2224">
        <f t="shared" si="51"/>
        <v>1613899686</v>
      </c>
      <c r="AG222" s="2224">
        <f t="shared" si="52"/>
        <v>-806949843</v>
      </c>
      <c r="AK222" s="2224">
        <f t="shared" si="53"/>
        <v>1613899686</v>
      </c>
      <c r="AL222" s="2224">
        <f t="shared" si="54"/>
        <v>-806949843</v>
      </c>
      <c r="AP222" s="2224">
        <f t="shared" si="49"/>
        <v>0</v>
      </c>
      <c r="AR222" s="2224">
        <f t="shared" si="47"/>
        <v>806949843</v>
      </c>
      <c r="AS222" s="2224">
        <f t="shared" si="50"/>
        <v>0</v>
      </c>
      <c r="AU222" s="234"/>
    </row>
    <row r="223" spans="2:47" ht="21" customHeight="1" x14ac:dyDescent="0.2">
      <c r="B223" s="3654"/>
      <c r="C223" s="1762" t="s">
        <v>701</v>
      </c>
      <c r="D223" s="1208" t="s">
        <v>700</v>
      </c>
      <c r="E223" s="1285">
        <v>3148941511</v>
      </c>
      <c r="F223" s="1285"/>
      <c r="G223" s="1255"/>
      <c r="H223" s="1271">
        <f t="shared" si="57"/>
        <v>3148941511</v>
      </c>
      <c r="I223" s="2258"/>
      <c r="J223" s="510">
        <f t="shared" si="56"/>
        <v>0</v>
      </c>
      <c r="K223" s="2241"/>
      <c r="L223" s="2241"/>
      <c r="M223" s="2241"/>
      <c r="N223" s="510"/>
      <c r="O223" s="510"/>
      <c r="P223" s="2241"/>
      <c r="Q223" s="2241"/>
      <c r="R223" s="1258"/>
      <c r="T223" s="510"/>
      <c r="V223" s="510"/>
      <c r="W223" s="510"/>
      <c r="X223" s="550">
        <v>3148941511</v>
      </c>
      <c r="Y223" s="2240"/>
      <c r="Z223" s="2240"/>
      <c r="AA223" s="2240"/>
      <c r="AC223" s="2224"/>
      <c r="AF223" s="2224">
        <f t="shared" si="51"/>
        <v>6297883022</v>
      </c>
      <c r="AG223" s="2224">
        <f t="shared" si="52"/>
        <v>-3148941511</v>
      </c>
      <c r="AK223" s="2224">
        <f t="shared" si="53"/>
        <v>6297883022</v>
      </c>
      <c r="AL223" s="2224">
        <f t="shared" si="54"/>
        <v>-3148941511</v>
      </c>
      <c r="AP223" s="2224">
        <f t="shared" si="49"/>
        <v>0</v>
      </c>
      <c r="AR223" s="2224">
        <f t="shared" si="47"/>
        <v>3148941511</v>
      </c>
      <c r="AS223" s="2224">
        <f t="shared" si="50"/>
        <v>0</v>
      </c>
      <c r="AU223" s="234"/>
    </row>
    <row r="224" spans="2:47" ht="21" customHeight="1" x14ac:dyDescent="0.2">
      <c r="B224" s="3654"/>
      <c r="C224" s="1762" t="s">
        <v>806</v>
      </c>
      <c r="D224" s="1208" t="s">
        <v>678</v>
      </c>
      <c r="E224" s="1285">
        <v>4529668788</v>
      </c>
      <c r="F224" s="1285"/>
      <c r="G224" s="1255"/>
      <c r="H224" s="1271">
        <f t="shared" si="57"/>
        <v>4529668788</v>
      </c>
      <c r="I224" s="2258"/>
      <c r="J224" s="510">
        <f t="shared" si="56"/>
        <v>0</v>
      </c>
      <c r="K224" s="2241"/>
      <c r="L224" s="2241"/>
      <c r="M224" s="2241"/>
      <c r="N224" s="510"/>
      <c r="O224" s="510"/>
      <c r="P224" s="2241"/>
      <c r="Q224" s="2241"/>
      <c r="R224" s="1258"/>
      <c r="T224" s="510"/>
      <c r="V224" s="510"/>
      <c r="W224" s="510"/>
      <c r="X224" s="550">
        <v>4529668788</v>
      </c>
      <c r="Y224" s="2240"/>
      <c r="Z224" s="2240"/>
      <c r="AA224" s="2240"/>
      <c r="AC224" s="2224"/>
      <c r="AF224" s="2224">
        <f t="shared" si="51"/>
        <v>9059337576</v>
      </c>
      <c r="AG224" s="2224">
        <f t="shared" si="52"/>
        <v>-4529668788</v>
      </c>
      <c r="AK224" s="2224">
        <f t="shared" si="53"/>
        <v>9059337576</v>
      </c>
      <c r="AL224" s="2224">
        <f t="shared" si="54"/>
        <v>-4529668788</v>
      </c>
      <c r="AP224" s="2224">
        <f t="shared" si="49"/>
        <v>0</v>
      </c>
      <c r="AR224" s="2224">
        <f t="shared" si="47"/>
        <v>4529668788</v>
      </c>
      <c r="AS224" s="2224">
        <f t="shared" si="50"/>
        <v>0</v>
      </c>
      <c r="AU224" s="234"/>
    </row>
    <row r="225" spans="2:47" ht="21" customHeight="1" x14ac:dyDescent="0.2">
      <c r="B225" s="3654"/>
      <c r="C225" s="1762" t="s">
        <v>703</v>
      </c>
      <c r="D225" s="1208" t="s">
        <v>702</v>
      </c>
      <c r="E225" s="1285">
        <v>643000000</v>
      </c>
      <c r="F225" s="1285"/>
      <c r="G225" s="1255"/>
      <c r="H225" s="1271">
        <f t="shared" si="57"/>
        <v>643000000</v>
      </c>
      <c r="I225" s="2258"/>
      <c r="J225" s="510">
        <f t="shared" si="56"/>
        <v>0</v>
      </c>
      <c r="K225" s="2241"/>
      <c r="L225" s="2241"/>
      <c r="M225" s="2241"/>
      <c r="N225" s="510"/>
      <c r="O225" s="510"/>
      <c r="P225" s="2241"/>
      <c r="Q225" s="2241"/>
      <c r="R225" s="1258"/>
      <c r="T225" s="510"/>
      <c r="V225" s="510"/>
      <c r="W225" s="510"/>
      <c r="X225" s="550">
        <v>643000000</v>
      </c>
      <c r="Y225" s="2240"/>
      <c r="Z225" s="2240"/>
      <c r="AA225" s="2240"/>
      <c r="AC225" s="2224"/>
      <c r="AF225" s="2224">
        <f t="shared" si="51"/>
        <v>1286000000</v>
      </c>
      <c r="AG225" s="2224">
        <f t="shared" si="52"/>
        <v>-643000000</v>
      </c>
      <c r="AK225" s="2224">
        <f t="shared" si="53"/>
        <v>1286000000</v>
      </c>
      <c r="AL225" s="2224">
        <f t="shared" si="54"/>
        <v>-643000000</v>
      </c>
      <c r="AP225" s="2224">
        <f t="shared" si="49"/>
        <v>0</v>
      </c>
      <c r="AR225" s="2224">
        <f t="shared" si="47"/>
        <v>643000000</v>
      </c>
      <c r="AS225" s="2224">
        <f t="shared" si="50"/>
        <v>0</v>
      </c>
      <c r="AU225" s="234"/>
    </row>
    <row r="226" spans="2:47" ht="21" customHeight="1" x14ac:dyDescent="0.2">
      <c r="B226" s="3654"/>
      <c r="C226" s="1762" t="s">
        <v>705</v>
      </c>
      <c r="D226" s="1208" t="s">
        <v>704</v>
      </c>
      <c r="E226" s="1285">
        <v>8712120310</v>
      </c>
      <c r="F226" s="1285"/>
      <c r="G226" s="1255"/>
      <c r="H226" s="1271">
        <f t="shared" si="57"/>
        <v>8712120310</v>
      </c>
      <c r="I226" s="2258"/>
      <c r="J226" s="510">
        <f t="shared" si="56"/>
        <v>0</v>
      </c>
      <c r="K226" s="2241"/>
      <c r="L226" s="2241"/>
      <c r="M226" s="2241"/>
      <c r="N226" s="510"/>
      <c r="O226" s="510"/>
      <c r="P226" s="2241"/>
      <c r="Q226" s="2241"/>
      <c r="R226" s="1258"/>
      <c r="T226" s="510"/>
      <c r="V226" s="510"/>
      <c r="W226" s="510"/>
      <c r="X226" s="550">
        <v>8712120310</v>
      </c>
      <c r="Y226" s="2240"/>
      <c r="Z226" s="2240"/>
      <c r="AA226" s="2240"/>
      <c r="AC226" s="2224"/>
      <c r="AE226" s="2205"/>
      <c r="AF226" s="2224">
        <f t="shared" si="51"/>
        <v>17424240620</v>
      </c>
      <c r="AG226" s="2224">
        <f t="shared" si="52"/>
        <v>-8712120310</v>
      </c>
      <c r="AK226" s="2224">
        <f t="shared" si="53"/>
        <v>17424240620</v>
      </c>
      <c r="AL226" s="2224">
        <f t="shared" si="54"/>
        <v>-8712120310</v>
      </c>
      <c r="AP226" s="2224">
        <f t="shared" si="49"/>
        <v>0</v>
      </c>
      <c r="AR226" s="2224">
        <f t="shared" si="47"/>
        <v>8712120310</v>
      </c>
      <c r="AS226" s="2224">
        <f t="shared" si="50"/>
        <v>0</v>
      </c>
      <c r="AU226" s="234"/>
    </row>
    <row r="227" spans="2:47" ht="21" customHeight="1" x14ac:dyDescent="0.2">
      <c r="B227" s="3654"/>
      <c r="C227" s="1762" t="s">
        <v>807</v>
      </c>
      <c r="D227" s="1208" t="s">
        <v>679</v>
      </c>
      <c r="E227" s="1271">
        <v>606867059</v>
      </c>
      <c r="F227" s="1350"/>
      <c r="G227" s="1255"/>
      <c r="H227" s="1271">
        <f t="shared" si="57"/>
        <v>606867059</v>
      </c>
      <c r="I227" s="2258"/>
      <c r="J227" s="510">
        <f t="shared" si="56"/>
        <v>0</v>
      </c>
      <c r="K227" s="2241"/>
      <c r="L227" s="2241"/>
      <c r="M227" s="2241"/>
      <c r="N227" s="510"/>
      <c r="O227" s="510"/>
      <c r="P227" s="2241"/>
      <c r="Q227" s="2241"/>
      <c r="R227" s="1258"/>
      <c r="T227" s="510"/>
      <c r="V227" s="510"/>
      <c r="W227" s="510"/>
      <c r="X227" s="551">
        <v>606867059</v>
      </c>
      <c r="Y227" s="2240"/>
      <c r="Z227" s="2240"/>
      <c r="AA227" s="2240"/>
      <c r="AC227" s="2224"/>
      <c r="AF227" s="2224">
        <f t="shared" si="51"/>
        <v>1213734118</v>
      </c>
      <c r="AG227" s="2224">
        <f t="shared" si="52"/>
        <v>-606867059</v>
      </c>
      <c r="AK227" s="2224">
        <f t="shared" si="53"/>
        <v>1213734118</v>
      </c>
      <c r="AL227" s="2224">
        <f t="shared" si="54"/>
        <v>-606867059</v>
      </c>
      <c r="AP227" s="2224">
        <f t="shared" si="49"/>
        <v>0</v>
      </c>
      <c r="AR227" s="2224">
        <f t="shared" si="47"/>
        <v>606867059</v>
      </c>
      <c r="AS227" s="2224">
        <f t="shared" si="50"/>
        <v>0</v>
      </c>
      <c r="AU227" s="234"/>
    </row>
    <row r="228" spans="2:47" ht="21" customHeight="1" x14ac:dyDescent="0.2">
      <c r="B228" s="3654"/>
      <c r="C228" s="1762" t="s">
        <v>665</v>
      </c>
      <c r="D228" s="1208" t="s">
        <v>706</v>
      </c>
      <c r="E228" s="1285">
        <v>35046008291</v>
      </c>
      <c r="F228" s="1285"/>
      <c r="G228" s="1255"/>
      <c r="H228" s="1271">
        <f t="shared" si="57"/>
        <v>35046008291</v>
      </c>
      <c r="I228" s="2258"/>
      <c r="J228" s="510">
        <f t="shared" si="56"/>
        <v>0</v>
      </c>
      <c r="K228" s="2241"/>
      <c r="L228" s="2241"/>
      <c r="M228" s="2241"/>
      <c r="N228" s="510"/>
      <c r="O228" s="510"/>
      <c r="P228" s="2241"/>
      <c r="Q228" s="2241"/>
      <c r="R228" s="1258"/>
      <c r="T228" s="510"/>
      <c r="V228" s="510"/>
      <c r="W228" s="510"/>
      <c r="X228" s="550">
        <v>35046008291</v>
      </c>
      <c r="Y228" s="2240"/>
      <c r="Z228" s="2240"/>
      <c r="AA228" s="2240"/>
      <c r="AC228" s="2224"/>
      <c r="AF228" s="2224">
        <f t="shared" si="51"/>
        <v>70092016582</v>
      </c>
      <c r="AG228" s="2224">
        <f t="shared" si="52"/>
        <v>-35046008291</v>
      </c>
      <c r="AK228" s="2224">
        <f t="shared" si="53"/>
        <v>70092016582</v>
      </c>
      <c r="AL228" s="2224">
        <f t="shared" si="54"/>
        <v>-35046008291</v>
      </c>
      <c r="AP228" s="2224">
        <f t="shared" si="49"/>
        <v>0</v>
      </c>
      <c r="AR228" s="2224">
        <f t="shared" si="47"/>
        <v>35046008291</v>
      </c>
      <c r="AS228" s="2224">
        <f t="shared" si="50"/>
        <v>0</v>
      </c>
      <c r="AU228" s="234"/>
    </row>
    <row r="229" spans="2:47" ht="21" customHeight="1" x14ac:dyDescent="0.2">
      <c r="B229" s="3654"/>
      <c r="C229" s="1762" t="s">
        <v>808</v>
      </c>
      <c r="D229" s="1208" t="s">
        <v>680</v>
      </c>
      <c r="E229" s="1290">
        <v>934156010</v>
      </c>
      <c r="F229" s="1290"/>
      <c r="G229" s="1255"/>
      <c r="H229" s="1271">
        <f t="shared" si="57"/>
        <v>934156010</v>
      </c>
      <c r="I229" s="2278"/>
      <c r="J229" s="510">
        <f t="shared" si="56"/>
        <v>0</v>
      </c>
      <c r="K229" s="2249"/>
      <c r="L229" s="2249"/>
      <c r="M229" s="2249"/>
      <c r="N229" s="1246"/>
      <c r="O229" s="1246"/>
      <c r="P229" s="2249"/>
      <c r="Q229" s="2249"/>
      <c r="R229" s="1258"/>
      <c r="T229" s="1246"/>
      <c r="V229" s="1246"/>
      <c r="W229" s="1246"/>
      <c r="X229" s="1291">
        <v>934156010</v>
      </c>
      <c r="Y229" s="2240"/>
      <c r="Z229" s="2240"/>
      <c r="AA229" s="2240"/>
      <c r="AC229" s="2224"/>
      <c r="AF229" s="2224">
        <f t="shared" si="51"/>
        <v>1868312020</v>
      </c>
      <c r="AG229" s="2224">
        <f t="shared" si="52"/>
        <v>-934156010</v>
      </c>
      <c r="AK229" s="2224">
        <f t="shared" si="53"/>
        <v>1868312020</v>
      </c>
      <c r="AL229" s="2224">
        <f t="shared" si="54"/>
        <v>-934156010</v>
      </c>
      <c r="AP229" s="2224">
        <f t="shared" si="49"/>
        <v>0</v>
      </c>
      <c r="AR229" s="2224">
        <f t="shared" si="47"/>
        <v>934156010</v>
      </c>
      <c r="AS229" s="2224">
        <f t="shared" si="50"/>
        <v>0</v>
      </c>
      <c r="AU229" s="238"/>
    </row>
    <row r="230" spans="2:47" ht="21" customHeight="1" x14ac:dyDescent="0.2">
      <c r="B230" s="3654"/>
      <c r="C230" s="1771" t="s">
        <v>707</v>
      </c>
      <c r="D230" s="1208" t="s">
        <v>704</v>
      </c>
      <c r="E230" s="1285">
        <v>29747304260</v>
      </c>
      <c r="F230" s="1285"/>
      <c r="G230" s="1255"/>
      <c r="H230" s="1271">
        <f t="shared" si="57"/>
        <v>29747304260</v>
      </c>
      <c r="I230" s="1780"/>
      <c r="J230" s="510">
        <f t="shared" si="56"/>
        <v>0</v>
      </c>
      <c r="K230" s="1780"/>
      <c r="L230" s="1780"/>
      <c r="M230" s="1780"/>
      <c r="N230" s="1780"/>
      <c r="O230" s="1780"/>
      <c r="P230" s="1780"/>
      <c r="Q230" s="1780"/>
      <c r="R230" s="1780"/>
      <c r="T230" s="1780"/>
      <c r="V230" s="1780"/>
      <c r="W230" s="1780"/>
      <c r="X230" s="550">
        <v>29747304260</v>
      </c>
      <c r="Y230" s="2240"/>
      <c r="Z230" s="2240"/>
      <c r="AA230" s="2240"/>
      <c r="AC230" s="2224"/>
      <c r="AF230" s="2224">
        <f t="shared" si="51"/>
        <v>59494608520</v>
      </c>
      <c r="AG230" s="2224">
        <f t="shared" si="52"/>
        <v>-29747304260</v>
      </c>
      <c r="AK230" s="2224">
        <f t="shared" si="53"/>
        <v>59494608520</v>
      </c>
      <c r="AL230" s="2224">
        <f t="shared" si="54"/>
        <v>-29747304260</v>
      </c>
      <c r="AP230" s="2224">
        <f t="shared" si="49"/>
        <v>0</v>
      </c>
      <c r="AR230" s="2224">
        <f t="shared" si="47"/>
        <v>29747304260</v>
      </c>
      <c r="AS230" s="2224">
        <f t="shared" si="50"/>
        <v>0</v>
      </c>
      <c r="AU230" s="1771"/>
    </row>
    <row r="231" spans="2:47" ht="21" customHeight="1" x14ac:dyDescent="0.2">
      <c r="B231" s="3654"/>
      <c r="C231" s="1771" t="s">
        <v>798</v>
      </c>
      <c r="D231" s="1208" t="s">
        <v>708</v>
      </c>
      <c r="E231" s="1285">
        <v>4614246885</v>
      </c>
      <c r="F231" s="1285"/>
      <c r="G231" s="1255"/>
      <c r="H231" s="1271">
        <f t="shared" si="57"/>
        <v>4614246885</v>
      </c>
      <c r="I231" s="1780"/>
      <c r="J231" s="510">
        <f t="shared" si="56"/>
        <v>0</v>
      </c>
      <c r="K231" s="2268"/>
      <c r="L231" s="2268"/>
      <c r="M231" s="2268"/>
      <c r="N231" s="2268"/>
      <c r="O231" s="2268"/>
      <c r="P231" s="2268"/>
      <c r="Q231" s="2268"/>
      <c r="R231" s="2268"/>
      <c r="T231" s="2268"/>
      <c r="V231" s="2268"/>
      <c r="W231" s="2268"/>
      <c r="X231" s="550">
        <v>4614246885</v>
      </c>
      <c r="Y231" s="2240"/>
      <c r="Z231" s="2240"/>
      <c r="AA231" s="2240"/>
      <c r="AC231" s="2224"/>
      <c r="AF231" s="2224">
        <f t="shared" si="51"/>
        <v>9228493770</v>
      </c>
      <c r="AG231" s="2224">
        <f t="shared" si="52"/>
        <v>-4614246885</v>
      </c>
      <c r="AK231" s="2224">
        <f t="shared" si="53"/>
        <v>9228493770</v>
      </c>
      <c r="AL231" s="2224">
        <f t="shared" si="54"/>
        <v>-4614246885</v>
      </c>
      <c r="AP231" s="2224">
        <f t="shared" si="49"/>
        <v>0</v>
      </c>
      <c r="AR231" s="2224">
        <f t="shared" si="47"/>
        <v>4614246885</v>
      </c>
      <c r="AS231" s="2224">
        <f t="shared" si="50"/>
        <v>0</v>
      </c>
      <c r="AU231" s="2143"/>
    </row>
    <row r="232" spans="2:47" ht="21" customHeight="1" x14ac:dyDescent="0.2">
      <c r="B232" s="3654"/>
      <c r="C232" s="1771" t="s">
        <v>799</v>
      </c>
      <c r="D232" s="1208" t="s">
        <v>709</v>
      </c>
      <c r="E232" s="1285">
        <v>1000000000</v>
      </c>
      <c r="F232" s="1285"/>
      <c r="G232" s="1255"/>
      <c r="H232" s="1271">
        <f t="shared" si="57"/>
        <v>1000000000</v>
      </c>
      <c r="I232" s="1780"/>
      <c r="J232" s="510">
        <f t="shared" si="56"/>
        <v>0</v>
      </c>
      <c r="K232" s="2268"/>
      <c r="L232" s="2268"/>
      <c r="M232" s="2268"/>
      <c r="N232" s="2268"/>
      <c r="O232" s="2268"/>
      <c r="P232" s="2268"/>
      <c r="Q232" s="2268"/>
      <c r="R232" s="2268"/>
      <c r="T232" s="2268"/>
      <c r="V232" s="2268"/>
      <c r="W232" s="2268"/>
      <c r="X232" s="550">
        <v>1000000000</v>
      </c>
      <c r="Y232" s="2240"/>
      <c r="Z232" s="2240"/>
      <c r="AA232" s="2240"/>
      <c r="AC232" s="2224"/>
      <c r="AF232" s="2224">
        <f t="shared" si="51"/>
        <v>2000000000</v>
      </c>
      <c r="AG232" s="2224">
        <f t="shared" si="52"/>
        <v>-1000000000</v>
      </c>
      <c r="AK232" s="2224">
        <f t="shared" si="53"/>
        <v>2000000000</v>
      </c>
      <c r="AL232" s="2224">
        <f t="shared" si="54"/>
        <v>-1000000000</v>
      </c>
      <c r="AP232" s="2224">
        <f t="shared" si="49"/>
        <v>0</v>
      </c>
      <c r="AR232" s="2224">
        <f t="shared" si="47"/>
        <v>1000000000</v>
      </c>
      <c r="AS232" s="2224">
        <f t="shared" si="50"/>
        <v>0</v>
      </c>
      <c r="AU232" s="2143"/>
    </row>
    <row r="233" spans="2:47" ht="21" customHeight="1" x14ac:dyDescent="0.2">
      <c r="B233" s="3654"/>
      <c r="C233" s="1771" t="s">
        <v>711</v>
      </c>
      <c r="D233" s="1208" t="s">
        <v>710</v>
      </c>
      <c r="E233" s="1282">
        <v>2569129337</v>
      </c>
      <c r="F233" s="1406"/>
      <c r="G233" s="1255"/>
      <c r="H233" s="1271">
        <f t="shared" si="57"/>
        <v>2569129337</v>
      </c>
      <c r="I233" s="1780"/>
      <c r="J233" s="510">
        <f t="shared" si="56"/>
        <v>0</v>
      </c>
      <c r="K233" s="2268"/>
      <c r="L233" s="2268"/>
      <c r="M233" s="2268"/>
      <c r="N233" s="2268"/>
      <c r="O233" s="2268"/>
      <c r="P233" s="2268"/>
      <c r="Q233" s="2268"/>
      <c r="R233" s="2268"/>
      <c r="T233" s="2268"/>
      <c r="V233" s="2268"/>
      <c r="W233" s="2268">
        <f>-150000000</f>
        <v>-150000000</v>
      </c>
      <c r="X233" s="1772">
        <v>2419129337</v>
      </c>
      <c r="Y233" s="2240"/>
      <c r="Z233" s="2240"/>
      <c r="AA233" s="2240"/>
      <c r="AC233" s="2224"/>
      <c r="AF233" s="2224">
        <f t="shared" si="51"/>
        <v>4988258674</v>
      </c>
      <c r="AG233" s="2224">
        <f t="shared" si="52"/>
        <v>-2569129337</v>
      </c>
      <c r="AK233" s="2224">
        <f t="shared" si="53"/>
        <v>4988258674</v>
      </c>
      <c r="AL233" s="2224">
        <f t="shared" si="54"/>
        <v>-2569129337</v>
      </c>
      <c r="AP233" s="2224">
        <f t="shared" si="49"/>
        <v>0</v>
      </c>
      <c r="AR233" s="2224">
        <f t="shared" si="47"/>
        <v>2419129337</v>
      </c>
      <c r="AS233" s="2224">
        <f t="shared" si="50"/>
        <v>0</v>
      </c>
      <c r="AU233" s="2143"/>
    </row>
    <row r="234" spans="2:47" ht="21" customHeight="1" x14ac:dyDescent="0.2">
      <c r="B234" s="3654"/>
      <c r="C234" s="1771" t="s">
        <v>713</v>
      </c>
      <c r="D234" s="1208" t="s">
        <v>712</v>
      </c>
      <c r="E234" s="1285">
        <v>1255798058</v>
      </c>
      <c r="F234" s="1285"/>
      <c r="G234" s="1255"/>
      <c r="H234" s="1271">
        <f t="shared" si="57"/>
        <v>1255798058</v>
      </c>
      <c r="I234" s="1780"/>
      <c r="J234" s="510">
        <f t="shared" si="56"/>
        <v>0</v>
      </c>
      <c r="K234" s="2268"/>
      <c r="L234" s="2268"/>
      <c r="M234" s="2268"/>
      <c r="N234" s="2268"/>
      <c r="O234" s="2268"/>
      <c r="P234" s="2268"/>
      <c r="Q234" s="2268"/>
      <c r="R234" s="2268"/>
      <c r="T234" s="2268"/>
      <c r="V234" s="2268"/>
      <c r="W234" s="2268"/>
      <c r="X234" s="550">
        <v>1255798058</v>
      </c>
      <c r="Y234" s="2240"/>
      <c r="Z234" s="2240"/>
      <c r="AA234" s="2240"/>
      <c r="AC234" s="2224"/>
      <c r="AF234" s="2224">
        <f t="shared" si="51"/>
        <v>2511596116</v>
      </c>
      <c r="AG234" s="2224">
        <f t="shared" si="52"/>
        <v>-1255798058</v>
      </c>
      <c r="AK234" s="2224">
        <f t="shared" si="53"/>
        <v>2511596116</v>
      </c>
      <c r="AL234" s="2224">
        <f t="shared" si="54"/>
        <v>-1255798058</v>
      </c>
      <c r="AP234" s="2224">
        <f t="shared" si="49"/>
        <v>0</v>
      </c>
      <c r="AR234" s="2224">
        <f t="shared" si="47"/>
        <v>1255798058</v>
      </c>
      <c r="AS234" s="2224">
        <f t="shared" si="50"/>
        <v>0</v>
      </c>
      <c r="AU234" s="2143"/>
    </row>
    <row r="235" spans="2:47" ht="21" customHeight="1" x14ac:dyDescent="0.2">
      <c r="B235" s="3654"/>
      <c r="C235" s="1771" t="s">
        <v>714</v>
      </c>
      <c r="D235" s="1208" t="s">
        <v>712</v>
      </c>
      <c r="E235" s="1285">
        <v>3191408380</v>
      </c>
      <c r="F235" s="1285"/>
      <c r="G235" s="1255"/>
      <c r="H235" s="1271">
        <f t="shared" si="57"/>
        <v>3191408380</v>
      </c>
      <c r="I235" s="1780"/>
      <c r="J235" s="510">
        <f t="shared" si="56"/>
        <v>0</v>
      </c>
      <c r="K235" s="2268"/>
      <c r="L235" s="2268"/>
      <c r="M235" s="2268"/>
      <c r="N235" s="2268"/>
      <c r="O235" s="2268"/>
      <c r="P235" s="2268"/>
      <c r="Q235" s="2268"/>
      <c r="R235" s="2268"/>
      <c r="T235" s="2268"/>
      <c r="V235" s="2268"/>
      <c r="W235" s="2268"/>
      <c r="X235" s="550">
        <v>3191408380</v>
      </c>
      <c r="Y235" s="2240"/>
      <c r="Z235" s="2240"/>
      <c r="AA235" s="2240"/>
      <c r="AC235" s="2224"/>
      <c r="AF235" s="2224">
        <f t="shared" si="51"/>
        <v>6382816760</v>
      </c>
      <c r="AG235" s="2224">
        <f t="shared" si="52"/>
        <v>-3191408380</v>
      </c>
      <c r="AK235" s="2224">
        <f t="shared" si="53"/>
        <v>6382816760</v>
      </c>
      <c r="AL235" s="2224">
        <f t="shared" si="54"/>
        <v>-3191408380</v>
      </c>
      <c r="AP235" s="2224">
        <f t="shared" si="49"/>
        <v>0</v>
      </c>
      <c r="AR235" s="2224">
        <f t="shared" si="47"/>
        <v>3191408380</v>
      </c>
      <c r="AS235" s="2224">
        <f t="shared" si="50"/>
        <v>0</v>
      </c>
      <c r="AU235" s="2143"/>
    </row>
    <row r="236" spans="2:47" ht="21" customHeight="1" x14ac:dyDescent="0.2">
      <c r="B236" s="3654"/>
      <c r="C236" s="1771" t="s">
        <v>715</v>
      </c>
      <c r="D236" s="1208" t="s">
        <v>712</v>
      </c>
      <c r="E236" s="1285">
        <v>4851165544</v>
      </c>
      <c r="F236" s="1285"/>
      <c r="G236" s="1255"/>
      <c r="H236" s="1271">
        <f t="shared" si="57"/>
        <v>4851165544</v>
      </c>
      <c r="I236" s="1780"/>
      <c r="J236" s="510">
        <f t="shared" si="56"/>
        <v>0</v>
      </c>
      <c r="K236" s="2268"/>
      <c r="L236" s="2268"/>
      <c r="M236" s="2268"/>
      <c r="N236" s="2268"/>
      <c r="O236" s="2268"/>
      <c r="P236" s="2268"/>
      <c r="Q236" s="2268"/>
      <c r="R236" s="2268"/>
      <c r="T236" s="2268"/>
      <c r="V236" s="2268"/>
      <c r="W236" s="2268"/>
      <c r="X236" s="550">
        <v>4851165544</v>
      </c>
      <c r="Y236" s="2240"/>
      <c r="Z236" s="2240"/>
      <c r="AA236" s="2240"/>
      <c r="AC236" s="2224"/>
      <c r="AF236" s="2224">
        <f t="shared" si="51"/>
        <v>9702331088</v>
      </c>
      <c r="AG236" s="2224">
        <f t="shared" si="52"/>
        <v>-4851165544</v>
      </c>
      <c r="AK236" s="2224">
        <f t="shared" si="53"/>
        <v>9702331088</v>
      </c>
      <c r="AL236" s="2224">
        <f t="shared" si="54"/>
        <v>-4851165544</v>
      </c>
      <c r="AP236" s="2224">
        <f t="shared" si="49"/>
        <v>0</v>
      </c>
      <c r="AR236" s="2224">
        <f t="shared" si="47"/>
        <v>4851165544</v>
      </c>
      <c r="AS236" s="2224">
        <f t="shared" si="50"/>
        <v>0</v>
      </c>
      <c r="AU236" s="2143"/>
    </row>
    <row r="237" spans="2:47" ht="21" customHeight="1" x14ac:dyDescent="0.2">
      <c r="B237" s="3680" t="s">
        <v>786</v>
      </c>
      <c r="C237" s="3681"/>
      <c r="D237" s="3695"/>
      <c r="E237" s="1289">
        <f>SUM(E220:E236)</f>
        <v>32197536695207</v>
      </c>
      <c r="F237" s="1289">
        <f>SUM(F220:F236)</f>
        <v>0</v>
      </c>
      <c r="G237" s="1289">
        <f>SUM(G220:G236)</f>
        <v>0</v>
      </c>
      <c r="H237" s="1289">
        <f t="shared" ref="H237:X237" si="58">SUM(H220:H236)</f>
        <v>32197536695207</v>
      </c>
      <c r="I237" s="294">
        <f t="shared" si="58"/>
        <v>0</v>
      </c>
      <c r="J237" s="294">
        <f t="shared" si="58"/>
        <v>11935593739403</v>
      </c>
      <c r="K237" s="294">
        <f t="shared" si="58"/>
        <v>0</v>
      </c>
      <c r="L237" s="294">
        <f t="shared" si="58"/>
        <v>0</v>
      </c>
      <c r="M237" s="294">
        <f t="shared" si="58"/>
        <v>0</v>
      </c>
      <c r="N237" s="294">
        <f t="shared" si="58"/>
        <v>497367127405</v>
      </c>
      <c r="O237" s="294">
        <f t="shared" si="58"/>
        <v>637440052584</v>
      </c>
      <c r="P237" s="294">
        <f t="shared" si="58"/>
        <v>-1345525403506</v>
      </c>
      <c r="Q237" s="294">
        <f t="shared" si="58"/>
        <v>-1315023704478</v>
      </c>
      <c r="R237" s="294">
        <f t="shared" si="58"/>
        <v>0</v>
      </c>
      <c r="S237" s="294">
        <f t="shared" si="58"/>
        <v>0</v>
      </c>
      <c r="T237" s="294">
        <f t="shared" si="58"/>
        <v>0</v>
      </c>
      <c r="U237" s="294">
        <f t="shared" si="58"/>
        <v>0</v>
      </c>
      <c r="V237" s="294">
        <f>SUM(V220:V236)</f>
        <v>-46208983180</v>
      </c>
      <c r="W237" s="294">
        <f t="shared" si="58"/>
        <v>1047643475823</v>
      </c>
      <c r="X237" s="553">
        <f t="shared" si="58"/>
        <v>43608822999258</v>
      </c>
      <c r="Y237" s="259" t="e">
        <f>SUM(Y190:Y226)</f>
        <v>#N/A</v>
      </c>
      <c r="Z237" s="259">
        <f>SUM(Z190:Z226)</f>
        <v>0</v>
      </c>
      <c r="AA237" s="259">
        <f>SUM(AA190:AA226)</f>
        <v>0</v>
      </c>
      <c r="AC237" s="2224"/>
      <c r="AF237" s="2224">
        <f t="shared" si="51"/>
        <v>75806359694465</v>
      </c>
      <c r="AG237" s="2224">
        <f t="shared" si="52"/>
        <v>-32197536695207</v>
      </c>
      <c r="AK237" s="2224">
        <f t="shared" si="53"/>
        <v>75852568677645</v>
      </c>
      <c r="AL237" s="2224">
        <f t="shared" si="54"/>
        <v>-32243745678387</v>
      </c>
      <c r="AP237" s="2224">
        <f t="shared" si="49"/>
        <v>0</v>
      </c>
      <c r="AR237" s="2224">
        <f t="shared" si="47"/>
        <v>43608822999258</v>
      </c>
      <c r="AS237" s="2224">
        <f t="shared" si="50"/>
        <v>0</v>
      </c>
      <c r="AU237" s="259">
        <f>SUM(AU220:AU236)</f>
        <v>-547248000000</v>
      </c>
    </row>
    <row r="238" spans="2:47" ht="21" customHeight="1" x14ac:dyDescent="0.2">
      <c r="B238" s="2272"/>
      <c r="C238" s="2272"/>
      <c r="D238" s="2272"/>
      <c r="E238" s="1272"/>
      <c r="F238" s="1272"/>
      <c r="G238" s="1272"/>
      <c r="H238" s="1272"/>
      <c r="I238" s="1273"/>
      <c r="J238" s="1273"/>
      <c r="K238" s="1273"/>
      <c r="L238" s="1273"/>
      <c r="M238" s="1273"/>
      <c r="N238" s="1273"/>
      <c r="O238" s="1273"/>
      <c r="P238" s="1273"/>
      <c r="Q238" s="1273"/>
      <c r="R238" s="1273"/>
      <c r="S238" s="1273"/>
      <c r="T238" s="1273"/>
      <c r="U238" s="1273"/>
      <c r="V238" s="1273"/>
      <c r="W238" s="1273"/>
      <c r="X238" s="1274"/>
      <c r="Y238" s="246"/>
      <c r="Z238" s="246"/>
      <c r="AA238" s="246"/>
      <c r="AC238" s="2224"/>
      <c r="AF238" s="2224"/>
      <c r="AG238" s="2224"/>
      <c r="AK238" s="2224"/>
      <c r="AL238" s="2224"/>
      <c r="AP238" s="2224"/>
      <c r="AR238" s="2224">
        <f t="shared" si="47"/>
        <v>0</v>
      </c>
      <c r="AS238" s="2224"/>
      <c r="AU238" s="246"/>
    </row>
    <row r="239" spans="2:47" ht="21" customHeight="1" x14ac:dyDescent="0.2">
      <c r="B239" s="2272"/>
      <c r="C239" s="2272"/>
      <c r="D239" s="2272"/>
      <c r="E239" s="1272"/>
      <c r="F239" s="1272"/>
      <c r="G239" s="1272"/>
      <c r="H239" s="1272"/>
      <c r="I239" s="1273"/>
      <c r="J239" s="1273"/>
      <c r="K239" s="1273"/>
      <c r="L239" s="1273"/>
      <c r="M239" s="1273"/>
      <c r="N239" s="1273"/>
      <c r="O239" s="1273"/>
      <c r="P239" s="1273"/>
      <c r="Q239" s="1273"/>
      <c r="R239" s="1273"/>
      <c r="S239" s="1273"/>
      <c r="T239" s="1273"/>
      <c r="U239" s="1273"/>
      <c r="V239" s="1273"/>
      <c r="W239" s="1273"/>
      <c r="X239" s="1274"/>
      <c r="Y239" s="246"/>
      <c r="Z239" s="246"/>
      <c r="AA239" s="246"/>
      <c r="AC239" s="2224"/>
      <c r="AF239" s="2224"/>
      <c r="AG239" s="2224"/>
      <c r="AK239" s="2224"/>
      <c r="AL239" s="2224"/>
      <c r="AP239" s="2224"/>
      <c r="AR239" s="2224">
        <f t="shared" si="47"/>
        <v>0</v>
      </c>
      <c r="AS239" s="2224"/>
      <c r="AU239" s="246"/>
    </row>
    <row r="240" spans="2:47" ht="21" customHeight="1" x14ac:dyDescent="0.2">
      <c r="B240" s="2273"/>
      <c r="C240" s="3660" t="s">
        <v>277</v>
      </c>
      <c r="D240" s="3660"/>
      <c r="E240" s="3660"/>
      <c r="F240" s="3660"/>
      <c r="G240" s="3660"/>
      <c r="H240" s="3660"/>
      <c r="I240" s="3660"/>
      <c r="J240" s="3660"/>
      <c r="K240" s="3660"/>
      <c r="L240" s="3660"/>
      <c r="M240" s="3660"/>
      <c r="N240" s="3660"/>
      <c r="O240" s="3660"/>
      <c r="P240" s="3660"/>
      <c r="Q240" s="3660"/>
      <c r="R240" s="3660"/>
      <c r="S240" s="3660"/>
      <c r="T240" s="3660"/>
      <c r="U240" s="3660"/>
      <c r="V240" s="3660"/>
      <c r="W240" s="3660"/>
      <c r="X240" s="3660"/>
      <c r="Y240" s="3660"/>
      <c r="Z240" s="2274"/>
      <c r="AC240" s="2224"/>
      <c r="AF240" s="2224">
        <f t="shared" si="51"/>
        <v>0</v>
      </c>
      <c r="AG240" s="2224">
        <f t="shared" si="52"/>
        <v>0</v>
      </c>
      <c r="AK240" s="2224">
        <f t="shared" si="53"/>
        <v>0</v>
      </c>
      <c r="AL240" s="2224">
        <f t="shared" si="54"/>
        <v>0</v>
      </c>
      <c r="AP240" s="2224">
        <f t="shared" si="49"/>
        <v>0</v>
      </c>
      <c r="AR240" s="2224">
        <f t="shared" si="47"/>
        <v>0</v>
      </c>
      <c r="AS240" s="2224">
        <f t="shared" si="50"/>
        <v>0</v>
      </c>
    </row>
    <row r="241" spans="2:47" ht="21.6" customHeight="1" x14ac:dyDescent="0.2">
      <c r="B241" s="3574" t="s">
        <v>32</v>
      </c>
      <c r="C241" s="3574"/>
      <c r="D241" s="3574"/>
      <c r="E241" s="3574"/>
      <c r="F241" s="3574"/>
      <c r="G241" s="3574"/>
      <c r="H241" s="3574"/>
      <c r="I241" s="3574"/>
      <c r="J241" s="3574"/>
      <c r="K241" s="3574"/>
      <c r="L241" s="3574"/>
      <c r="M241" s="3574"/>
      <c r="N241" s="3574"/>
      <c r="O241" s="3574"/>
      <c r="P241" s="3574"/>
      <c r="Q241" s="3574"/>
      <c r="R241" s="3574"/>
      <c r="S241" s="3574"/>
      <c r="T241" s="3574"/>
      <c r="U241" s="3574"/>
      <c r="V241" s="3574"/>
      <c r="W241" s="3574"/>
      <c r="X241" s="3574"/>
      <c r="Y241" s="3574"/>
      <c r="Z241" s="3574"/>
      <c r="AA241" s="3574"/>
      <c r="AC241" s="2224"/>
      <c r="AF241" s="2224">
        <f t="shared" si="51"/>
        <v>0</v>
      </c>
      <c r="AG241" s="2224">
        <f t="shared" si="52"/>
        <v>0</v>
      </c>
      <c r="AK241" s="2224">
        <f t="shared" si="53"/>
        <v>0</v>
      </c>
      <c r="AL241" s="2224">
        <f t="shared" si="54"/>
        <v>0</v>
      </c>
      <c r="AP241" s="2224">
        <f t="shared" si="49"/>
        <v>0</v>
      </c>
      <c r="AR241" s="2224">
        <f t="shared" si="47"/>
        <v>0</v>
      </c>
      <c r="AS241" s="2224">
        <f t="shared" si="50"/>
        <v>0</v>
      </c>
    </row>
    <row r="242" spans="2:47" ht="21.6" customHeight="1" x14ac:dyDescent="0.2">
      <c r="B242" s="3574" t="s">
        <v>45</v>
      </c>
      <c r="C242" s="3574"/>
      <c r="D242" s="3574"/>
      <c r="E242" s="3574"/>
      <c r="F242" s="3574"/>
      <c r="G242" s="3574"/>
      <c r="H242" s="3574"/>
      <c r="I242" s="3574"/>
      <c r="J242" s="3574"/>
      <c r="K242" s="3574"/>
      <c r="L242" s="3574"/>
      <c r="M242" s="3574"/>
      <c r="N242" s="3574"/>
      <c r="O242" s="3574"/>
      <c r="P242" s="3574"/>
      <c r="Q242" s="3574"/>
      <c r="R242" s="3574"/>
      <c r="S242" s="3574"/>
      <c r="T242" s="3574"/>
      <c r="U242" s="3574"/>
      <c r="V242" s="3574"/>
      <c r="W242" s="3574"/>
      <c r="X242" s="3574"/>
      <c r="Y242" s="3574"/>
      <c r="Z242" s="3574"/>
      <c r="AA242" s="3574"/>
      <c r="AC242" s="2224"/>
      <c r="AF242" s="2224">
        <f t="shared" si="51"/>
        <v>0</v>
      </c>
      <c r="AG242" s="2224">
        <f t="shared" si="52"/>
        <v>0</v>
      </c>
      <c r="AK242" s="2224">
        <f t="shared" si="53"/>
        <v>0</v>
      </c>
      <c r="AL242" s="2224">
        <f t="shared" si="54"/>
        <v>0</v>
      </c>
      <c r="AP242" s="2224">
        <f t="shared" si="49"/>
        <v>0</v>
      </c>
      <c r="AQ242" s="2204">
        <v>99000000</v>
      </c>
      <c r="AR242" s="2224">
        <f t="shared" si="47"/>
        <v>0</v>
      </c>
      <c r="AS242" s="2224">
        <f t="shared" si="50"/>
        <v>0</v>
      </c>
    </row>
    <row r="243" spans="2:47" ht="21.6" customHeight="1" x14ac:dyDescent="0.2">
      <c r="B243" s="3574" t="s">
        <v>46</v>
      </c>
      <c r="C243" s="3574"/>
      <c r="D243" s="3574"/>
      <c r="E243" s="3574"/>
      <c r="F243" s="3574"/>
      <c r="G243" s="3574"/>
      <c r="H243" s="3574"/>
      <c r="I243" s="3574"/>
      <c r="J243" s="3574"/>
      <c r="K243" s="3574"/>
      <c r="L243" s="3574"/>
      <c r="M243" s="3574"/>
      <c r="N243" s="3574"/>
      <c r="O243" s="3574"/>
      <c r="P243" s="3574"/>
      <c r="Q243" s="3574"/>
      <c r="R243" s="3574"/>
      <c r="S243" s="3574"/>
      <c r="T243" s="3574"/>
      <c r="U243" s="3574"/>
      <c r="V243" s="3574"/>
      <c r="W243" s="3574"/>
      <c r="X243" s="3574"/>
      <c r="Y243" s="3574"/>
      <c r="Z243" s="3574"/>
      <c r="AA243" s="3574"/>
      <c r="AC243" s="2224"/>
      <c r="AF243" s="2224">
        <f t="shared" si="51"/>
        <v>0</v>
      </c>
      <c r="AG243" s="2224">
        <f t="shared" si="52"/>
        <v>0</v>
      </c>
      <c r="AK243" s="2224">
        <f t="shared" si="53"/>
        <v>0</v>
      </c>
      <c r="AL243" s="2224">
        <f t="shared" si="54"/>
        <v>0</v>
      </c>
      <c r="AP243" s="2224">
        <f t="shared" si="49"/>
        <v>0</v>
      </c>
      <c r="AQ243" s="2204">
        <f>AR242-AQ242</f>
        <v>-99000000</v>
      </c>
      <c r="AR243" s="2224">
        <f t="shared" si="47"/>
        <v>0</v>
      </c>
      <c r="AS243" s="2224">
        <f t="shared" si="50"/>
        <v>0</v>
      </c>
    </row>
    <row r="244" spans="2:47" ht="21.6" customHeight="1" x14ac:dyDescent="0.2">
      <c r="B244" s="3572" t="s">
        <v>1992</v>
      </c>
      <c r="C244" s="3572"/>
      <c r="D244" s="3572"/>
      <c r="E244" s="3572"/>
      <c r="F244" s="3572"/>
      <c r="G244" s="3572"/>
      <c r="H244" s="3572"/>
      <c r="I244" s="3572"/>
      <c r="J244" s="3572"/>
      <c r="K244" s="3572"/>
      <c r="L244" s="3572"/>
      <c r="M244" s="3572"/>
      <c r="N244" s="3572"/>
      <c r="O244" s="3572"/>
      <c r="P244" s="3572"/>
      <c r="Q244" s="3572"/>
      <c r="R244" s="3572"/>
      <c r="S244" s="3572"/>
      <c r="T244" s="3572"/>
      <c r="U244" s="3572"/>
      <c r="V244" s="3572"/>
      <c r="W244" s="3572"/>
      <c r="X244" s="3572"/>
      <c r="Y244" s="3572"/>
      <c r="Z244" s="3572"/>
      <c r="AA244" s="3572"/>
      <c r="AC244" s="2224"/>
      <c r="AF244" s="2224">
        <f t="shared" si="51"/>
        <v>0</v>
      </c>
      <c r="AG244" s="2224">
        <f t="shared" si="52"/>
        <v>0</v>
      </c>
      <c r="AK244" s="2224">
        <f t="shared" si="53"/>
        <v>0</v>
      </c>
      <c r="AL244" s="2224">
        <f t="shared" si="54"/>
        <v>0</v>
      </c>
      <c r="AP244" s="2224">
        <f t="shared" si="49"/>
        <v>0</v>
      </c>
      <c r="AR244" s="2224">
        <f t="shared" si="47"/>
        <v>0</v>
      </c>
      <c r="AS244" s="2224">
        <f t="shared" si="50"/>
        <v>0</v>
      </c>
    </row>
    <row r="245" spans="2:47" ht="21.6" customHeight="1" x14ac:dyDescent="0.2">
      <c r="B245" s="2185"/>
      <c r="C245" s="2185"/>
      <c r="D245" s="1212"/>
      <c r="E245" s="1262"/>
      <c r="F245" s="1262"/>
      <c r="G245" s="1262"/>
      <c r="H245" s="1262"/>
      <c r="I245" s="2245"/>
      <c r="J245" s="2245"/>
      <c r="K245" s="2245"/>
      <c r="L245" s="2245"/>
      <c r="M245" s="2245"/>
      <c r="N245" s="2245"/>
      <c r="O245" s="2245"/>
      <c r="P245" s="2245"/>
      <c r="Q245" s="2245"/>
      <c r="R245" s="2245"/>
      <c r="S245" s="2245"/>
      <c r="T245" s="2245"/>
      <c r="U245" s="2245"/>
      <c r="V245" s="2245"/>
      <c r="W245" s="2245"/>
      <c r="X245" s="2246"/>
      <c r="Y245" s="2185"/>
      <c r="Z245" s="2185"/>
      <c r="AA245" s="2185"/>
      <c r="AC245" s="2224"/>
      <c r="AF245" s="2224">
        <f t="shared" si="51"/>
        <v>0</v>
      </c>
      <c r="AG245" s="2224">
        <f t="shared" si="52"/>
        <v>0</v>
      </c>
      <c r="AK245" s="2224">
        <f t="shared" si="53"/>
        <v>0</v>
      </c>
      <c r="AL245" s="2224">
        <f t="shared" si="54"/>
        <v>0</v>
      </c>
      <c r="AP245" s="2224">
        <f t="shared" si="49"/>
        <v>0</v>
      </c>
      <c r="AR245" s="2224">
        <f t="shared" si="47"/>
        <v>0</v>
      </c>
      <c r="AS245" s="2224">
        <f t="shared" si="50"/>
        <v>0</v>
      </c>
      <c r="AU245" s="2185"/>
    </row>
    <row r="246" spans="2:47" ht="12.75" customHeight="1" x14ac:dyDescent="0.2">
      <c r="B246" s="3664" t="s">
        <v>894</v>
      </c>
      <c r="C246" s="3664"/>
      <c r="D246" s="3664"/>
      <c r="E246" s="1252"/>
      <c r="F246" s="1252"/>
      <c r="G246" s="1252"/>
      <c r="H246" s="1252"/>
      <c r="I246" s="2239"/>
      <c r="J246" s="2239"/>
      <c r="K246" s="2239"/>
      <c r="L246" s="2239"/>
      <c r="M246" s="2239"/>
      <c r="N246" s="2239"/>
      <c r="O246" s="2239"/>
      <c r="P246" s="2239"/>
      <c r="Q246" s="2239"/>
      <c r="R246" s="2239"/>
      <c r="S246" s="2239"/>
      <c r="T246" s="2239"/>
      <c r="U246" s="2239"/>
      <c r="V246" s="2239"/>
      <c r="W246" s="3674" t="s">
        <v>338</v>
      </c>
      <c r="X246" s="3694"/>
      <c r="Y246" s="2240"/>
      <c r="Z246" s="2240"/>
      <c r="AA246" s="2240"/>
      <c r="AC246" s="2224"/>
      <c r="AF246" s="2224">
        <f t="shared" si="51"/>
        <v>0</v>
      </c>
      <c r="AG246" s="2224">
        <f t="shared" si="52"/>
        <v>0</v>
      </c>
      <c r="AK246" s="2224" t="e">
        <f t="shared" si="53"/>
        <v>#VALUE!</v>
      </c>
      <c r="AL246" s="2224" t="e">
        <f t="shared" si="54"/>
        <v>#VALUE!</v>
      </c>
      <c r="AP246" s="2224" t="e">
        <f t="shared" si="49"/>
        <v>#VALUE!</v>
      </c>
      <c r="AR246" s="2224" t="e">
        <f t="shared" si="47"/>
        <v>#VALUE!</v>
      </c>
      <c r="AS246" s="2224" t="e">
        <f t="shared" si="50"/>
        <v>#VALUE!</v>
      </c>
      <c r="AU246" s="2240"/>
    </row>
    <row r="247" spans="2:47" ht="29.45" customHeight="1" x14ac:dyDescent="0.2">
      <c r="B247" s="3666" t="s">
        <v>419</v>
      </c>
      <c r="C247" s="3659" t="s">
        <v>196</v>
      </c>
      <c r="D247" s="3677" t="s">
        <v>197</v>
      </c>
      <c r="E247" s="3647" t="s">
        <v>1391</v>
      </c>
      <c r="F247" s="3682" t="s">
        <v>1116</v>
      </c>
      <c r="G247" s="3682"/>
      <c r="H247" s="3662" t="s">
        <v>1993</v>
      </c>
      <c r="I247" s="3650" t="s">
        <v>1244</v>
      </c>
      <c r="J247" s="3650"/>
      <c r="K247" s="2216" t="s">
        <v>340</v>
      </c>
      <c r="L247" s="2216"/>
      <c r="M247" s="2216"/>
      <c r="N247" s="3661" t="s">
        <v>341</v>
      </c>
      <c r="O247" s="3661"/>
      <c r="P247" s="3651" t="s">
        <v>1012</v>
      </c>
      <c r="Q247" s="3652"/>
      <c r="R247" s="3652"/>
      <c r="S247" s="3652"/>
      <c r="T247" s="3653"/>
      <c r="U247" s="2217"/>
      <c r="V247" s="3650" t="s">
        <v>1334</v>
      </c>
      <c r="W247" s="3649" t="s">
        <v>898</v>
      </c>
      <c r="X247" s="3648" t="s">
        <v>1986</v>
      </c>
      <c r="Y247" s="2240"/>
      <c r="Z247" s="2240"/>
      <c r="AA247" s="2240"/>
      <c r="AC247" s="2224"/>
      <c r="AF247" s="2224">
        <f t="shared" si="51"/>
        <v>0</v>
      </c>
      <c r="AG247" s="2224" t="e">
        <f t="shared" si="52"/>
        <v>#VALUE!</v>
      </c>
      <c r="AK247" s="2224" t="e">
        <f t="shared" si="53"/>
        <v>#VALUE!</v>
      </c>
      <c r="AL247" s="2224" t="e">
        <f t="shared" si="54"/>
        <v>#VALUE!</v>
      </c>
      <c r="AP247" s="2224" t="e">
        <f t="shared" si="49"/>
        <v>#VALUE!</v>
      </c>
      <c r="AR247" s="2224" t="e">
        <f t="shared" si="47"/>
        <v>#VALUE!</v>
      </c>
      <c r="AS247" s="2224" t="e">
        <f t="shared" si="50"/>
        <v>#VALUE!</v>
      </c>
    </row>
    <row r="248" spans="2:47" ht="68.45" customHeight="1" x14ac:dyDescent="0.2">
      <c r="B248" s="3666"/>
      <c r="C248" s="3659"/>
      <c r="D248" s="3677"/>
      <c r="E248" s="3647"/>
      <c r="F248" s="1409" t="s">
        <v>1955</v>
      </c>
      <c r="G248" s="1409" t="s">
        <v>1956</v>
      </c>
      <c r="H248" s="3662"/>
      <c r="I248" s="3650"/>
      <c r="J248" s="3650"/>
      <c r="K248" s="2220" t="s">
        <v>315</v>
      </c>
      <c r="L248" s="2220" t="s">
        <v>891</v>
      </c>
      <c r="M248" s="2216" t="s">
        <v>314</v>
      </c>
      <c r="N248" s="2216" t="s">
        <v>1076</v>
      </c>
      <c r="O248" s="2216" t="s">
        <v>18</v>
      </c>
      <c r="P248" s="2220" t="s">
        <v>892</v>
      </c>
      <c r="Q248" s="2220" t="s">
        <v>826</v>
      </c>
      <c r="R248" s="2220" t="s">
        <v>315</v>
      </c>
      <c r="S248" s="2216"/>
      <c r="T248" s="2216" t="s">
        <v>1180</v>
      </c>
      <c r="U248" s="2216"/>
      <c r="V248" s="3650"/>
      <c r="W248" s="3649"/>
      <c r="X248" s="3648"/>
      <c r="Y248" s="2240"/>
      <c r="Z248" s="2240"/>
      <c r="AA248" s="2240"/>
      <c r="AC248" s="2224"/>
      <c r="AF248" s="2224">
        <f t="shared" si="51"/>
        <v>0</v>
      </c>
      <c r="AG248" s="2224">
        <f t="shared" si="52"/>
        <v>0</v>
      </c>
      <c r="AK248" s="2224" t="e">
        <f t="shared" si="53"/>
        <v>#VALUE!</v>
      </c>
      <c r="AL248" s="2224" t="e">
        <f t="shared" si="54"/>
        <v>#VALUE!</v>
      </c>
      <c r="AP248" s="2224" t="e">
        <f t="shared" si="49"/>
        <v>#VALUE!</v>
      </c>
      <c r="AR248" s="2224" t="e">
        <f t="shared" si="47"/>
        <v>#VALUE!</v>
      </c>
      <c r="AS248" s="2224" t="e">
        <f t="shared" si="50"/>
        <v>#VALUE!</v>
      </c>
      <c r="AU248" s="2221" t="s">
        <v>1180</v>
      </c>
    </row>
    <row r="249" spans="2:47" ht="18" customHeight="1" x14ac:dyDescent="0.2">
      <c r="B249" s="3654" t="s">
        <v>180</v>
      </c>
      <c r="C249" s="3684" t="s">
        <v>181</v>
      </c>
      <c r="D249" s="3684"/>
      <c r="E249" s="1284">
        <f>E237</f>
        <v>32197536695207</v>
      </c>
      <c r="F249" s="1284">
        <f>F237</f>
        <v>0</v>
      </c>
      <c r="G249" s="1284">
        <f>G237</f>
        <v>0</v>
      </c>
      <c r="H249" s="1284">
        <f t="shared" ref="H249:X249" si="59">H237</f>
        <v>32197536695207</v>
      </c>
      <c r="I249" s="2275">
        <f t="shared" si="59"/>
        <v>0</v>
      </c>
      <c r="J249" s="2275">
        <f t="shared" si="59"/>
        <v>11935593739403</v>
      </c>
      <c r="K249" s="2275">
        <f t="shared" si="59"/>
        <v>0</v>
      </c>
      <c r="L249" s="2275">
        <f t="shared" si="59"/>
        <v>0</v>
      </c>
      <c r="M249" s="2275">
        <f t="shared" si="59"/>
        <v>0</v>
      </c>
      <c r="N249" s="2275">
        <f t="shared" si="59"/>
        <v>497367127405</v>
      </c>
      <c r="O249" s="2275">
        <f t="shared" si="59"/>
        <v>637440052584</v>
      </c>
      <c r="P249" s="2275">
        <f t="shared" si="59"/>
        <v>-1345525403506</v>
      </c>
      <c r="Q249" s="2275">
        <f t="shared" si="59"/>
        <v>-1315023704478</v>
      </c>
      <c r="R249" s="2275">
        <f t="shared" si="59"/>
        <v>0</v>
      </c>
      <c r="S249" s="2275">
        <f t="shared" si="59"/>
        <v>0</v>
      </c>
      <c r="T249" s="2275">
        <f t="shared" si="59"/>
        <v>0</v>
      </c>
      <c r="U249" s="2275">
        <f t="shared" si="59"/>
        <v>0</v>
      </c>
      <c r="V249" s="2275">
        <f t="shared" si="59"/>
        <v>-46208983180</v>
      </c>
      <c r="W249" s="2275">
        <f t="shared" si="59"/>
        <v>1047643475823</v>
      </c>
      <c r="X249" s="2276">
        <f t="shared" si="59"/>
        <v>43608822999258</v>
      </c>
      <c r="Y249" s="2269" t="e">
        <f>Y237</f>
        <v>#N/A</v>
      </c>
      <c r="Z249" s="2269">
        <f>Z237</f>
        <v>0</v>
      </c>
      <c r="AA249" s="2269">
        <f>AA237</f>
        <v>0</v>
      </c>
      <c r="AC249" s="2224"/>
      <c r="AF249" s="2224">
        <f t="shared" si="51"/>
        <v>75806359694465</v>
      </c>
      <c r="AG249" s="2224">
        <f t="shared" si="52"/>
        <v>-32197536695207</v>
      </c>
      <c r="AK249" s="2224">
        <f t="shared" si="53"/>
        <v>75852568677645</v>
      </c>
      <c r="AL249" s="2224">
        <f t="shared" si="54"/>
        <v>-32243745678387</v>
      </c>
      <c r="AP249" s="2224">
        <f t="shared" si="49"/>
        <v>0</v>
      </c>
      <c r="AR249" s="2224">
        <f t="shared" si="47"/>
        <v>43608822999258</v>
      </c>
      <c r="AS249" s="2224">
        <f t="shared" si="50"/>
        <v>0</v>
      </c>
      <c r="AU249" s="2142">
        <f>AU237</f>
        <v>-547248000000</v>
      </c>
    </row>
    <row r="250" spans="2:47" ht="16.899999999999999" customHeight="1" x14ac:dyDescent="0.2">
      <c r="B250" s="3654"/>
      <c r="C250" s="1771" t="s">
        <v>789</v>
      </c>
      <c r="D250" s="1208" t="s">
        <v>716</v>
      </c>
      <c r="E250" s="1255">
        <v>2338904097</v>
      </c>
      <c r="F250" s="1255"/>
      <c r="G250" s="1255"/>
      <c r="H250" s="1280">
        <f>E250+G250+F250</f>
        <v>2338904097</v>
      </c>
      <c r="I250" s="1780"/>
      <c r="J250" s="510">
        <f t="shared" ref="J250:J268" si="60">X250-O250-N250-P250-Q250-K250-R250-W250-E250-T250-I250-V250-F250-G250</f>
        <v>0</v>
      </c>
      <c r="K250" s="2268"/>
      <c r="L250" s="2268"/>
      <c r="M250" s="2268"/>
      <c r="N250" s="2268"/>
      <c r="O250" s="2268"/>
      <c r="P250" s="2268"/>
      <c r="Q250" s="2268"/>
      <c r="R250" s="2268"/>
      <c r="T250" s="2268"/>
      <c r="V250" s="2268"/>
      <c r="W250" s="2268"/>
      <c r="X250" s="550">
        <v>2338904097</v>
      </c>
      <c r="Y250" s="2240"/>
      <c r="Z250" s="2240"/>
      <c r="AA250" s="2240"/>
      <c r="AC250" s="2224"/>
      <c r="AF250" s="2224">
        <f t="shared" si="51"/>
        <v>4677808194</v>
      </c>
      <c r="AG250" s="2224">
        <f t="shared" si="52"/>
        <v>-2338904097</v>
      </c>
      <c r="AK250" s="2224">
        <f t="shared" si="53"/>
        <v>4677808194</v>
      </c>
      <c r="AL250" s="2224">
        <f t="shared" si="54"/>
        <v>-2338904097</v>
      </c>
      <c r="AP250" s="2224">
        <f t="shared" si="49"/>
        <v>0</v>
      </c>
      <c r="AR250" s="2224">
        <f t="shared" si="47"/>
        <v>2338904097</v>
      </c>
      <c r="AS250" s="2224">
        <f t="shared" si="50"/>
        <v>0</v>
      </c>
      <c r="AU250" s="2143"/>
    </row>
    <row r="251" spans="2:47" ht="16.899999999999999" customHeight="1" x14ac:dyDescent="0.2">
      <c r="B251" s="3654"/>
      <c r="C251" s="1771" t="s">
        <v>790</v>
      </c>
      <c r="D251" s="1208" t="s">
        <v>717</v>
      </c>
      <c r="E251" s="1255">
        <v>13348975603</v>
      </c>
      <c r="F251" s="1255"/>
      <c r="G251" s="1255"/>
      <c r="H251" s="1280">
        <f t="shared" ref="H251:H268" si="61">E251+G251+F251</f>
        <v>13348975603</v>
      </c>
      <c r="I251" s="1779"/>
      <c r="J251" s="510">
        <f t="shared" si="60"/>
        <v>0</v>
      </c>
      <c r="K251" s="2258"/>
      <c r="L251" s="2258"/>
      <c r="M251" s="2258"/>
      <c r="N251" s="510"/>
      <c r="O251" s="510"/>
      <c r="P251" s="2258"/>
      <c r="Q251" s="2258"/>
      <c r="R251" s="2241"/>
      <c r="T251" s="510"/>
      <c r="V251" s="510"/>
      <c r="W251" s="510"/>
      <c r="X251" s="550">
        <v>13348975603</v>
      </c>
      <c r="Y251" s="2240"/>
      <c r="Z251" s="2240"/>
      <c r="AA251" s="2240"/>
      <c r="AC251" s="2224"/>
      <c r="AF251" s="2224">
        <f t="shared" si="51"/>
        <v>26697951206</v>
      </c>
      <c r="AG251" s="2224">
        <f t="shared" si="52"/>
        <v>-13348975603</v>
      </c>
      <c r="AK251" s="2224">
        <f t="shared" si="53"/>
        <v>26697951206</v>
      </c>
      <c r="AL251" s="2224">
        <f t="shared" si="54"/>
        <v>-13348975603</v>
      </c>
      <c r="AP251" s="2224">
        <f t="shared" si="49"/>
        <v>0</v>
      </c>
      <c r="AR251" s="2224">
        <f t="shared" si="47"/>
        <v>13348975603</v>
      </c>
      <c r="AS251" s="2224">
        <f t="shared" si="50"/>
        <v>0</v>
      </c>
      <c r="AU251" s="234"/>
    </row>
    <row r="252" spans="2:47" ht="16.899999999999999" customHeight="1" x14ac:dyDescent="0.2">
      <c r="B252" s="3654"/>
      <c r="C252" s="1771" t="s">
        <v>791</v>
      </c>
      <c r="D252" s="1208" t="s">
        <v>681</v>
      </c>
      <c r="E252" s="1255">
        <v>5100000000</v>
      </c>
      <c r="F252" s="1255"/>
      <c r="G252" s="1255"/>
      <c r="H252" s="1280">
        <f t="shared" si="61"/>
        <v>5100000000</v>
      </c>
      <c r="I252" s="1779"/>
      <c r="J252" s="510">
        <f t="shared" si="60"/>
        <v>0</v>
      </c>
      <c r="K252" s="2258"/>
      <c r="L252" s="2258"/>
      <c r="M252" s="2258"/>
      <c r="N252" s="510"/>
      <c r="O252" s="510"/>
      <c r="P252" s="2258"/>
      <c r="Q252" s="2258"/>
      <c r="R252" s="2241"/>
      <c r="T252" s="510"/>
      <c r="V252" s="510"/>
      <c r="W252" s="2241"/>
      <c r="X252" s="550">
        <v>5100000000</v>
      </c>
      <c r="Y252" s="2240"/>
      <c r="Z252" s="2240"/>
      <c r="AA252" s="2240"/>
      <c r="AC252" s="2224"/>
      <c r="AF252" s="2224">
        <f t="shared" si="51"/>
        <v>10200000000</v>
      </c>
      <c r="AG252" s="2224">
        <f t="shared" si="52"/>
        <v>-5100000000</v>
      </c>
      <c r="AK252" s="2224">
        <f t="shared" si="53"/>
        <v>10200000000</v>
      </c>
      <c r="AL252" s="2224">
        <f t="shared" si="54"/>
        <v>-5100000000</v>
      </c>
      <c r="AP252" s="2224">
        <f t="shared" si="49"/>
        <v>0</v>
      </c>
      <c r="AR252" s="2224">
        <f t="shared" si="47"/>
        <v>5100000000</v>
      </c>
      <c r="AS252" s="2224">
        <f t="shared" si="50"/>
        <v>0</v>
      </c>
      <c r="AU252" s="234"/>
    </row>
    <row r="253" spans="2:47" ht="16.899999999999999" customHeight="1" x14ac:dyDescent="0.2">
      <c r="B253" s="3654"/>
      <c r="C253" s="1771" t="s">
        <v>792</v>
      </c>
      <c r="D253" s="1208" t="s">
        <v>718</v>
      </c>
      <c r="E253" s="1255">
        <v>5024269357</v>
      </c>
      <c r="F253" s="1255"/>
      <c r="G253" s="1255"/>
      <c r="H253" s="1280">
        <f t="shared" si="61"/>
        <v>5024269357</v>
      </c>
      <c r="I253" s="1779"/>
      <c r="J253" s="510">
        <f t="shared" si="60"/>
        <v>0</v>
      </c>
      <c r="K253" s="2258"/>
      <c r="L253" s="2258"/>
      <c r="M253" s="2258"/>
      <c r="N253" s="510"/>
      <c r="O253" s="510"/>
      <c r="P253" s="2258"/>
      <c r="Q253" s="2258"/>
      <c r="R253" s="2241"/>
      <c r="T253" s="510"/>
      <c r="V253" s="510"/>
      <c r="W253" s="510"/>
      <c r="X253" s="550">
        <v>5024269357</v>
      </c>
      <c r="Y253" s="2240"/>
      <c r="Z253" s="2240"/>
      <c r="AA253" s="2240"/>
      <c r="AC253" s="2224"/>
      <c r="AF253" s="2224">
        <f t="shared" si="51"/>
        <v>10048538714</v>
      </c>
      <c r="AG253" s="2224">
        <f t="shared" si="52"/>
        <v>-5024269357</v>
      </c>
      <c r="AK253" s="2224">
        <f t="shared" si="53"/>
        <v>10048538714</v>
      </c>
      <c r="AL253" s="2224">
        <f t="shared" si="54"/>
        <v>-5024269357</v>
      </c>
      <c r="AP253" s="2224">
        <f t="shared" si="49"/>
        <v>0</v>
      </c>
      <c r="AR253" s="2224">
        <f t="shared" si="47"/>
        <v>5024269357</v>
      </c>
      <c r="AS253" s="2224">
        <f t="shared" si="50"/>
        <v>0</v>
      </c>
      <c r="AU253" s="234"/>
    </row>
    <row r="254" spans="2:47" ht="16.899999999999999" customHeight="1" x14ac:dyDescent="0.2">
      <c r="B254" s="3654"/>
      <c r="C254" s="1771" t="s">
        <v>793</v>
      </c>
      <c r="D254" s="1208" t="s">
        <v>719</v>
      </c>
      <c r="E254" s="1285">
        <v>6933280962</v>
      </c>
      <c r="F254" s="1285"/>
      <c r="G254" s="1255"/>
      <c r="H254" s="1280">
        <f t="shared" si="61"/>
        <v>6933280962</v>
      </c>
      <c r="I254" s="1779"/>
      <c r="J254" s="510">
        <f t="shared" si="60"/>
        <v>0</v>
      </c>
      <c r="K254" s="2258"/>
      <c r="L254" s="2258"/>
      <c r="M254" s="2258"/>
      <c r="N254" s="510"/>
      <c r="O254" s="510"/>
      <c r="P254" s="2258"/>
      <c r="Q254" s="2258"/>
      <c r="R254" s="2241"/>
      <c r="T254" s="510"/>
      <c r="V254" s="510"/>
      <c r="W254" s="510"/>
      <c r="X254" s="1773">
        <v>6933280962</v>
      </c>
      <c r="Y254" s="2240"/>
      <c r="Z254" s="2240"/>
      <c r="AA254" s="2240"/>
      <c r="AC254" s="2224"/>
      <c r="AF254" s="2224">
        <f t="shared" si="51"/>
        <v>13866561924</v>
      </c>
      <c r="AG254" s="2224">
        <f t="shared" si="52"/>
        <v>-6933280962</v>
      </c>
      <c r="AK254" s="2224">
        <f t="shared" si="53"/>
        <v>13866561924</v>
      </c>
      <c r="AL254" s="2224">
        <f t="shared" si="54"/>
        <v>-6933280962</v>
      </c>
      <c r="AP254" s="2224">
        <f t="shared" si="49"/>
        <v>0</v>
      </c>
      <c r="AR254" s="2224">
        <f t="shared" si="47"/>
        <v>6933280962</v>
      </c>
      <c r="AS254" s="2224">
        <f t="shared" si="50"/>
        <v>0</v>
      </c>
      <c r="AU254" s="234"/>
    </row>
    <row r="255" spans="2:47" ht="16.899999999999999" customHeight="1" x14ac:dyDescent="0.2">
      <c r="B255" s="3654"/>
      <c r="C255" s="1771" t="s">
        <v>794</v>
      </c>
      <c r="D255" s="1208" t="s">
        <v>720</v>
      </c>
      <c r="E255" s="1285">
        <v>15338361145</v>
      </c>
      <c r="F255" s="1285"/>
      <c r="G255" s="1255"/>
      <c r="H255" s="1280">
        <f t="shared" si="61"/>
        <v>15338361145</v>
      </c>
      <c r="I255" s="1779"/>
      <c r="J255" s="510">
        <f t="shared" si="60"/>
        <v>0</v>
      </c>
      <c r="K255" s="2258"/>
      <c r="L255" s="2258"/>
      <c r="M255" s="2258"/>
      <c r="N255" s="510"/>
      <c r="O255" s="510"/>
      <c r="P255" s="2258"/>
      <c r="Q255" s="2258"/>
      <c r="R255" s="2241"/>
      <c r="T255" s="510"/>
      <c r="V255" s="510"/>
      <c r="W255" s="510"/>
      <c r="X255" s="1773">
        <v>15338361145</v>
      </c>
      <c r="Y255" s="2240"/>
      <c r="Z255" s="2240"/>
      <c r="AA255" s="2240"/>
      <c r="AC255" s="2224"/>
      <c r="AF255" s="2224">
        <f t="shared" si="51"/>
        <v>30676722290</v>
      </c>
      <c r="AG255" s="2224">
        <f t="shared" si="52"/>
        <v>-15338361145</v>
      </c>
      <c r="AK255" s="2224">
        <f t="shared" si="53"/>
        <v>30676722290</v>
      </c>
      <c r="AL255" s="2224">
        <f t="shared" si="54"/>
        <v>-15338361145</v>
      </c>
      <c r="AP255" s="2224">
        <f t="shared" si="49"/>
        <v>0</v>
      </c>
      <c r="AR255" s="2224">
        <f t="shared" si="47"/>
        <v>15338361145</v>
      </c>
      <c r="AS255" s="2224">
        <f t="shared" si="50"/>
        <v>0</v>
      </c>
      <c r="AU255" s="234"/>
    </row>
    <row r="256" spans="2:47" ht="16.899999999999999" customHeight="1" x14ac:dyDescent="0.2">
      <c r="B256" s="3654"/>
      <c r="C256" s="1771" t="s">
        <v>795</v>
      </c>
      <c r="D256" s="1208" t="s">
        <v>721</v>
      </c>
      <c r="E256" s="1285">
        <v>4125305524</v>
      </c>
      <c r="F256" s="1285"/>
      <c r="G256" s="1255"/>
      <c r="H256" s="1280">
        <f t="shared" si="61"/>
        <v>4125305524</v>
      </c>
      <c r="I256" s="1779"/>
      <c r="J256" s="510">
        <f t="shared" si="60"/>
        <v>0</v>
      </c>
      <c r="K256" s="2258"/>
      <c r="L256" s="2258"/>
      <c r="M256" s="2258"/>
      <c r="N256" s="510"/>
      <c r="O256" s="510"/>
      <c r="P256" s="2258"/>
      <c r="Q256" s="2258"/>
      <c r="R256" s="2241"/>
      <c r="T256" s="510"/>
      <c r="V256" s="510"/>
      <c r="W256" s="510"/>
      <c r="X256" s="1773">
        <v>4125305524</v>
      </c>
      <c r="Y256" s="2240"/>
      <c r="Z256" s="2240"/>
      <c r="AA256" s="2240"/>
      <c r="AC256" s="2224"/>
      <c r="AF256" s="2224">
        <f t="shared" si="51"/>
        <v>8250611048</v>
      </c>
      <c r="AG256" s="2224">
        <f t="shared" si="52"/>
        <v>-4125305524</v>
      </c>
      <c r="AK256" s="2224">
        <f t="shared" si="53"/>
        <v>8250611048</v>
      </c>
      <c r="AL256" s="2224">
        <f t="shared" si="54"/>
        <v>-4125305524</v>
      </c>
      <c r="AP256" s="2224">
        <f t="shared" si="49"/>
        <v>0</v>
      </c>
      <c r="AR256" s="2224">
        <f t="shared" si="47"/>
        <v>4125305524</v>
      </c>
      <c r="AS256" s="2224">
        <f t="shared" si="50"/>
        <v>0</v>
      </c>
      <c r="AU256" s="234"/>
    </row>
    <row r="257" spans="2:47" ht="16.899999999999999" customHeight="1" x14ac:dyDescent="0.2">
      <c r="B257" s="3654"/>
      <c r="C257" s="1771" t="s">
        <v>796</v>
      </c>
      <c r="D257" s="1208" t="s">
        <v>722</v>
      </c>
      <c r="E257" s="1255">
        <v>5121549362</v>
      </c>
      <c r="F257" s="1255"/>
      <c r="G257" s="1255"/>
      <c r="H257" s="1280">
        <f t="shared" si="61"/>
        <v>5121549362</v>
      </c>
      <c r="I257" s="1779"/>
      <c r="J257" s="510">
        <f t="shared" si="60"/>
        <v>0</v>
      </c>
      <c r="K257" s="2258"/>
      <c r="L257" s="2258"/>
      <c r="M257" s="2258"/>
      <c r="N257" s="510"/>
      <c r="O257" s="510"/>
      <c r="P257" s="2258"/>
      <c r="Q257" s="2258"/>
      <c r="R257" s="2241"/>
      <c r="T257" s="510"/>
      <c r="V257" s="510"/>
      <c r="W257" s="510"/>
      <c r="X257" s="1740">
        <v>5121549362</v>
      </c>
      <c r="Y257" s="2240"/>
      <c r="Z257" s="2240"/>
      <c r="AA257" s="2240"/>
      <c r="AC257" s="2224"/>
      <c r="AF257" s="2224">
        <f t="shared" si="51"/>
        <v>10243098724</v>
      </c>
      <c r="AG257" s="2224">
        <f t="shared" si="52"/>
        <v>-5121549362</v>
      </c>
      <c r="AK257" s="2224">
        <f t="shared" si="53"/>
        <v>10243098724</v>
      </c>
      <c r="AL257" s="2224">
        <f t="shared" si="54"/>
        <v>-5121549362</v>
      </c>
      <c r="AP257" s="2224">
        <f t="shared" si="49"/>
        <v>0</v>
      </c>
      <c r="AR257" s="2224">
        <f t="shared" si="47"/>
        <v>5121549362</v>
      </c>
      <c r="AS257" s="2224">
        <f t="shared" si="50"/>
        <v>0</v>
      </c>
      <c r="AU257" s="234"/>
    </row>
    <row r="258" spans="2:47" ht="16.899999999999999" customHeight="1" x14ac:dyDescent="0.2">
      <c r="B258" s="3654"/>
      <c r="C258" s="1771" t="s">
        <v>797</v>
      </c>
      <c r="D258" s="1208" t="s">
        <v>682</v>
      </c>
      <c r="E258" s="1255">
        <v>3112601684</v>
      </c>
      <c r="F258" s="1255"/>
      <c r="G258" s="1255"/>
      <c r="H258" s="1280">
        <f t="shared" si="61"/>
        <v>3112601684</v>
      </c>
      <c r="I258" s="1779"/>
      <c r="J258" s="510">
        <f t="shared" si="60"/>
        <v>0</v>
      </c>
      <c r="K258" s="2258"/>
      <c r="L258" s="2258"/>
      <c r="M258" s="2258"/>
      <c r="N258" s="510"/>
      <c r="O258" s="510"/>
      <c r="P258" s="2258"/>
      <c r="Q258" s="2258"/>
      <c r="R258" s="2241"/>
      <c r="T258" s="510"/>
      <c r="V258" s="510"/>
      <c r="W258" s="510">
        <f>-94864138</f>
        <v>-94864138</v>
      </c>
      <c r="X258" s="1740">
        <v>3017737546</v>
      </c>
      <c r="Y258" s="2240"/>
      <c r="Z258" s="2240"/>
      <c r="AA258" s="2240"/>
      <c r="AC258" s="2224"/>
      <c r="AF258" s="2224">
        <f t="shared" si="51"/>
        <v>6130339230</v>
      </c>
      <c r="AG258" s="2224">
        <f t="shared" si="52"/>
        <v>-3112601684</v>
      </c>
      <c r="AK258" s="2224">
        <f t="shared" si="53"/>
        <v>6130339230</v>
      </c>
      <c r="AL258" s="2224">
        <f t="shared" si="54"/>
        <v>-3112601684</v>
      </c>
      <c r="AP258" s="2204">
        <f t="shared" si="49"/>
        <v>0</v>
      </c>
      <c r="AR258" s="2224">
        <f t="shared" si="47"/>
        <v>3017737546</v>
      </c>
      <c r="AS258" s="2224">
        <f t="shared" si="50"/>
        <v>0</v>
      </c>
      <c r="AU258" s="234"/>
    </row>
    <row r="259" spans="2:47" ht="16.899999999999999" customHeight="1" x14ac:dyDescent="0.2">
      <c r="B259" s="3654"/>
      <c r="C259" s="1771" t="s">
        <v>800</v>
      </c>
      <c r="D259" s="1208" t="s">
        <v>723</v>
      </c>
      <c r="E259" s="1255">
        <v>4233813776</v>
      </c>
      <c r="F259" s="1255"/>
      <c r="G259" s="1255"/>
      <c r="H259" s="1280">
        <f t="shared" si="61"/>
        <v>4233813776</v>
      </c>
      <c r="I259" s="1779"/>
      <c r="J259" s="510">
        <f t="shared" si="60"/>
        <v>0</v>
      </c>
      <c r="K259" s="2258"/>
      <c r="L259" s="2258"/>
      <c r="M259" s="2258"/>
      <c r="N259" s="510"/>
      <c r="O259" s="510"/>
      <c r="P259" s="2258"/>
      <c r="Q259" s="2258"/>
      <c r="R259" s="2241"/>
      <c r="T259" s="510"/>
      <c r="V259" s="510"/>
      <c r="W259" s="510">
        <f>-4202662</f>
        <v>-4202662</v>
      </c>
      <c r="X259" s="1740">
        <v>4229611114</v>
      </c>
      <c r="Y259" s="2240"/>
      <c r="Z259" s="2240"/>
      <c r="AA259" s="2240"/>
      <c r="AC259" s="2224"/>
      <c r="AF259" s="2224">
        <f t="shared" si="51"/>
        <v>8463424890</v>
      </c>
      <c r="AG259" s="2224">
        <f t="shared" si="52"/>
        <v>-4233813776</v>
      </c>
      <c r="AK259" s="2224">
        <f t="shared" si="53"/>
        <v>8463424890</v>
      </c>
      <c r="AL259" s="2224">
        <f t="shared" si="54"/>
        <v>-4233813776</v>
      </c>
      <c r="AP259" s="2224">
        <f t="shared" si="49"/>
        <v>0</v>
      </c>
      <c r="AR259" s="2224">
        <f t="shared" si="47"/>
        <v>4229611114</v>
      </c>
      <c r="AS259" s="2224">
        <f t="shared" si="50"/>
        <v>0</v>
      </c>
      <c r="AU259" s="234"/>
    </row>
    <row r="260" spans="2:47" ht="16.899999999999999" customHeight="1" x14ac:dyDescent="0.2">
      <c r="B260" s="3654"/>
      <c r="C260" s="1771" t="s">
        <v>801</v>
      </c>
      <c r="D260" s="1208" t="s">
        <v>710</v>
      </c>
      <c r="E260" s="1255">
        <v>4650000000</v>
      </c>
      <c r="F260" s="1255"/>
      <c r="G260" s="1255"/>
      <c r="H260" s="1280">
        <f t="shared" si="61"/>
        <v>4650000000</v>
      </c>
      <c r="I260" s="1779"/>
      <c r="J260" s="510">
        <f t="shared" si="60"/>
        <v>0</v>
      </c>
      <c r="K260" s="2258"/>
      <c r="L260" s="2258"/>
      <c r="M260" s="2258"/>
      <c r="N260" s="510"/>
      <c r="O260" s="510"/>
      <c r="P260" s="2258"/>
      <c r="Q260" s="2258"/>
      <c r="R260" s="2270"/>
      <c r="T260" s="510"/>
      <c r="V260" s="510"/>
      <c r="W260" s="510"/>
      <c r="X260" s="1740">
        <v>4650000000</v>
      </c>
      <c r="Y260" s="2240"/>
      <c r="Z260" s="2240"/>
      <c r="AA260" s="2240"/>
      <c r="AC260" s="2224"/>
      <c r="AF260" s="2224">
        <f t="shared" si="51"/>
        <v>9300000000</v>
      </c>
      <c r="AG260" s="2224">
        <f t="shared" si="52"/>
        <v>-4650000000</v>
      </c>
      <c r="AK260" s="2224">
        <f t="shared" si="53"/>
        <v>9300000000</v>
      </c>
      <c r="AL260" s="2224">
        <f t="shared" si="54"/>
        <v>-4650000000</v>
      </c>
      <c r="AP260" s="2224">
        <f t="shared" si="49"/>
        <v>0</v>
      </c>
      <c r="AR260" s="2224">
        <f t="shared" si="47"/>
        <v>4650000000</v>
      </c>
      <c r="AS260" s="2224">
        <f t="shared" si="50"/>
        <v>0</v>
      </c>
      <c r="AU260" s="234"/>
    </row>
    <row r="261" spans="2:47" ht="16.899999999999999" customHeight="1" x14ac:dyDescent="0.2">
      <c r="B261" s="3654"/>
      <c r="C261" s="1762" t="s">
        <v>724</v>
      </c>
      <c r="D261" s="1208" t="s">
        <v>710</v>
      </c>
      <c r="E261" s="1255">
        <v>22555678260</v>
      </c>
      <c r="F261" s="1255"/>
      <c r="G261" s="1255"/>
      <c r="H261" s="1280">
        <f t="shared" si="61"/>
        <v>22555678260</v>
      </c>
      <c r="I261" s="1779"/>
      <c r="J261" s="510">
        <f t="shared" si="60"/>
        <v>0</v>
      </c>
      <c r="K261" s="2258"/>
      <c r="L261" s="2258"/>
      <c r="M261" s="2258"/>
      <c r="N261" s="510"/>
      <c r="O261" s="510"/>
      <c r="P261" s="2258"/>
      <c r="Q261" s="2258"/>
      <c r="R261" s="2270"/>
      <c r="T261" s="510"/>
      <c r="V261" s="510"/>
      <c r="W261" s="510"/>
      <c r="X261" s="1740">
        <v>22555678260</v>
      </c>
      <c r="Y261" s="2240"/>
      <c r="Z261" s="2240"/>
      <c r="AA261" s="2240"/>
      <c r="AC261" s="2224"/>
      <c r="AF261" s="2224">
        <f t="shared" si="51"/>
        <v>45111356520</v>
      </c>
      <c r="AG261" s="2224">
        <f t="shared" si="52"/>
        <v>-22555678260</v>
      </c>
      <c r="AK261" s="2224">
        <f t="shared" si="53"/>
        <v>45111356520</v>
      </c>
      <c r="AL261" s="2224">
        <f t="shared" si="54"/>
        <v>-22555678260</v>
      </c>
      <c r="AP261" s="2224">
        <f t="shared" si="49"/>
        <v>0</v>
      </c>
      <c r="AR261" s="2224">
        <f t="shared" si="47"/>
        <v>22555678260</v>
      </c>
      <c r="AS261" s="2224">
        <f t="shared" si="50"/>
        <v>0</v>
      </c>
      <c r="AU261" s="234"/>
    </row>
    <row r="262" spans="2:47" ht="16.899999999999999" customHeight="1" x14ac:dyDescent="0.2">
      <c r="B262" s="3654"/>
      <c r="C262" s="1762" t="s">
        <v>726</v>
      </c>
      <c r="D262" s="1208" t="s">
        <v>725</v>
      </c>
      <c r="E262" s="1255">
        <v>5556578663</v>
      </c>
      <c r="F262" s="1255"/>
      <c r="G262" s="1255"/>
      <c r="H262" s="1280">
        <f t="shared" si="61"/>
        <v>5556578663</v>
      </c>
      <c r="I262" s="1779"/>
      <c r="J262" s="510">
        <f t="shared" si="60"/>
        <v>0</v>
      </c>
      <c r="K262" s="2258"/>
      <c r="L262" s="2258"/>
      <c r="M262" s="2258"/>
      <c r="N262" s="510"/>
      <c r="O262" s="510"/>
      <c r="P262" s="2258"/>
      <c r="Q262" s="2258"/>
      <c r="R262" s="2270"/>
      <c r="T262" s="510"/>
      <c r="V262" s="510"/>
      <c r="W262" s="510"/>
      <c r="X262" s="1740">
        <v>5556578663</v>
      </c>
      <c r="Y262" s="2240"/>
      <c r="Z262" s="2240"/>
      <c r="AA262" s="2240"/>
      <c r="AC262" s="2224"/>
      <c r="AF262" s="2224">
        <f t="shared" si="51"/>
        <v>11113157326</v>
      </c>
      <c r="AG262" s="2224">
        <f t="shared" si="52"/>
        <v>-5556578663</v>
      </c>
      <c r="AK262" s="2224">
        <f t="shared" si="53"/>
        <v>11113157326</v>
      </c>
      <c r="AL262" s="2224">
        <f t="shared" si="54"/>
        <v>-5556578663</v>
      </c>
      <c r="AP262" s="2224">
        <f t="shared" si="49"/>
        <v>0</v>
      </c>
      <c r="AR262" s="2224">
        <f t="shared" si="47"/>
        <v>5556578663</v>
      </c>
      <c r="AS262" s="2224">
        <f t="shared" si="50"/>
        <v>0</v>
      </c>
      <c r="AU262" s="234"/>
    </row>
    <row r="263" spans="2:47" ht="16.899999999999999" customHeight="1" x14ac:dyDescent="0.2">
      <c r="B263" s="3654"/>
      <c r="C263" s="1762" t="s">
        <v>728</v>
      </c>
      <c r="D263" s="1208" t="s">
        <v>727</v>
      </c>
      <c r="E263" s="1255">
        <v>8386896883</v>
      </c>
      <c r="F263" s="1255"/>
      <c r="G263" s="1255"/>
      <c r="H263" s="1280">
        <f t="shared" si="61"/>
        <v>8386896883</v>
      </c>
      <c r="I263" s="1779"/>
      <c r="J263" s="510">
        <f t="shared" si="60"/>
        <v>0</v>
      </c>
      <c r="K263" s="2258"/>
      <c r="L263" s="2258"/>
      <c r="M263" s="2258"/>
      <c r="N263" s="510"/>
      <c r="O263" s="510"/>
      <c r="P263" s="2258"/>
      <c r="Q263" s="2258"/>
      <c r="R263" s="1258"/>
      <c r="T263" s="510"/>
      <c r="V263" s="510"/>
      <c r="W263" s="510"/>
      <c r="X263" s="1740">
        <v>8386896883</v>
      </c>
      <c r="Y263" s="2240"/>
      <c r="Z263" s="2240"/>
      <c r="AA263" s="2240"/>
      <c r="AC263" s="2224"/>
      <c r="AF263" s="2224">
        <f t="shared" si="51"/>
        <v>16773793766</v>
      </c>
      <c r="AG263" s="2224">
        <f t="shared" si="52"/>
        <v>-8386896883</v>
      </c>
      <c r="AK263" s="2224">
        <f t="shared" si="53"/>
        <v>16773793766</v>
      </c>
      <c r="AL263" s="2224">
        <f t="shared" si="54"/>
        <v>-8386896883</v>
      </c>
      <c r="AP263" s="2224">
        <f t="shared" si="49"/>
        <v>0</v>
      </c>
      <c r="AR263" s="2224">
        <f t="shared" si="47"/>
        <v>8386896883</v>
      </c>
      <c r="AS263" s="2224">
        <f t="shared" si="50"/>
        <v>0</v>
      </c>
      <c r="AU263" s="234"/>
    </row>
    <row r="264" spans="2:47" ht="16.899999999999999" customHeight="1" x14ac:dyDescent="0.2">
      <c r="B264" s="3654"/>
      <c r="C264" s="1762" t="s">
        <v>666</v>
      </c>
      <c r="D264" s="1208" t="s">
        <v>729</v>
      </c>
      <c r="E264" s="1255">
        <v>32214761709</v>
      </c>
      <c r="F264" s="1255"/>
      <c r="G264" s="1255"/>
      <c r="H264" s="1280">
        <f t="shared" si="61"/>
        <v>32214761709</v>
      </c>
      <c r="I264" s="1779"/>
      <c r="J264" s="510">
        <f t="shared" si="60"/>
        <v>0</v>
      </c>
      <c r="K264" s="2258"/>
      <c r="L264" s="2258"/>
      <c r="M264" s="2258"/>
      <c r="N264" s="510"/>
      <c r="O264" s="510"/>
      <c r="P264" s="2258"/>
      <c r="Q264" s="2258"/>
      <c r="R264" s="1258"/>
      <c r="T264" s="510"/>
      <c r="V264" s="510"/>
      <c r="W264" s="510"/>
      <c r="X264" s="1740">
        <v>32214761709</v>
      </c>
      <c r="Y264" s="2240"/>
      <c r="Z264" s="2240"/>
      <c r="AA264" s="2240"/>
      <c r="AC264" s="2224"/>
      <c r="AF264" s="2224">
        <f t="shared" si="51"/>
        <v>64429523418</v>
      </c>
      <c r="AG264" s="2224">
        <f t="shared" si="52"/>
        <v>-32214761709</v>
      </c>
      <c r="AK264" s="2224">
        <f t="shared" si="53"/>
        <v>64429523418</v>
      </c>
      <c r="AL264" s="2224">
        <f t="shared" si="54"/>
        <v>-32214761709</v>
      </c>
      <c r="AP264" s="2224">
        <f t="shared" si="49"/>
        <v>0</v>
      </c>
      <c r="AR264" s="2224">
        <f t="shared" si="47"/>
        <v>32214761709</v>
      </c>
      <c r="AS264" s="2224">
        <f t="shared" si="50"/>
        <v>0</v>
      </c>
      <c r="AU264" s="234"/>
    </row>
    <row r="265" spans="2:47" ht="16.899999999999999" customHeight="1" x14ac:dyDescent="0.2">
      <c r="B265" s="3654"/>
      <c r="C265" s="1762" t="s">
        <v>731</v>
      </c>
      <c r="D265" s="1208" t="s">
        <v>730</v>
      </c>
      <c r="E265" s="1255">
        <v>6867612564</v>
      </c>
      <c r="F265" s="1255"/>
      <c r="G265" s="1255"/>
      <c r="H265" s="1280">
        <f t="shared" si="61"/>
        <v>6867612564</v>
      </c>
      <c r="I265" s="1779"/>
      <c r="J265" s="510">
        <f t="shared" si="60"/>
        <v>0</v>
      </c>
      <c r="K265" s="2258"/>
      <c r="L265" s="2258"/>
      <c r="M265" s="2258"/>
      <c r="N265" s="510"/>
      <c r="O265" s="1246"/>
      <c r="P265" s="2278"/>
      <c r="Q265" s="2278"/>
      <c r="R265" s="1258"/>
      <c r="T265" s="510"/>
      <c r="V265" s="510"/>
      <c r="W265" s="510"/>
      <c r="X265" s="1740">
        <v>6867612564</v>
      </c>
      <c r="Y265" s="2240"/>
      <c r="Z265" s="2240"/>
      <c r="AA265" s="2240"/>
      <c r="AC265" s="2224"/>
      <c r="AF265" s="2224">
        <f t="shared" si="51"/>
        <v>13735225128</v>
      </c>
      <c r="AG265" s="2224">
        <f t="shared" si="52"/>
        <v>-6867612564</v>
      </c>
      <c r="AK265" s="2224">
        <f t="shared" si="53"/>
        <v>13735225128</v>
      </c>
      <c r="AL265" s="2224">
        <f t="shared" si="54"/>
        <v>-6867612564</v>
      </c>
      <c r="AP265" s="2224">
        <f t="shared" si="49"/>
        <v>0</v>
      </c>
      <c r="AR265" s="2224">
        <f t="shared" si="47"/>
        <v>6867612564</v>
      </c>
      <c r="AS265" s="2224">
        <f t="shared" si="50"/>
        <v>0</v>
      </c>
      <c r="AU265" s="234"/>
    </row>
    <row r="266" spans="2:47" ht="16.899999999999999" customHeight="1" x14ac:dyDescent="0.2">
      <c r="B266" s="3654"/>
      <c r="C266" s="1762" t="s">
        <v>733</v>
      </c>
      <c r="D266" s="1208" t="s">
        <v>732</v>
      </c>
      <c r="E266" s="1255">
        <v>1635664202</v>
      </c>
      <c r="F266" s="1255"/>
      <c r="G266" s="1255"/>
      <c r="H266" s="1280">
        <f t="shared" si="61"/>
        <v>1635664202</v>
      </c>
      <c r="I266" s="1779"/>
      <c r="J266" s="510">
        <f t="shared" si="60"/>
        <v>0</v>
      </c>
      <c r="K266" s="2258"/>
      <c r="L266" s="2258"/>
      <c r="M266" s="2258"/>
      <c r="N266" s="1248"/>
      <c r="O266" s="240"/>
      <c r="P266" s="1779">
        <f>-'يادداشت 8سرمايه گذاري در شركتها'!G156</f>
        <v>0</v>
      </c>
      <c r="Q266" s="1779"/>
      <c r="R266" s="1292"/>
      <c r="T266" s="510"/>
      <c r="V266" s="510"/>
      <c r="W266" s="510"/>
      <c r="X266" s="1740">
        <v>1635664202</v>
      </c>
      <c r="Y266" s="2240"/>
      <c r="Z266" s="2240"/>
      <c r="AA266" s="2240"/>
      <c r="AC266" s="2224"/>
      <c r="AF266" s="2224">
        <f t="shared" si="51"/>
        <v>3271328404</v>
      </c>
      <c r="AG266" s="2224">
        <f t="shared" si="52"/>
        <v>-1635664202</v>
      </c>
      <c r="AK266" s="2224">
        <f t="shared" si="53"/>
        <v>3271328404</v>
      </c>
      <c r="AL266" s="2224">
        <f t="shared" si="54"/>
        <v>-1635664202</v>
      </c>
      <c r="AP266" s="2224">
        <f t="shared" si="49"/>
        <v>0</v>
      </c>
      <c r="AR266" s="2224">
        <f t="shared" si="47"/>
        <v>1635664202</v>
      </c>
      <c r="AS266" s="2224">
        <f t="shared" si="50"/>
        <v>0</v>
      </c>
      <c r="AU266" s="234"/>
    </row>
    <row r="267" spans="2:47" ht="16.899999999999999" customHeight="1" x14ac:dyDescent="0.2">
      <c r="B267" s="3654"/>
      <c r="C267" s="1762" t="s">
        <v>735</v>
      </c>
      <c r="D267" s="1208" t="s">
        <v>734</v>
      </c>
      <c r="E267" s="1255">
        <v>46597875225</v>
      </c>
      <c r="F267" s="1255"/>
      <c r="G267" s="1255"/>
      <c r="H267" s="1280">
        <f t="shared" si="61"/>
        <v>46597875225</v>
      </c>
      <c r="I267" s="1779"/>
      <c r="J267" s="510">
        <f t="shared" si="60"/>
        <v>0</v>
      </c>
      <c r="K267" s="2258"/>
      <c r="L267" s="2258"/>
      <c r="M267" s="2258"/>
      <c r="N267" s="1248"/>
      <c r="O267" s="1823"/>
      <c r="P267" s="1779"/>
      <c r="Q267" s="1779"/>
      <c r="R267" s="1292"/>
      <c r="T267" s="510"/>
      <c r="V267" s="510"/>
      <c r="W267" s="510"/>
      <c r="X267" s="1740">
        <v>46597875225</v>
      </c>
      <c r="Y267" s="2240"/>
      <c r="Z267" s="2240"/>
      <c r="AA267" s="2240"/>
      <c r="AC267" s="2224"/>
      <c r="AF267" s="2224">
        <f t="shared" si="51"/>
        <v>93195750450</v>
      </c>
      <c r="AG267" s="2224">
        <f t="shared" si="52"/>
        <v>-46597875225</v>
      </c>
      <c r="AK267" s="2224">
        <f t="shared" si="53"/>
        <v>93195750450</v>
      </c>
      <c r="AL267" s="2224">
        <f t="shared" si="54"/>
        <v>-46597875225</v>
      </c>
      <c r="AP267" s="2224">
        <f t="shared" si="49"/>
        <v>0</v>
      </c>
      <c r="AR267" s="2224">
        <f t="shared" si="47"/>
        <v>46597875225</v>
      </c>
      <c r="AS267" s="2224">
        <f t="shared" si="50"/>
        <v>0</v>
      </c>
      <c r="AU267" s="234"/>
    </row>
    <row r="268" spans="2:47" ht="16.899999999999999" customHeight="1" x14ac:dyDescent="0.2">
      <c r="B268" s="3654"/>
      <c r="C268" s="1762" t="s">
        <v>737</v>
      </c>
      <c r="D268" s="1208" t="s">
        <v>736</v>
      </c>
      <c r="E268" s="1255">
        <v>5063574846</v>
      </c>
      <c r="F268" s="1255"/>
      <c r="G268" s="1255"/>
      <c r="H268" s="1280">
        <f t="shared" si="61"/>
        <v>5063574846</v>
      </c>
      <c r="I268" s="1779"/>
      <c r="J268" s="510">
        <f t="shared" si="60"/>
        <v>0</v>
      </c>
      <c r="K268" s="2258"/>
      <c r="L268" s="2258"/>
      <c r="M268" s="2258"/>
      <c r="N268" s="1248"/>
      <c r="O268" s="240"/>
      <c r="P268" s="1779"/>
      <c r="Q268" s="1779"/>
      <c r="R268" s="1292"/>
      <c r="T268" s="510"/>
      <c r="V268" s="510"/>
      <c r="W268" s="510"/>
      <c r="X268" s="1740">
        <v>5063574846</v>
      </c>
      <c r="Y268" s="2240"/>
      <c r="Z268" s="2240"/>
      <c r="AA268" s="2240"/>
      <c r="AC268" s="2224"/>
      <c r="AF268" s="2224">
        <f t="shared" si="51"/>
        <v>10127149692</v>
      </c>
      <c r="AG268" s="2224">
        <f t="shared" si="52"/>
        <v>-5063574846</v>
      </c>
      <c r="AK268" s="2224">
        <f t="shared" si="53"/>
        <v>10127149692</v>
      </c>
      <c r="AL268" s="2224">
        <f t="shared" si="54"/>
        <v>-5063574846</v>
      </c>
      <c r="AP268" s="2224">
        <f t="shared" si="49"/>
        <v>0</v>
      </c>
      <c r="AR268" s="2224">
        <f t="shared" si="47"/>
        <v>5063574846</v>
      </c>
      <c r="AS268" s="2224">
        <f t="shared" si="50"/>
        <v>0</v>
      </c>
      <c r="AU268" s="234"/>
    </row>
    <row r="269" spans="2:47" ht="20.45" customHeight="1" x14ac:dyDescent="0.2">
      <c r="B269" s="3655" t="s">
        <v>786</v>
      </c>
      <c r="C269" s="3656"/>
      <c r="D269" s="3657"/>
      <c r="E269" s="1289">
        <f>SUM(E249:E268)</f>
        <v>32395742399069</v>
      </c>
      <c r="F269" s="1289">
        <f>SUM(F249:F268)</f>
        <v>0</v>
      </c>
      <c r="G269" s="1289">
        <f>SUM(G249:G268)</f>
        <v>0</v>
      </c>
      <c r="H269" s="1289">
        <f>SUM(H249:H268)</f>
        <v>32395742399069</v>
      </c>
      <c r="I269" s="294">
        <f t="shared" ref="I269:X269" si="62">SUM(I249:I268)</f>
        <v>0</v>
      </c>
      <c r="J269" s="294">
        <f t="shared" si="62"/>
        <v>11935593739403</v>
      </c>
      <c r="K269" s="294">
        <f t="shared" si="62"/>
        <v>0</v>
      </c>
      <c r="L269" s="294">
        <f t="shared" si="62"/>
        <v>0</v>
      </c>
      <c r="M269" s="294">
        <f t="shared" si="62"/>
        <v>0</v>
      </c>
      <c r="N269" s="294">
        <f t="shared" si="62"/>
        <v>497367127405</v>
      </c>
      <c r="O269" s="294">
        <f t="shared" si="62"/>
        <v>637440052584</v>
      </c>
      <c r="P269" s="294">
        <f t="shared" si="62"/>
        <v>-1345525403506</v>
      </c>
      <c r="Q269" s="294">
        <f t="shared" si="62"/>
        <v>-1315023704478</v>
      </c>
      <c r="R269" s="294">
        <f t="shared" si="62"/>
        <v>0</v>
      </c>
      <c r="S269" s="294">
        <f t="shared" si="62"/>
        <v>0</v>
      </c>
      <c r="T269" s="294">
        <f t="shared" si="62"/>
        <v>0</v>
      </c>
      <c r="U269" s="294">
        <f t="shared" si="62"/>
        <v>0</v>
      </c>
      <c r="V269" s="294">
        <f>SUM(V249:V268)</f>
        <v>-46208983180</v>
      </c>
      <c r="W269" s="294">
        <f t="shared" si="62"/>
        <v>1047544409023</v>
      </c>
      <c r="X269" s="553">
        <f t="shared" si="62"/>
        <v>43806929636320</v>
      </c>
      <c r="Y269" s="259" t="e">
        <f>SUM(Y249:Y257)</f>
        <v>#N/A</v>
      </c>
      <c r="Z269" s="259">
        <f>SUM(Z249:Z257)</f>
        <v>0</v>
      </c>
      <c r="AA269" s="259">
        <f>SUM(AA249:AA257)</f>
        <v>0</v>
      </c>
      <c r="AC269" s="2224"/>
      <c r="AF269" s="2224">
        <f t="shared" si="51"/>
        <v>76202672035389</v>
      </c>
      <c r="AG269" s="2224">
        <f t="shared" si="52"/>
        <v>-32395742399069</v>
      </c>
      <c r="AK269" s="2224">
        <f t="shared" si="53"/>
        <v>76248881018569</v>
      </c>
      <c r="AL269" s="2224">
        <f t="shared" si="54"/>
        <v>-32441951382249</v>
      </c>
      <c r="AP269" s="2224">
        <f t="shared" si="49"/>
        <v>0</v>
      </c>
      <c r="AR269" s="2224">
        <f t="shared" ref="AR269:AR332" si="63">W269+V269+T269+R269+Q269+P269+O269+N269+J269+E269+F269+G269</f>
        <v>43806929636320</v>
      </c>
      <c r="AS269" s="2224">
        <f t="shared" si="50"/>
        <v>0</v>
      </c>
      <c r="AU269" s="259">
        <f>SUM(AU249:AU268)</f>
        <v>-547248000000</v>
      </c>
    </row>
    <row r="270" spans="2:47" ht="13.9" customHeight="1" x14ac:dyDescent="0.2">
      <c r="B270" s="2273"/>
      <c r="C270" s="2272"/>
      <c r="D270" s="1203"/>
      <c r="E270" s="1272"/>
      <c r="F270" s="1272"/>
      <c r="G270" s="1272"/>
      <c r="H270" s="1272"/>
      <c r="I270" s="1273"/>
      <c r="J270" s="1273"/>
      <c r="K270" s="1273"/>
      <c r="L270" s="1273"/>
      <c r="M270" s="1273"/>
      <c r="N270" s="1273"/>
      <c r="O270" s="1273"/>
      <c r="P270" s="1273"/>
      <c r="Q270" s="1273"/>
      <c r="R270" s="1273"/>
      <c r="S270" s="1273"/>
      <c r="T270" s="1273"/>
      <c r="U270" s="1273"/>
      <c r="V270" s="1273"/>
      <c r="W270" s="1273"/>
      <c r="X270" s="1274"/>
      <c r="Y270" s="246"/>
      <c r="Z270" s="246"/>
      <c r="AA270" s="246"/>
      <c r="AC270" s="2224"/>
      <c r="AF270" s="2224">
        <f t="shared" si="51"/>
        <v>0</v>
      </c>
      <c r="AG270" s="2224">
        <f t="shared" si="52"/>
        <v>0</v>
      </c>
      <c r="AK270" s="2224">
        <f t="shared" si="53"/>
        <v>0</v>
      </c>
      <c r="AL270" s="2224">
        <f t="shared" si="54"/>
        <v>0</v>
      </c>
      <c r="AP270" s="2224">
        <f t="shared" si="49"/>
        <v>0</v>
      </c>
      <c r="AR270" s="2224">
        <f t="shared" si="63"/>
        <v>0</v>
      </c>
      <c r="AS270" s="2224">
        <f t="shared" si="50"/>
        <v>0</v>
      </c>
      <c r="AU270" s="246"/>
    </row>
    <row r="271" spans="2:47" ht="13.9" customHeight="1" x14ac:dyDescent="0.2">
      <c r="B271" s="2273"/>
      <c r="C271" s="2272"/>
      <c r="D271" s="1203"/>
      <c r="E271" s="1272"/>
      <c r="F271" s="1272"/>
      <c r="G271" s="1272"/>
      <c r="H271" s="1272"/>
      <c r="I271" s="1273"/>
      <c r="J271" s="1273"/>
      <c r="K271" s="1273"/>
      <c r="L271" s="1273"/>
      <c r="M271" s="1273"/>
      <c r="N271" s="1273"/>
      <c r="O271" s="1273"/>
      <c r="P271" s="1273"/>
      <c r="Q271" s="1273"/>
      <c r="R271" s="1273"/>
      <c r="S271" s="1273"/>
      <c r="T271" s="1273"/>
      <c r="U271" s="1273"/>
      <c r="V271" s="1273"/>
      <c r="W271" s="1273"/>
      <c r="X271" s="1274"/>
      <c r="Y271" s="246"/>
      <c r="Z271" s="246"/>
      <c r="AA271" s="246"/>
      <c r="AC271" s="2224"/>
      <c r="AF271" s="2224"/>
      <c r="AG271" s="2224"/>
      <c r="AK271" s="2224"/>
      <c r="AL271" s="2224"/>
      <c r="AP271" s="2224"/>
      <c r="AR271" s="2224">
        <f t="shared" si="63"/>
        <v>0</v>
      </c>
      <c r="AS271" s="2224"/>
      <c r="AU271" s="246"/>
    </row>
    <row r="272" spans="2:47" ht="13.9" customHeight="1" x14ac:dyDescent="0.2">
      <c r="B272" s="2273"/>
      <c r="C272" s="2272"/>
      <c r="D272" s="1203"/>
      <c r="E272" s="1272"/>
      <c r="F272" s="1272"/>
      <c r="G272" s="1272"/>
      <c r="H272" s="1272"/>
      <c r="I272" s="1273"/>
      <c r="J272" s="1273"/>
      <c r="K272" s="1273"/>
      <c r="L272" s="1273"/>
      <c r="M272" s="1273"/>
      <c r="N272" s="1273"/>
      <c r="O272" s="1273"/>
      <c r="P272" s="1273"/>
      <c r="Q272" s="1273"/>
      <c r="R272" s="1273"/>
      <c r="S272" s="1273"/>
      <c r="T272" s="1273"/>
      <c r="U272" s="1273"/>
      <c r="V272" s="1273"/>
      <c r="W272" s="1273"/>
      <c r="X272" s="1274"/>
      <c r="Y272" s="246"/>
      <c r="Z272" s="246"/>
      <c r="AA272" s="246"/>
      <c r="AC272" s="2224"/>
      <c r="AF272" s="2224"/>
      <c r="AG272" s="2224"/>
      <c r="AK272" s="2224"/>
      <c r="AL272" s="2224"/>
      <c r="AP272" s="2224"/>
      <c r="AR272" s="2224">
        <f t="shared" si="63"/>
        <v>0</v>
      </c>
      <c r="AS272" s="2224"/>
      <c r="AU272" s="246"/>
    </row>
    <row r="273" spans="1:47" ht="12.75" customHeight="1" x14ac:dyDescent="0.2">
      <c r="B273" s="2273"/>
      <c r="C273" s="3660" t="s">
        <v>1064</v>
      </c>
      <c r="D273" s="3660"/>
      <c r="E273" s="3660"/>
      <c r="F273" s="3660"/>
      <c r="G273" s="3660"/>
      <c r="H273" s="3660"/>
      <c r="I273" s="3660"/>
      <c r="J273" s="3660"/>
      <c r="K273" s="3660"/>
      <c r="L273" s="3660"/>
      <c r="M273" s="3660"/>
      <c r="N273" s="3660"/>
      <c r="O273" s="3660"/>
      <c r="P273" s="3660"/>
      <c r="Q273" s="3660"/>
      <c r="R273" s="3660"/>
      <c r="S273" s="3660"/>
      <c r="T273" s="3660"/>
      <c r="U273" s="3660"/>
      <c r="V273" s="3660"/>
      <c r="W273" s="3660"/>
      <c r="X273" s="3660"/>
      <c r="Y273" s="3660"/>
      <c r="Z273" s="2274"/>
      <c r="AC273" s="2224"/>
      <c r="AF273" s="2224">
        <f t="shared" si="51"/>
        <v>0</v>
      </c>
      <c r="AG273" s="2224">
        <f t="shared" si="52"/>
        <v>0</v>
      </c>
      <c r="AK273" s="2224">
        <f t="shared" si="53"/>
        <v>0</v>
      </c>
      <c r="AL273" s="2224">
        <f t="shared" si="54"/>
        <v>0</v>
      </c>
      <c r="AP273" s="2224">
        <f t="shared" si="49"/>
        <v>0</v>
      </c>
      <c r="AR273" s="2224">
        <f t="shared" si="63"/>
        <v>0</v>
      </c>
      <c r="AS273" s="2224">
        <f t="shared" si="50"/>
        <v>0</v>
      </c>
    </row>
    <row r="274" spans="1:47" ht="21.6" customHeight="1" x14ac:dyDescent="0.2">
      <c r="B274" s="3565" t="s">
        <v>32</v>
      </c>
      <c r="C274" s="3565"/>
      <c r="D274" s="3565"/>
      <c r="E274" s="3565"/>
      <c r="F274" s="3565"/>
      <c r="G274" s="3565"/>
      <c r="H274" s="3565"/>
      <c r="I274" s="3565"/>
      <c r="J274" s="3565"/>
      <c r="K274" s="3565"/>
      <c r="L274" s="3565"/>
      <c r="M274" s="3565"/>
      <c r="N274" s="3565"/>
      <c r="O274" s="3565"/>
      <c r="P274" s="3565"/>
      <c r="Q274" s="3565"/>
      <c r="R274" s="3565"/>
      <c r="S274" s="3565"/>
      <c r="T274" s="3565"/>
      <c r="U274" s="3565"/>
      <c r="V274" s="3565"/>
      <c r="W274" s="3565"/>
      <c r="X274" s="3565"/>
      <c r="Y274" s="3565"/>
      <c r="Z274" s="3565"/>
      <c r="AA274" s="3565"/>
      <c r="AC274" s="2224"/>
      <c r="AF274" s="2224">
        <f t="shared" si="51"/>
        <v>0</v>
      </c>
      <c r="AG274" s="2224">
        <f t="shared" si="52"/>
        <v>0</v>
      </c>
      <c r="AK274" s="2224">
        <f t="shared" si="53"/>
        <v>0</v>
      </c>
      <c r="AL274" s="2224">
        <f t="shared" si="54"/>
        <v>0</v>
      </c>
      <c r="AP274" s="2224">
        <f t="shared" si="49"/>
        <v>0</v>
      </c>
      <c r="AR274" s="2224">
        <f t="shared" si="63"/>
        <v>0</v>
      </c>
      <c r="AS274" s="2224">
        <f t="shared" si="50"/>
        <v>0</v>
      </c>
    </row>
    <row r="275" spans="1:47" ht="21.6" customHeight="1" x14ac:dyDescent="0.2">
      <c r="B275" s="3565" t="s">
        <v>45</v>
      </c>
      <c r="C275" s="3565"/>
      <c r="D275" s="3565"/>
      <c r="E275" s="3565"/>
      <c r="F275" s="3565"/>
      <c r="G275" s="3565"/>
      <c r="H275" s="3565"/>
      <c r="I275" s="3565"/>
      <c r="J275" s="3565"/>
      <c r="K275" s="3565"/>
      <c r="L275" s="3565"/>
      <c r="M275" s="3565"/>
      <c r="N275" s="3565"/>
      <c r="O275" s="3565"/>
      <c r="P275" s="3565"/>
      <c r="Q275" s="3565"/>
      <c r="R275" s="3565"/>
      <c r="S275" s="3565"/>
      <c r="T275" s="3565"/>
      <c r="U275" s="3565"/>
      <c r="V275" s="3565"/>
      <c r="W275" s="3565"/>
      <c r="X275" s="3565"/>
      <c r="Y275" s="3565"/>
      <c r="Z275" s="3565"/>
      <c r="AA275" s="3565"/>
      <c r="AC275" s="2224"/>
      <c r="AF275" s="2224">
        <f t="shared" si="51"/>
        <v>0</v>
      </c>
      <c r="AG275" s="2224">
        <f t="shared" si="52"/>
        <v>0</v>
      </c>
      <c r="AK275" s="2224">
        <f t="shared" si="53"/>
        <v>0</v>
      </c>
      <c r="AL275" s="2224">
        <f t="shared" si="54"/>
        <v>0</v>
      </c>
      <c r="AP275" s="2224">
        <f t="shared" si="49"/>
        <v>0</v>
      </c>
      <c r="AR275" s="2224">
        <f t="shared" si="63"/>
        <v>0</v>
      </c>
      <c r="AS275" s="2224">
        <f t="shared" si="50"/>
        <v>0</v>
      </c>
    </row>
    <row r="276" spans="1:47" ht="21.6" customHeight="1" x14ac:dyDescent="0.2">
      <c r="B276" s="3565" t="s">
        <v>46</v>
      </c>
      <c r="C276" s="3565"/>
      <c r="D276" s="3565"/>
      <c r="E276" s="3565"/>
      <c r="F276" s="3565"/>
      <c r="G276" s="3565"/>
      <c r="H276" s="3565"/>
      <c r="I276" s="3565"/>
      <c r="J276" s="3565"/>
      <c r="K276" s="3565"/>
      <c r="L276" s="3565"/>
      <c r="M276" s="3565"/>
      <c r="N276" s="3565"/>
      <c r="O276" s="3565"/>
      <c r="P276" s="3565"/>
      <c r="Q276" s="3565"/>
      <c r="R276" s="3565"/>
      <c r="S276" s="3565"/>
      <c r="T276" s="3565"/>
      <c r="U276" s="3565"/>
      <c r="V276" s="3565"/>
      <c r="W276" s="3565"/>
      <c r="X276" s="3565"/>
      <c r="Y276" s="3565"/>
      <c r="Z276" s="3565"/>
      <c r="AA276" s="3565"/>
      <c r="AC276" s="2224"/>
      <c r="AF276" s="2224">
        <f t="shared" si="51"/>
        <v>0</v>
      </c>
      <c r="AG276" s="2224">
        <f t="shared" si="52"/>
        <v>0</v>
      </c>
      <c r="AK276" s="2224">
        <f t="shared" si="53"/>
        <v>0</v>
      </c>
      <c r="AL276" s="2224">
        <f t="shared" si="54"/>
        <v>0</v>
      </c>
      <c r="AP276" s="2224">
        <f t="shared" si="49"/>
        <v>0</v>
      </c>
      <c r="AR276" s="2224">
        <f t="shared" si="63"/>
        <v>0</v>
      </c>
      <c r="AS276" s="2224">
        <f t="shared" si="50"/>
        <v>0</v>
      </c>
    </row>
    <row r="277" spans="1:47" ht="21.6" customHeight="1" x14ac:dyDescent="0.2">
      <c r="B277" s="3685" t="s">
        <v>1992</v>
      </c>
      <c r="C277" s="3685"/>
      <c r="D277" s="3685"/>
      <c r="E277" s="3685"/>
      <c r="F277" s="3685"/>
      <c r="G277" s="3685"/>
      <c r="H277" s="3685"/>
      <c r="I277" s="3685"/>
      <c r="J277" s="3685"/>
      <c r="K277" s="3685"/>
      <c r="L277" s="3685"/>
      <c r="M277" s="3685"/>
      <c r="N277" s="3685"/>
      <c r="O277" s="3685"/>
      <c r="P277" s="3685"/>
      <c r="Q277" s="3685"/>
      <c r="R277" s="3685"/>
      <c r="S277" s="3685"/>
      <c r="T277" s="3685"/>
      <c r="U277" s="3685"/>
      <c r="V277" s="3685"/>
      <c r="W277" s="3685"/>
      <c r="X277" s="3685"/>
      <c r="Y277" s="3685"/>
      <c r="Z277" s="3685"/>
      <c r="AA277" s="3685"/>
      <c r="AC277" s="2224"/>
      <c r="AF277" s="2224">
        <f t="shared" si="51"/>
        <v>0</v>
      </c>
      <c r="AG277" s="2224">
        <f t="shared" si="52"/>
        <v>0</v>
      </c>
      <c r="AK277" s="2224">
        <f t="shared" si="53"/>
        <v>0</v>
      </c>
      <c r="AL277" s="2224">
        <f t="shared" si="54"/>
        <v>0</v>
      </c>
      <c r="AP277" s="2224">
        <f t="shared" si="49"/>
        <v>0</v>
      </c>
      <c r="AR277" s="2224">
        <f t="shared" si="63"/>
        <v>0</v>
      </c>
      <c r="AS277" s="2224">
        <f t="shared" si="50"/>
        <v>0</v>
      </c>
    </row>
    <row r="278" spans="1:47" ht="12.75" customHeight="1" x14ac:dyDescent="0.2">
      <c r="B278" s="3664" t="s">
        <v>894</v>
      </c>
      <c r="C278" s="3664"/>
      <c r="D278" s="3664"/>
      <c r="E278" s="1252"/>
      <c r="F278" s="1252"/>
      <c r="G278" s="1252"/>
      <c r="H278" s="1252"/>
      <c r="I278" s="2239"/>
      <c r="J278" s="2239"/>
      <c r="K278" s="2239"/>
      <c r="L278" s="2239"/>
      <c r="M278" s="2239"/>
      <c r="N278" s="2239"/>
      <c r="O278" s="2239"/>
      <c r="P278" s="2239"/>
      <c r="Q278" s="2239"/>
      <c r="R278" s="2239"/>
      <c r="S278" s="2239"/>
      <c r="T278" s="2239"/>
      <c r="U278" s="2239"/>
      <c r="V278" s="2239"/>
      <c r="W278" s="3674" t="s">
        <v>338</v>
      </c>
      <c r="X278" s="3674"/>
      <c r="Y278" s="2240"/>
      <c r="Z278" s="2240"/>
      <c r="AA278" s="2240"/>
      <c r="AC278" s="2224"/>
      <c r="AF278" s="2224">
        <f t="shared" si="51"/>
        <v>0</v>
      </c>
      <c r="AG278" s="2224">
        <f t="shared" si="52"/>
        <v>0</v>
      </c>
      <c r="AK278" s="2224" t="e">
        <f t="shared" si="53"/>
        <v>#VALUE!</v>
      </c>
      <c r="AL278" s="2224" t="e">
        <f t="shared" si="54"/>
        <v>#VALUE!</v>
      </c>
      <c r="AP278" s="2224" t="e">
        <f t="shared" si="49"/>
        <v>#VALUE!</v>
      </c>
      <c r="AR278" s="2224" t="e">
        <f t="shared" si="63"/>
        <v>#VALUE!</v>
      </c>
      <c r="AS278" s="2224" t="e">
        <f t="shared" si="50"/>
        <v>#VALUE!</v>
      </c>
      <c r="AU278" s="2240"/>
    </row>
    <row r="279" spans="1:47" ht="20.45" customHeight="1" x14ac:dyDescent="0.2">
      <c r="A279" s="2279"/>
      <c r="B279" s="3666" t="s">
        <v>419</v>
      </c>
      <c r="C279" s="3659" t="s">
        <v>196</v>
      </c>
      <c r="D279" s="3677" t="s">
        <v>197</v>
      </c>
      <c r="E279" s="3647" t="s">
        <v>1391</v>
      </c>
      <c r="F279" s="3682" t="s">
        <v>1116</v>
      </c>
      <c r="G279" s="3682"/>
      <c r="H279" s="3662" t="s">
        <v>1993</v>
      </c>
      <c r="I279" s="3650" t="s">
        <v>1244</v>
      </c>
      <c r="J279" s="3650"/>
      <c r="K279" s="2216" t="s">
        <v>340</v>
      </c>
      <c r="L279" s="2216"/>
      <c r="M279" s="2216"/>
      <c r="N279" s="3661" t="s">
        <v>341</v>
      </c>
      <c r="O279" s="3661"/>
      <c r="P279" s="3651" t="s">
        <v>1012</v>
      </c>
      <c r="Q279" s="3652"/>
      <c r="R279" s="3652"/>
      <c r="S279" s="3652"/>
      <c r="T279" s="3653"/>
      <c r="U279" s="2217"/>
      <c r="V279" s="3650" t="s">
        <v>1334</v>
      </c>
      <c r="W279" s="3649" t="s">
        <v>898</v>
      </c>
      <c r="X279" s="3648" t="s">
        <v>1986</v>
      </c>
      <c r="Y279" s="2240"/>
      <c r="Z279" s="2240"/>
      <c r="AA279" s="2240"/>
      <c r="AC279" s="2224"/>
      <c r="AF279" s="2224">
        <f t="shared" si="51"/>
        <v>0</v>
      </c>
      <c r="AG279" s="2224" t="e">
        <f t="shared" si="52"/>
        <v>#VALUE!</v>
      </c>
      <c r="AK279" s="2224" t="e">
        <f t="shared" si="53"/>
        <v>#VALUE!</v>
      </c>
      <c r="AL279" s="2224" t="e">
        <f t="shared" si="54"/>
        <v>#VALUE!</v>
      </c>
      <c r="AP279" s="2224" t="e">
        <f t="shared" si="49"/>
        <v>#VALUE!</v>
      </c>
      <c r="AR279" s="2224" t="e">
        <f t="shared" si="63"/>
        <v>#VALUE!</v>
      </c>
      <c r="AS279" s="2224" t="e">
        <f t="shared" si="50"/>
        <v>#VALUE!</v>
      </c>
    </row>
    <row r="280" spans="1:47" ht="60" customHeight="1" x14ac:dyDescent="0.2">
      <c r="A280" s="2279"/>
      <c r="B280" s="3666"/>
      <c r="C280" s="3659"/>
      <c r="D280" s="3677"/>
      <c r="E280" s="3647"/>
      <c r="F280" s="1409" t="s">
        <v>1955</v>
      </c>
      <c r="G280" s="1409" t="s">
        <v>1956</v>
      </c>
      <c r="H280" s="3662"/>
      <c r="I280" s="3650"/>
      <c r="J280" s="3650"/>
      <c r="K280" s="2220" t="s">
        <v>315</v>
      </c>
      <c r="L280" s="2220" t="s">
        <v>891</v>
      </c>
      <c r="M280" s="2216" t="s">
        <v>314</v>
      </c>
      <c r="N280" s="2216" t="s">
        <v>1076</v>
      </c>
      <c r="O280" s="2216" t="s">
        <v>18</v>
      </c>
      <c r="P280" s="2220" t="s">
        <v>892</v>
      </c>
      <c r="Q280" s="2220" t="s">
        <v>826</v>
      </c>
      <c r="R280" s="2220" t="s">
        <v>315</v>
      </c>
      <c r="S280" s="2216"/>
      <c r="T280" s="2216" t="s">
        <v>1180</v>
      </c>
      <c r="U280" s="2216"/>
      <c r="V280" s="3650"/>
      <c r="W280" s="3649"/>
      <c r="X280" s="3648"/>
      <c r="Y280" s="2240"/>
      <c r="Z280" s="2240"/>
      <c r="AA280" s="2240"/>
      <c r="AC280" s="2224"/>
      <c r="AF280" s="2224">
        <f t="shared" si="51"/>
        <v>0</v>
      </c>
      <c r="AG280" s="2224">
        <f t="shared" si="52"/>
        <v>0</v>
      </c>
      <c r="AK280" s="2224" t="e">
        <f t="shared" si="53"/>
        <v>#VALUE!</v>
      </c>
      <c r="AL280" s="2224" t="e">
        <f t="shared" si="54"/>
        <v>#VALUE!</v>
      </c>
      <c r="AP280" s="2224" t="e">
        <f t="shared" si="49"/>
        <v>#VALUE!</v>
      </c>
      <c r="AR280" s="2224" t="e">
        <f t="shared" si="63"/>
        <v>#VALUE!</v>
      </c>
      <c r="AS280" s="2224" t="e">
        <f t="shared" si="50"/>
        <v>#VALUE!</v>
      </c>
      <c r="AU280" s="2221" t="s">
        <v>1180</v>
      </c>
    </row>
    <row r="281" spans="1:47" ht="18" customHeight="1" x14ac:dyDescent="0.2">
      <c r="B281" s="3654" t="s">
        <v>180</v>
      </c>
      <c r="C281" s="3684" t="s">
        <v>181</v>
      </c>
      <c r="D281" s="3684"/>
      <c r="E281" s="1293">
        <f>E269</f>
        <v>32395742399069</v>
      </c>
      <c r="F281" s="1293">
        <f>F269</f>
        <v>0</v>
      </c>
      <c r="G281" s="1293">
        <f t="shared" ref="G281:X281" si="64">G269</f>
        <v>0</v>
      </c>
      <c r="H281" s="1293">
        <f t="shared" si="64"/>
        <v>32395742399069</v>
      </c>
      <c r="I281" s="2280">
        <f t="shared" si="64"/>
        <v>0</v>
      </c>
      <c r="J281" s="2280">
        <f t="shared" si="64"/>
        <v>11935593739403</v>
      </c>
      <c r="K281" s="2280">
        <f t="shared" si="64"/>
        <v>0</v>
      </c>
      <c r="L281" s="2280">
        <f t="shared" si="64"/>
        <v>0</v>
      </c>
      <c r="M281" s="2280">
        <f t="shared" si="64"/>
        <v>0</v>
      </c>
      <c r="N281" s="2281">
        <f t="shared" si="64"/>
        <v>497367127405</v>
      </c>
      <c r="O281" s="1780">
        <f t="shared" si="64"/>
        <v>637440052584</v>
      </c>
      <c r="P281" s="2282">
        <f t="shared" si="64"/>
        <v>-1345525403506</v>
      </c>
      <c r="Q281" s="1780">
        <f t="shared" si="64"/>
        <v>-1315023704478</v>
      </c>
      <c r="R281" s="1780">
        <f t="shared" si="64"/>
        <v>0</v>
      </c>
      <c r="S281" s="2280">
        <f t="shared" si="64"/>
        <v>0</v>
      </c>
      <c r="T281" s="2280">
        <f t="shared" si="64"/>
        <v>0</v>
      </c>
      <c r="U281" s="2280">
        <f t="shared" si="64"/>
        <v>0</v>
      </c>
      <c r="V281" s="2280">
        <f t="shared" si="64"/>
        <v>-46208983180</v>
      </c>
      <c r="W281" s="2280">
        <f t="shared" si="64"/>
        <v>1047544409023</v>
      </c>
      <c r="X281" s="2283">
        <f t="shared" si="64"/>
        <v>43806929636320</v>
      </c>
      <c r="Y281" s="215" t="e">
        <f>Y269</f>
        <v>#N/A</v>
      </c>
      <c r="Z281" s="2240"/>
      <c r="AA281" s="2240"/>
      <c r="AC281" s="2224"/>
      <c r="AF281" s="2224">
        <f t="shared" si="51"/>
        <v>76202672035389</v>
      </c>
      <c r="AG281" s="2224">
        <f t="shared" si="52"/>
        <v>-32395742399069</v>
      </c>
      <c r="AK281" s="2224">
        <f t="shared" si="53"/>
        <v>76248881018569</v>
      </c>
      <c r="AL281" s="2224">
        <f t="shared" si="54"/>
        <v>-32441951382249</v>
      </c>
      <c r="AP281" s="2224">
        <f t="shared" si="49"/>
        <v>0</v>
      </c>
      <c r="AR281" s="2224">
        <f t="shared" si="63"/>
        <v>43806929636320</v>
      </c>
      <c r="AS281" s="2224">
        <f t="shared" si="50"/>
        <v>0</v>
      </c>
      <c r="AU281" s="2167">
        <f>AU269</f>
        <v>-547248000000</v>
      </c>
    </row>
    <row r="282" spans="1:47" ht="16.899999999999999" customHeight="1" x14ac:dyDescent="0.2">
      <c r="B282" s="3654"/>
      <c r="C282" s="1762" t="s">
        <v>739</v>
      </c>
      <c r="D282" s="1208" t="s">
        <v>738</v>
      </c>
      <c r="E282" s="1255">
        <v>11528604513</v>
      </c>
      <c r="F282" s="1255">
        <f>-'يادداشت 8سرمايه گذاري در شركتها'!E155</f>
        <v>0</v>
      </c>
      <c r="G282" s="1255"/>
      <c r="H282" s="1294">
        <f>E282+G282+F282</f>
        <v>11528604513</v>
      </c>
      <c r="I282" s="1815"/>
      <c r="J282" s="240">
        <f t="shared" ref="J282:J300" si="65">X282-O282-N282-P282-Q282-K282-R282-W282-E282-T282-I282-V282-F282-G282</f>
        <v>0</v>
      </c>
      <c r="K282" s="2278"/>
      <c r="L282" s="2278"/>
      <c r="M282" s="2278"/>
      <c r="N282" s="1258"/>
      <c r="O282" s="240"/>
      <c r="P282" s="2259">
        <f>-'يادداشت 8سرمايه گذاري در شركتها'!G155</f>
        <v>0</v>
      </c>
      <c r="Q282" s="1779"/>
      <c r="R282" s="240"/>
      <c r="T282" s="1246"/>
      <c r="V282" s="1246"/>
      <c r="W282" s="1246"/>
      <c r="X282" s="1740">
        <v>11528604513</v>
      </c>
      <c r="Y282" s="2240"/>
      <c r="Z282" s="2240"/>
      <c r="AA282" s="2240"/>
      <c r="AC282" s="2224"/>
      <c r="AF282" s="2224">
        <f t="shared" si="51"/>
        <v>23057209026</v>
      </c>
      <c r="AG282" s="2224">
        <f t="shared" si="52"/>
        <v>-11528604513</v>
      </c>
      <c r="AK282" s="2224">
        <f t="shared" si="53"/>
        <v>23057209026</v>
      </c>
      <c r="AL282" s="2224">
        <f t="shared" si="54"/>
        <v>-11528604513</v>
      </c>
      <c r="AP282" s="2224">
        <f t="shared" si="49"/>
        <v>0</v>
      </c>
      <c r="AR282" s="2224">
        <f t="shared" si="63"/>
        <v>11528604513</v>
      </c>
      <c r="AS282" s="2224">
        <f t="shared" si="50"/>
        <v>0</v>
      </c>
      <c r="AU282" s="238"/>
    </row>
    <row r="283" spans="1:47" ht="18.600000000000001" customHeight="1" x14ac:dyDescent="0.2">
      <c r="B283" s="3654"/>
      <c r="C283" s="1762" t="s">
        <v>741</v>
      </c>
      <c r="D283" s="1208" t="s">
        <v>740</v>
      </c>
      <c r="E283" s="1255">
        <v>3227807326</v>
      </c>
      <c r="F283" s="1255"/>
      <c r="G283" s="1255"/>
      <c r="H283" s="1294">
        <f t="shared" ref="H283:H300" si="66">E283+G283+F283</f>
        <v>3227807326</v>
      </c>
      <c r="I283" s="1779"/>
      <c r="J283" s="240">
        <f t="shared" si="65"/>
        <v>0</v>
      </c>
      <c r="K283" s="1779"/>
      <c r="L283" s="1779"/>
      <c r="M283" s="1779"/>
      <c r="N283" s="1279"/>
      <c r="O283" s="240"/>
      <c r="P283" s="2259"/>
      <c r="Q283" s="1779"/>
      <c r="R283" s="240"/>
      <c r="T283" s="240"/>
      <c r="V283" s="240"/>
      <c r="W283" s="240"/>
      <c r="X283" s="1740">
        <v>3227807326</v>
      </c>
      <c r="Y283" s="2240"/>
      <c r="Z283" s="2240"/>
      <c r="AA283" s="2240"/>
      <c r="AC283" s="2224"/>
      <c r="AF283" s="2224">
        <f t="shared" si="51"/>
        <v>6455614652</v>
      </c>
      <c r="AG283" s="2224">
        <f t="shared" si="52"/>
        <v>-3227807326</v>
      </c>
      <c r="AK283" s="2224">
        <f t="shared" si="53"/>
        <v>6455614652</v>
      </c>
      <c r="AL283" s="2224">
        <f t="shared" si="54"/>
        <v>-3227807326</v>
      </c>
      <c r="AP283" s="2224">
        <f t="shared" si="49"/>
        <v>0</v>
      </c>
      <c r="AR283" s="2224">
        <f t="shared" si="63"/>
        <v>3227807326</v>
      </c>
      <c r="AS283" s="2224">
        <f t="shared" si="50"/>
        <v>0</v>
      </c>
      <c r="AU283" s="235"/>
    </row>
    <row r="284" spans="1:47" ht="18.600000000000001" customHeight="1" x14ac:dyDescent="0.2">
      <c r="B284" s="3654"/>
      <c r="C284" s="1762" t="s">
        <v>742</v>
      </c>
      <c r="D284" s="1208" t="s">
        <v>712</v>
      </c>
      <c r="E284" s="1255">
        <v>75713424871</v>
      </c>
      <c r="F284" s="1255"/>
      <c r="G284" s="1255"/>
      <c r="H284" s="1294">
        <f t="shared" si="66"/>
        <v>75713424871</v>
      </c>
      <c r="I284" s="1779"/>
      <c r="J284" s="240">
        <f t="shared" si="65"/>
        <v>0</v>
      </c>
      <c r="K284" s="1779"/>
      <c r="L284" s="1779"/>
      <c r="M284" s="1779"/>
      <c r="N284" s="1279"/>
      <c r="O284" s="240"/>
      <c r="P284" s="2259"/>
      <c r="Q284" s="1779"/>
      <c r="R284" s="240"/>
      <c r="T284" s="240"/>
      <c r="V284" s="240"/>
      <c r="W284" s="240"/>
      <c r="X284" s="1740">
        <v>75713424871</v>
      </c>
      <c r="Y284" s="2240"/>
      <c r="Z284" s="2240"/>
      <c r="AA284" s="2240"/>
      <c r="AC284" s="2224"/>
      <c r="AF284" s="2224">
        <f t="shared" si="51"/>
        <v>151426849742</v>
      </c>
      <c r="AG284" s="2224">
        <f t="shared" si="52"/>
        <v>-75713424871</v>
      </c>
      <c r="AK284" s="2224">
        <f t="shared" si="53"/>
        <v>151426849742</v>
      </c>
      <c r="AL284" s="2224">
        <f t="shared" si="54"/>
        <v>-75713424871</v>
      </c>
      <c r="AP284" s="2224">
        <f t="shared" si="49"/>
        <v>0</v>
      </c>
      <c r="AR284" s="2224">
        <f t="shared" si="63"/>
        <v>75713424871</v>
      </c>
      <c r="AS284" s="2224">
        <f t="shared" si="50"/>
        <v>0</v>
      </c>
      <c r="AU284" s="235"/>
    </row>
    <row r="285" spans="1:47" ht="18.600000000000001" customHeight="1" x14ac:dyDescent="0.2">
      <c r="B285" s="3654"/>
      <c r="C285" s="1771" t="s">
        <v>744</v>
      </c>
      <c r="D285" s="1208" t="s">
        <v>743</v>
      </c>
      <c r="E285" s="1280">
        <v>4949224660</v>
      </c>
      <c r="F285" s="1280"/>
      <c r="G285" s="1255"/>
      <c r="H285" s="1294">
        <f t="shared" si="66"/>
        <v>4949224660</v>
      </c>
      <c r="I285" s="1780"/>
      <c r="J285" s="240">
        <f t="shared" si="65"/>
        <v>0</v>
      </c>
      <c r="K285" s="2268"/>
      <c r="L285" s="2268"/>
      <c r="M285" s="2268"/>
      <c r="N285" s="2284"/>
      <c r="O285" s="1780"/>
      <c r="P285" s="2275"/>
      <c r="Q285" s="2275"/>
      <c r="R285" s="2275"/>
      <c r="T285" s="2268"/>
      <c r="V285" s="2268"/>
      <c r="W285" s="2284"/>
      <c r="X285" s="1774">
        <v>4949224660</v>
      </c>
      <c r="Y285" s="2240"/>
      <c r="Z285" s="2240"/>
      <c r="AA285" s="2240"/>
      <c r="AC285" s="2224"/>
      <c r="AF285" s="2224">
        <f t="shared" si="51"/>
        <v>9898449320</v>
      </c>
      <c r="AG285" s="2224">
        <f t="shared" si="52"/>
        <v>-4949224660</v>
      </c>
      <c r="AK285" s="2224">
        <f t="shared" si="53"/>
        <v>9898449320</v>
      </c>
      <c r="AL285" s="2224">
        <f t="shared" si="54"/>
        <v>-4949224660</v>
      </c>
      <c r="AP285" s="2224">
        <f t="shared" si="49"/>
        <v>0</v>
      </c>
      <c r="AR285" s="2224">
        <f t="shared" si="63"/>
        <v>4949224660</v>
      </c>
      <c r="AS285" s="2224">
        <f t="shared" si="50"/>
        <v>0</v>
      </c>
      <c r="AU285" s="2143"/>
    </row>
    <row r="286" spans="1:47" ht="18.600000000000001" customHeight="1" x14ac:dyDescent="0.2">
      <c r="B286" s="3654"/>
      <c r="C286" s="1771" t="s">
        <v>746</v>
      </c>
      <c r="D286" s="1208" t="s">
        <v>745</v>
      </c>
      <c r="E286" s="1295">
        <v>11335000000</v>
      </c>
      <c r="F286" s="1295"/>
      <c r="G286" s="1255"/>
      <c r="H286" s="1294">
        <f t="shared" si="66"/>
        <v>11335000000</v>
      </c>
      <c r="I286" s="1780"/>
      <c r="J286" s="240">
        <f t="shared" si="65"/>
        <v>0</v>
      </c>
      <c r="K286" s="2268"/>
      <c r="L286" s="2268"/>
      <c r="M286" s="2268"/>
      <c r="N286" s="2268"/>
      <c r="O286" s="2275"/>
      <c r="P286" s="2268"/>
      <c r="Q286" s="2268"/>
      <c r="R286" s="2268"/>
      <c r="T286" s="2268"/>
      <c r="V286" s="2268"/>
      <c r="W286" s="2268"/>
      <c r="X286" s="1781">
        <v>11335000000</v>
      </c>
      <c r="Y286" s="2240"/>
      <c r="Z286" s="2240"/>
      <c r="AA286" s="2240"/>
      <c r="AC286" s="2224"/>
      <c r="AF286" s="2224">
        <f t="shared" si="51"/>
        <v>22670000000</v>
      </c>
      <c r="AG286" s="2224">
        <f t="shared" si="52"/>
        <v>-11335000000</v>
      </c>
      <c r="AK286" s="2224">
        <f t="shared" si="53"/>
        <v>22670000000</v>
      </c>
      <c r="AL286" s="2224">
        <f t="shared" si="54"/>
        <v>-11335000000</v>
      </c>
      <c r="AP286" s="2224">
        <f t="shared" ref="AP286:AP351" si="67">X286-AR286</f>
        <v>0</v>
      </c>
      <c r="AR286" s="2224">
        <f t="shared" si="63"/>
        <v>11335000000</v>
      </c>
      <c r="AS286" s="2224">
        <f t="shared" ref="AS286:AS351" si="68">X286-AR286</f>
        <v>0</v>
      </c>
      <c r="AU286" s="2143"/>
    </row>
    <row r="287" spans="1:47" ht="18.600000000000001" customHeight="1" x14ac:dyDescent="0.2">
      <c r="B287" s="3654"/>
      <c r="C287" s="1771" t="s">
        <v>748</v>
      </c>
      <c r="D287" s="1208" t="s">
        <v>747</v>
      </c>
      <c r="E287" s="1295">
        <v>532667464</v>
      </c>
      <c r="F287" s="1295"/>
      <c r="G287" s="1255"/>
      <c r="H287" s="1294">
        <f t="shared" si="66"/>
        <v>532667464</v>
      </c>
      <c r="I287" s="1780"/>
      <c r="J287" s="240">
        <f t="shared" si="65"/>
        <v>0</v>
      </c>
      <c r="K287" s="2268"/>
      <c r="L287" s="2268"/>
      <c r="M287" s="2268"/>
      <c r="N287" s="2268"/>
      <c r="O287" s="2268"/>
      <c r="P287" s="2268"/>
      <c r="Q287" s="2268"/>
      <c r="R287" s="2268"/>
      <c r="T287" s="2268"/>
      <c r="V287" s="2268"/>
      <c r="W287" s="2268"/>
      <c r="X287" s="550">
        <v>532667464</v>
      </c>
      <c r="Y287" s="2240"/>
      <c r="Z287" s="2240"/>
      <c r="AA287" s="2240"/>
      <c r="AC287" s="2224"/>
      <c r="AF287" s="2224">
        <f t="shared" ref="AF287:AF352" si="69">SUM(E287:W287)</f>
        <v>1065334928</v>
      </c>
      <c r="AG287" s="2224">
        <f t="shared" ref="AG287:AG352" si="70">X287-AF287</f>
        <v>-532667464</v>
      </c>
      <c r="AK287" s="2224">
        <f t="shared" ref="AK287:AK352" si="71">E287+H287+J287+N287+P287+Q287+R287+W287+O287</f>
        <v>1065334928</v>
      </c>
      <c r="AL287" s="2224">
        <f t="shared" ref="AL287:AL352" si="72">X287-AK287</f>
        <v>-532667464</v>
      </c>
      <c r="AP287" s="2224">
        <f t="shared" si="67"/>
        <v>0</v>
      </c>
      <c r="AR287" s="2224">
        <f t="shared" si="63"/>
        <v>532667464</v>
      </c>
      <c r="AS287" s="2224">
        <f t="shared" si="68"/>
        <v>0</v>
      </c>
      <c r="AU287" s="2143"/>
    </row>
    <row r="288" spans="1:47" ht="18.600000000000001" customHeight="1" x14ac:dyDescent="0.2">
      <c r="B288" s="3654"/>
      <c r="C288" s="1771" t="s">
        <v>750</v>
      </c>
      <c r="D288" s="1208" t="s">
        <v>749</v>
      </c>
      <c r="E288" s="1295">
        <v>1000000000</v>
      </c>
      <c r="F288" s="1295"/>
      <c r="G288" s="1255"/>
      <c r="H288" s="1294">
        <f t="shared" si="66"/>
        <v>1000000000</v>
      </c>
      <c r="I288" s="1780"/>
      <c r="J288" s="240">
        <f t="shared" si="65"/>
        <v>0</v>
      </c>
      <c r="K288" s="2268"/>
      <c r="L288" s="2268"/>
      <c r="M288" s="2268"/>
      <c r="N288" s="2268"/>
      <c r="O288" s="2268"/>
      <c r="P288" s="2268"/>
      <c r="Q288" s="2268"/>
      <c r="R288" s="2268"/>
      <c r="T288" s="2268"/>
      <c r="V288" s="2268"/>
      <c r="W288" s="2268"/>
      <c r="X288" s="1781">
        <v>1000000000</v>
      </c>
      <c r="Y288" s="2240"/>
      <c r="Z288" s="2240"/>
      <c r="AA288" s="2240"/>
      <c r="AC288" s="2224"/>
      <c r="AF288" s="2224">
        <f t="shared" si="69"/>
        <v>2000000000</v>
      </c>
      <c r="AG288" s="2224">
        <f t="shared" si="70"/>
        <v>-1000000000</v>
      </c>
      <c r="AK288" s="2224">
        <f t="shared" si="71"/>
        <v>2000000000</v>
      </c>
      <c r="AL288" s="2224">
        <f t="shared" si="72"/>
        <v>-1000000000</v>
      </c>
      <c r="AP288" s="2224">
        <f t="shared" si="67"/>
        <v>0</v>
      </c>
      <c r="AR288" s="2224">
        <f t="shared" si="63"/>
        <v>1000000000</v>
      </c>
      <c r="AS288" s="2224">
        <f t="shared" si="68"/>
        <v>0</v>
      </c>
      <c r="AU288" s="2143"/>
    </row>
    <row r="289" spans="2:47" ht="18.600000000000001" customHeight="1" x14ac:dyDescent="0.2">
      <c r="B289" s="3654"/>
      <c r="C289" s="1771" t="s">
        <v>752</v>
      </c>
      <c r="D289" s="1208" t="s">
        <v>751</v>
      </c>
      <c r="E289" s="1295">
        <v>2639174621</v>
      </c>
      <c r="F289" s="1295"/>
      <c r="G289" s="1255"/>
      <c r="H289" s="1294">
        <f t="shared" si="66"/>
        <v>2639174621</v>
      </c>
      <c r="I289" s="1780"/>
      <c r="J289" s="240">
        <f t="shared" si="65"/>
        <v>0</v>
      </c>
      <c r="K289" s="2268"/>
      <c r="L289" s="2268"/>
      <c r="M289" s="2268"/>
      <c r="N289" s="2268"/>
      <c r="O289" s="2268"/>
      <c r="P289" s="2268"/>
      <c r="Q289" s="2268"/>
      <c r="R289" s="2268"/>
      <c r="T289" s="2268"/>
      <c r="V289" s="2268"/>
      <c r="W289" s="2268"/>
      <c r="X289" s="1781">
        <v>2639174621</v>
      </c>
      <c r="Y289" s="2240"/>
      <c r="Z289" s="2240"/>
      <c r="AA289" s="2240"/>
      <c r="AC289" s="2224"/>
      <c r="AF289" s="2224">
        <f t="shared" si="69"/>
        <v>5278349242</v>
      </c>
      <c r="AG289" s="2224">
        <f t="shared" si="70"/>
        <v>-2639174621</v>
      </c>
      <c r="AK289" s="2224">
        <f t="shared" si="71"/>
        <v>5278349242</v>
      </c>
      <c r="AL289" s="2224">
        <f t="shared" si="72"/>
        <v>-2639174621</v>
      </c>
      <c r="AP289" s="2224">
        <f t="shared" si="67"/>
        <v>0</v>
      </c>
      <c r="AR289" s="2224">
        <f t="shared" si="63"/>
        <v>2639174621</v>
      </c>
      <c r="AS289" s="2224">
        <f t="shared" si="68"/>
        <v>0</v>
      </c>
      <c r="AU289" s="2143"/>
    </row>
    <row r="290" spans="2:47" ht="28.15" customHeight="1" x14ac:dyDescent="0.2">
      <c r="B290" s="3654"/>
      <c r="C290" s="1771" t="s">
        <v>754</v>
      </c>
      <c r="D290" s="1208" t="s">
        <v>753</v>
      </c>
      <c r="E290" s="1295">
        <v>8133671669</v>
      </c>
      <c r="F290" s="1295"/>
      <c r="G290" s="1255"/>
      <c r="H290" s="1294">
        <f t="shared" si="66"/>
        <v>8133671669</v>
      </c>
      <c r="I290" s="1780"/>
      <c r="J290" s="240">
        <f t="shared" si="65"/>
        <v>0</v>
      </c>
      <c r="K290" s="2268"/>
      <c r="L290" s="2268"/>
      <c r="M290" s="2268"/>
      <c r="N290" s="2268"/>
      <c r="O290" s="2268"/>
      <c r="P290" s="2268"/>
      <c r="Q290" s="2268"/>
      <c r="R290" s="2268"/>
      <c r="T290" s="2268"/>
      <c r="V290" s="2268"/>
      <c r="W290" s="2268"/>
      <c r="X290" s="1781">
        <v>8133671669</v>
      </c>
      <c r="Y290" s="2240"/>
      <c r="Z290" s="2240"/>
      <c r="AA290" s="2240"/>
      <c r="AC290" s="2224"/>
      <c r="AF290" s="2224">
        <f t="shared" si="69"/>
        <v>16267343338</v>
      </c>
      <c r="AG290" s="2224">
        <f t="shared" si="70"/>
        <v>-8133671669</v>
      </c>
      <c r="AK290" s="2224">
        <f t="shared" si="71"/>
        <v>16267343338</v>
      </c>
      <c r="AL290" s="2224">
        <f t="shared" si="72"/>
        <v>-8133671669</v>
      </c>
      <c r="AP290" s="2224">
        <f t="shared" si="67"/>
        <v>0</v>
      </c>
      <c r="AR290" s="2224">
        <f t="shared" si="63"/>
        <v>8133671669</v>
      </c>
      <c r="AS290" s="2224">
        <f t="shared" si="68"/>
        <v>0</v>
      </c>
      <c r="AU290" s="2143"/>
    </row>
    <row r="291" spans="2:47" ht="18.600000000000001" customHeight="1" x14ac:dyDescent="0.2">
      <c r="B291" s="3654"/>
      <c r="C291" s="1771" t="s">
        <v>788</v>
      </c>
      <c r="D291" s="1208" t="s">
        <v>683</v>
      </c>
      <c r="E291" s="1280">
        <v>4200532598</v>
      </c>
      <c r="F291" s="1280"/>
      <c r="G291" s="1255"/>
      <c r="H291" s="1294">
        <f t="shared" si="66"/>
        <v>4200532598</v>
      </c>
      <c r="I291" s="1780"/>
      <c r="J291" s="240">
        <f t="shared" si="65"/>
        <v>0</v>
      </c>
      <c r="K291" s="2268"/>
      <c r="L291" s="2268"/>
      <c r="M291" s="2268"/>
      <c r="N291" s="2268"/>
      <c r="O291" s="2268"/>
      <c r="P291" s="2268"/>
      <c r="Q291" s="2268"/>
      <c r="R291" s="2268"/>
      <c r="T291" s="2268"/>
      <c r="V291" s="2268"/>
      <c r="W291" s="2268"/>
      <c r="X291" s="1774">
        <v>4200532598</v>
      </c>
      <c r="Y291" s="2240"/>
      <c r="Z291" s="2240"/>
      <c r="AA291" s="2240"/>
      <c r="AC291" s="2224"/>
      <c r="AF291" s="2224">
        <f t="shared" si="69"/>
        <v>8401065196</v>
      </c>
      <c r="AG291" s="2224">
        <f t="shared" si="70"/>
        <v>-4200532598</v>
      </c>
      <c r="AK291" s="2224">
        <f t="shared" si="71"/>
        <v>8401065196</v>
      </c>
      <c r="AL291" s="2224">
        <f t="shared" si="72"/>
        <v>-4200532598</v>
      </c>
      <c r="AP291" s="2224">
        <f t="shared" si="67"/>
        <v>0</v>
      </c>
      <c r="AR291" s="2224">
        <f t="shared" si="63"/>
        <v>4200532598</v>
      </c>
      <c r="AS291" s="2224">
        <f t="shared" si="68"/>
        <v>0</v>
      </c>
      <c r="AU291" s="2143"/>
    </row>
    <row r="292" spans="2:47" ht="18.600000000000001" customHeight="1" x14ac:dyDescent="0.2">
      <c r="B292" s="3654"/>
      <c r="C292" s="1771" t="s">
        <v>787</v>
      </c>
      <c r="D292" s="1208" t="s">
        <v>684</v>
      </c>
      <c r="E292" s="1280">
        <v>2042911786</v>
      </c>
      <c r="F292" s="1280"/>
      <c r="G292" s="1255"/>
      <c r="H292" s="1294">
        <f t="shared" si="66"/>
        <v>2042911786</v>
      </c>
      <c r="I292" s="1780"/>
      <c r="J292" s="240">
        <f t="shared" si="65"/>
        <v>0</v>
      </c>
      <c r="K292" s="2268"/>
      <c r="L292" s="2268"/>
      <c r="M292" s="2268"/>
      <c r="N292" s="2268"/>
      <c r="O292" s="2268"/>
      <c r="P292" s="2268"/>
      <c r="Q292" s="2268"/>
      <c r="R292" s="2268"/>
      <c r="T292" s="2268"/>
      <c r="V292" s="2268"/>
      <c r="W292" s="2268"/>
      <c r="X292" s="1772">
        <v>2042911786</v>
      </c>
      <c r="Y292" s="2240"/>
      <c r="Z292" s="2240"/>
      <c r="AA292" s="2240"/>
      <c r="AC292" s="2224"/>
      <c r="AF292" s="2224">
        <f t="shared" si="69"/>
        <v>4085823572</v>
      </c>
      <c r="AG292" s="2224">
        <f t="shared" si="70"/>
        <v>-2042911786</v>
      </c>
      <c r="AH292" s="2204">
        <v>2493162076</v>
      </c>
      <c r="AK292" s="2224">
        <f t="shared" si="71"/>
        <v>4085823572</v>
      </c>
      <c r="AL292" s="2224">
        <f t="shared" si="72"/>
        <v>-2042911786</v>
      </c>
      <c r="AP292" s="2224">
        <f t="shared" si="67"/>
        <v>0</v>
      </c>
      <c r="AR292" s="2224">
        <f t="shared" si="63"/>
        <v>2042911786</v>
      </c>
      <c r="AS292" s="2224">
        <f t="shared" si="68"/>
        <v>0</v>
      </c>
      <c r="AU292" s="2143"/>
    </row>
    <row r="293" spans="2:47" ht="18.600000000000001" customHeight="1" x14ac:dyDescent="0.2">
      <c r="B293" s="3654"/>
      <c r="C293" s="1771" t="s">
        <v>802</v>
      </c>
      <c r="D293" s="1208" t="s">
        <v>757</v>
      </c>
      <c r="E293" s="1255">
        <v>6800000000</v>
      </c>
      <c r="F293" s="1255"/>
      <c r="G293" s="1255"/>
      <c r="H293" s="1294">
        <f t="shared" si="66"/>
        <v>6800000000</v>
      </c>
      <c r="I293" s="1779"/>
      <c r="J293" s="240">
        <f t="shared" si="65"/>
        <v>0</v>
      </c>
      <c r="K293" s="2258"/>
      <c r="L293" s="2258"/>
      <c r="M293" s="2258"/>
      <c r="N293" s="510"/>
      <c r="O293" s="510"/>
      <c r="P293" s="2258"/>
      <c r="Q293" s="2258"/>
      <c r="R293" s="2241"/>
      <c r="T293" s="510"/>
      <c r="V293" s="510"/>
      <c r="W293" s="510"/>
      <c r="X293" s="1740">
        <v>6800000000</v>
      </c>
      <c r="Y293" s="2240"/>
      <c r="Z293" s="2240"/>
      <c r="AA293" s="2240"/>
      <c r="AC293" s="2224"/>
      <c r="AF293" s="2224">
        <f t="shared" si="69"/>
        <v>13600000000</v>
      </c>
      <c r="AG293" s="2224">
        <f t="shared" si="70"/>
        <v>-6800000000</v>
      </c>
      <c r="AK293" s="2224">
        <f t="shared" si="71"/>
        <v>13600000000</v>
      </c>
      <c r="AL293" s="2224">
        <f t="shared" si="72"/>
        <v>-6800000000</v>
      </c>
      <c r="AP293" s="2224">
        <f t="shared" si="67"/>
        <v>0</v>
      </c>
      <c r="AR293" s="2224">
        <f t="shared" si="63"/>
        <v>6800000000</v>
      </c>
      <c r="AS293" s="2224">
        <f t="shared" si="68"/>
        <v>0</v>
      </c>
      <c r="AU293" s="234"/>
    </row>
    <row r="294" spans="2:47" ht="18.600000000000001" customHeight="1" x14ac:dyDescent="0.2">
      <c r="B294" s="3654"/>
      <c r="C294" s="1771" t="s">
        <v>803</v>
      </c>
      <c r="D294" s="1208" t="s">
        <v>712</v>
      </c>
      <c r="E294" s="1255">
        <v>8067417650</v>
      </c>
      <c r="F294" s="1255"/>
      <c r="G294" s="1255"/>
      <c r="H294" s="1294">
        <f t="shared" si="66"/>
        <v>8067417650</v>
      </c>
      <c r="I294" s="1779"/>
      <c r="J294" s="240">
        <f t="shared" si="65"/>
        <v>0</v>
      </c>
      <c r="K294" s="2258"/>
      <c r="L294" s="2258"/>
      <c r="M294" s="2258"/>
      <c r="N294" s="510"/>
      <c r="O294" s="510"/>
      <c r="P294" s="2258"/>
      <c r="Q294" s="2258"/>
      <c r="R294" s="2241"/>
      <c r="T294" s="510"/>
      <c r="V294" s="510"/>
      <c r="W294" s="2241"/>
      <c r="X294" s="1740">
        <v>8067417650</v>
      </c>
      <c r="Y294" s="2240"/>
      <c r="Z294" s="2240"/>
      <c r="AA294" s="2240"/>
      <c r="AC294" s="2224"/>
      <c r="AF294" s="2224">
        <f t="shared" si="69"/>
        <v>16134835300</v>
      </c>
      <c r="AG294" s="2224">
        <f t="shared" si="70"/>
        <v>-8067417650</v>
      </c>
      <c r="AK294" s="2224">
        <f t="shared" si="71"/>
        <v>16134835300</v>
      </c>
      <c r="AL294" s="2224">
        <f t="shared" si="72"/>
        <v>-8067417650</v>
      </c>
      <c r="AP294" s="2224">
        <f t="shared" si="67"/>
        <v>0</v>
      </c>
      <c r="AR294" s="2224">
        <f t="shared" si="63"/>
        <v>8067417650</v>
      </c>
      <c r="AS294" s="2224">
        <f t="shared" si="68"/>
        <v>0</v>
      </c>
      <c r="AU294" s="234"/>
    </row>
    <row r="295" spans="2:47" ht="18.600000000000001" customHeight="1" x14ac:dyDescent="0.2">
      <c r="B295" s="3654"/>
      <c r="C295" s="1771" t="s">
        <v>804</v>
      </c>
      <c r="D295" s="1208" t="s">
        <v>758</v>
      </c>
      <c r="E295" s="1255">
        <v>10390766753</v>
      </c>
      <c r="F295" s="1255"/>
      <c r="G295" s="1255"/>
      <c r="H295" s="1294">
        <f t="shared" si="66"/>
        <v>10390766753</v>
      </c>
      <c r="I295" s="1779"/>
      <c r="J295" s="240">
        <f t="shared" si="65"/>
        <v>0</v>
      </c>
      <c r="K295" s="2258"/>
      <c r="L295" s="2258"/>
      <c r="M295" s="2258"/>
      <c r="N295" s="510"/>
      <c r="O295" s="510"/>
      <c r="P295" s="2258"/>
      <c r="Q295" s="2258"/>
      <c r="R295" s="2241"/>
      <c r="T295" s="510"/>
      <c r="V295" s="510"/>
      <c r="W295" s="510"/>
      <c r="X295" s="1740">
        <v>10390766753</v>
      </c>
      <c r="Y295" s="2240"/>
      <c r="Z295" s="2240"/>
      <c r="AA295" s="2240"/>
      <c r="AC295" s="2224"/>
      <c r="AF295" s="2224">
        <f t="shared" si="69"/>
        <v>20781533506</v>
      </c>
      <c r="AG295" s="2224">
        <f t="shared" si="70"/>
        <v>-10390766753</v>
      </c>
      <c r="AK295" s="2224">
        <f t="shared" si="71"/>
        <v>20781533506</v>
      </c>
      <c r="AL295" s="2224">
        <f t="shared" si="72"/>
        <v>-10390766753</v>
      </c>
      <c r="AP295" s="2224">
        <f t="shared" si="67"/>
        <v>0</v>
      </c>
      <c r="AR295" s="2224">
        <f t="shared" si="63"/>
        <v>10390766753</v>
      </c>
      <c r="AS295" s="2224">
        <f t="shared" si="68"/>
        <v>0</v>
      </c>
      <c r="AU295" s="234"/>
    </row>
    <row r="296" spans="2:47" ht="18.600000000000001" customHeight="1" x14ac:dyDescent="0.2">
      <c r="B296" s="3654"/>
      <c r="C296" s="1771" t="s">
        <v>805</v>
      </c>
      <c r="D296" s="1208" t="s">
        <v>759</v>
      </c>
      <c r="E296" s="1255">
        <v>5318788275</v>
      </c>
      <c r="F296" s="1255"/>
      <c r="G296" s="1255"/>
      <c r="H296" s="1294">
        <f t="shared" si="66"/>
        <v>5318788275</v>
      </c>
      <c r="I296" s="1779"/>
      <c r="J296" s="240">
        <f t="shared" si="65"/>
        <v>0</v>
      </c>
      <c r="K296" s="2258"/>
      <c r="L296" s="2258"/>
      <c r="M296" s="2258"/>
      <c r="N296" s="510"/>
      <c r="O296" s="510"/>
      <c r="P296" s="2258"/>
      <c r="Q296" s="2258"/>
      <c r="R296" s="2241"/>
      <c r="T296" s="510"/>
      <c r="V296" s="510"/>
      <c r="W296" s="510"/>
      <c r="X296" s="1740">
        <v>5318788275</v>
      </c>
      <c r="Y296" s="2240"/>
      <c r="Z296" s="2240"/>
      <c r="AA296" s="2240"/>
      <c r="AC296" s="2224"/>
      <c r="AF296" s="2224">
        <f t="shared" si="69"/>
        <v>10637576550</v>
      </c>
      <c r="AG296" s="2224">
        <f t="shared" si="70"/>
        <v>-5318788275</v>
      </c>
      <c r="AK296" s="2224">
        <f t="shared" si="71"/>
        <v>10637576550</v>
      </c>
      <c r="AL296" s="2224">
        <f t="shared" si="72"/>
        <v>-5318788275</v>
      </c>
      <c r="AP296" s="2224">
        <f t="shared" si="67"/>
        <v>0</v>
      </c>
      <c r="AR296" s="2224">
        <f t="shared" si="63"/>
        <v>5318788275</v>
      </c>
      <c r="AS296" s="2224">
        <f t="shared" si="68"/>
        <v>0</v>
      </c>
      <c r="AU296" s="234"/>
    </row>
    <row r="297" spans="2:47" ht="18.600000000000001" customHeight="1" x14ac:dyDescent="0.2">
      <c r="B297" s="3654"/>
      <c r="C297" s="1762" t="s">
        <v>761</v>
      </c>
      <c r="D297" s="1208" t="s">
        <v>760</v>
      </c>
      <c r="E297" s="1255">
        <v>1640041808</v>
      </c>
      <c r="F297" s="1255"/>
      <c r="G297" s="1255"/>
      <c r="H297" s="1294">
        <f t="shared" si="66"/>
        <v>1640041808</v>
      </c>
      <c r="I297" s="1779"/>
      <c r="J297" s="240">
        <f t="shared" si="65"/>
        <v>0</v>
      </c>
      <c r="K297" s="2258"/>
      <c r="L297" s="2258"/>
      <c r="M297" s="2258"/>
      <c r="N297" s="510"/>
      <c r="O297" s="510"/>
      <c r="P297" s="2258"/>
      <c r="Q297" s="2258"/>
      <c r="R297" s="2241"/>
      <c r="T297" s="510"/>
      <c r="V297" s="510"/>
      <c r="W297" s="510"/>
      <c r="X297" s="1740">
        <v>1640041808</v>
      </c>
      <c r="Y297" s="2240"/>
      <c r="Z297" s="2240"/>
      <c r="AA297" s="2240"/>
      <c r="AC297" s="2224"/>
      <c r="AF297" s="2224">
        <f t="shared" si="69"/>
        <v>3280083616</v>
      </c>
      <c r="AG297" s="2224">
        <f t="shared" si="70"/>
        <v>-1640041808</v>
      </c>
      <c r="AK297" s="2224">
        <f t="shared" si="71"/>
        <v>3280083616</v>
      </c>
      <c r="AL297" s="2224">
        <f t="shared" si="72"/>
        <v>-1640041808</v>
      </c>
      <c r="AP297" s="2224">
        <f t="shared" si="67"/>
        <v>0</v>
      </c>
      <c r="AR297" s="2224">
        <f t="shared" si="63"/>
        <v>1640041808</v>
      </c>
      <c r="AS297" s="2224">
        <f t="shared" si="68"/>
        <v>0</v>
      </c>
      <c r="AU297" s="234"/>
    </row>
    <row r="298" spans="2:47" ht="18.600000000000001" customHeight="1" x14ac:dyDescent="0.2">
      <c r="B298" s="3654"/>
      <c r="C298" s="1762" t="s">
        <v>763</v>
      </c>
      <c r="D298" s="1208" t="s">
        <v>762</v>
      </c>
      <c r="E298" s="1255">
        <v>210624218</v>
      </c>
      <c r="F298" s="1255"/>
      <c r="G298" s="1255"/>
      <c r="H298" s="1294">
        <f t="shared" si="66"/>
        <v>210624218</v>
      </c>
      <c r="I298" s="1779"/>
      <c r="J298" s="240">
        <f t="shared" si="65"/>
        <v>0</v>
      </c>
      <c r="K298" s="2258"/>
      <c r="L298" s="2258"/>
      <c r="M298" s="2258"/>
      <c r="N298" s="510"/>
      <c r="O298" s="510"/>
      <c r="P298" s="2258"/>
      <c r="Q298" s="2258"/>
      <c r="R298" s="2241"/>
      <c r="T298" s="510"/>
      <c r="V298" s="510"/>
      <c r="W298" s="510"/>
      <c r="X298" s="1740">
        <v>210624218</v>
      </c>
      <c r="Y298" s="2240"/>
      <c r="Z298" s="2240"/>
      <c r="AA298" s="2240"/>
      <c r="AC298" s="2224"/>
      <c r="AF298" s="2224">
        <f t="shared" si="69"/>
        <v>421248436</v>
      </c>
      <c r="AG298" s="2224">
        <f t="shared" si="70"/>
        <v>-210624218</v>
      </c>
      <c r="AK298" s="2224">
        <f t="shared" si="71"/>
        <v>421248436</v>
      </c>
      <c r="AL298" s="2224">
        <f t="shared" si="72"/>
        <v>-210624218</v>
      </c>
      <c r="AP298" s="2224">
        <f t="shared" si="67"/>
        <v>0</v>
      </c>
      <c r="AR298" s="2224">
        <f t="shared" si="63"/>
        <v>210624218</v>
      </c>
      <c r="AS298" s="2224">
        <f t="shared" si="68"/>
        <v>0</v>
      </c>
      <c r="AU298" s="234"/>
    </row>
    <row r="299" spans="2:47" ht="18.600000000000001" customHeight="1" x14ac:dyDescent="0.2">
      <c r="B299" s="3654"/>
      <c r="C299" s="1762" t="s">
        <v>765</v>
      </c>
      <c r="D299" s="1208" t="s">
        <v>764</v>
      </c>
      <c r="E299" s="1255">
        <v>303000000</v>
      </c>
      <c r="F299" s="1255"/>
      <c r="G299" s="1255"/>
      <c r="H299" s="1294">
        <f t="shared" si="66"/>
        <v>303000000</v>
      </c>
      <c r="I299" s="1779"/>
      <c r="J299" s="240">
        <f t="shared" si="65"/>
        <v>0</v>
      </c>
      <c r="K299" s="2258"/>
      <c r="L299" s="2258"/>
      <c r="M299" s="2258"/>
      <c r="N299" s="510"/>
      <c r="O299" s="510"/>
      <c r="P299" s="2258"/>
      <c r="Q299" s="2258"/>
      <c r="R299" s="2241"/>
      <c r="T299" s="510"/>
      <c r="V299" s="510"/>
      <c r="W299" s="510"/>
      <c r="X299" s="1740">
        <v>303000000</v>
      </c>
      <c r="Y299" s="2240"/>
      <c r="Z299" s="2240"/>
      <c r="AA299" s="2240"/>
      <c r="AC299" s="2224"/>
      <c r="AF299" s="2224">
        <f t="shared" si="69"/>
        <v>606000000</v>
      </c>
      <c r="AG299" s="2224">
        <f t="shared" si="70"/>
        <v>-303000000</v>
      </c>
      <c r="AK299" s="2224">
        <f t="shared" si="71"/>
        <v>606000000</v>
      </c>
      <c r="AL299" s="2224">
        <f t="shared" si="72"/>
        <v>-303000000</v>
      </c>
      <c r="AP299" s="2224">
        <f t="shared" si="67"/>
        <v>0</v>
      </c>
      <c r="AR299" s="2224">
        <f t="shared" si="63"/>
        <v>303000000</v>
      </c>
      <c r="AS299" s="2224">
        <f t="shared" si="68"/>
        <v>0</v>
      </c>
      <c r="AU299" s="234"/>
    </row>
    <row r="300" spans="2:47" ht="18.600000000000001" customHeight="1" x14ac:dyDescent="0.2">
      <c r="B300" s="3654"/>
      <c r="C300" s="1762" t="s">
        <v>767</v>
      </c>
      <c r="D300" s="1208" t="s">
        <v>766</v>
      </c>
      <c r="E300" s="1255">
        <v>819867135</v>
      </c>
      <c r="F300" s="1255"/>
      <c r="G300" s="1255"/>
      <c r="H300" s="1294">
        <f t="shared" si="66"/>
        <v>819867135</v>
      </c>
      <c r="I300" s="1779"/>
      <c r="J300" s="240">
        <f t="shared" si="65"/>
        <v>0</v>
      </c>
      <c r="K300" s="2258"/>
      <c r="L300" s="2258"/>
      <c r="M300" s="2258"/>
      <c r="N300" s="510"/>
      <c r="O300" s="510"/>
      <c r="P300" s="2258"/>
      <c r="Q300" s="2258"/>
      <c r="R300" s="2241"/>
      <c r="T300" s="510"/>
      <c r="V300" s="510"/>
      <c r="W300" s="1248"/>
      <c r="X300" s="1740">
        <v>819867135</v>
      </c>
      <c r="Y300" s="2240"/>
      <c r="Z300" s="2240"/>
      <c r="AA300" s="2240"/>
      <c r="AC300" s="2224"/>
      <c r="AF300" s="2224">
        <f t="shared" si="69"/>
        <v>1639734270</v>
      </c>
      <c r="AG300" s="2224">
        <f t="shared" si="70"/>
        <v>-819867135</v>
      </c>
      <c r="AK300" s="2224">
        <f t="shared" si="71"/>
        <v>1639734270</v>
      </c>
      <c r="AL300" s="2224">
        <f t="shared" si="72"/>
        <v>-819867135</v>
      </c>
      <c r="AP300" s="2224">
        <f t="shared" si="67"/>
        <v>0</v>
      </c>
      <c r="AR300" s="2224">
        <f t="shared" si="63"/>
        <v>819867135</v>
      </c>
      <c r="AS300" s="2224">
        <f t="shared" si="68"/>
        <v>0</v>
      </c>
      <c r="AU300" s="234"/>
    </row>
    <row r="301" spans="2:47" ht="18.600000000000001" customHeight="1" x14ac:dyDescent="0.2">
      <c r="B301" s="3687" t="s">
        <v>786</v>
      </c>
      <c r="C301" s="3688"/>
      <c r="D301" s="3689"/>
      <c r="E301" s="1269">
        <f>SUM(E281:E300)</f>
        <v>32554595924416</v>
      </c>
      <c r="F301" s="1269">
        <f>SUM(F281:F300)</f>
        <v>0</v>
      </c>
      <c r="G301" s="1269">
        <f>SUM(G281:G300)</f>
        <v>0</v>
      </c>
      <c r="H301" s="1269">
        <f>SUM(H281:H300)</f>
        <v>32554595924416</v>
      </c>
      <c r="I301" s="1279">
        <f t="shared" ref="I301:X301" si="73">SUM(I281:I300)</f>
        <v>0</v>
      </c>
      <c r="J301" s="1279">
        <f t="shared" si="73"/>
        <v>11935593739403</v>
      </c>
      <c r="K301" s="1279">
        <f t="shared" si="73"/>
        <v>0</v>
      </c>
      <c r="L301" s="1279">
        <f t="shared" si="73"/>
        <v>0</v>
      </c>
      <c r="M301" s="1279">
        <f t="shared" si="73"/>
        <v>0</v>
      </c>
      <c r="N301" s="1279">
        <f t="shared" si="73"/>
        <v>497367127405</v>
      </c>
      <c r="O301" s="1279">
        <f t="shared" si="73"/>
        <v>637440052584</v>
      </c>
      <c r="P301" s="1279">
        <f t="shared" si="73"/>
        <v>-1345525403506</v>
      </c>
      <c r="Q301" s="1279">
        <f t="shared" si="73"/>
        <v>-1315023704478</v>
      </c>
      <c r="R301" s="1279">
        <f t="shared" si="73"/>
        <v>0</v>
      </c>
      <c r="S301" s="1279">
        <f t="shared" si="73"/>
        <v>0</v>
      </c>
      <c r="T301" s="1279">
        <f t="shared" si="73"/>
        <v>0</v>
      </c>
      <c r="U301" s="1279">
        <f t="shared" si="73"/>
        <v>0</v>
      </c>
      <c r="V301" s="1279">
        <f>SUM(V281:V300)</f>
        <v>-46208983180</v>
      </c>
      <c r="W301" s="1279">
        <f>SUM(W281:W300)</f>
        <v>1047544409023</v>
      </c>
      <c r="X301" s="550">
        <f t="shared" si="73"/>
        <v>43965783161667</v>
      </c>
      <c r="Y301" s="355" t="e">
        <f>#N/A</f>
        <v>#N/A</v>
      </c>
      <c r="Z301" s="260" t="e">
        <f>#N/A</f>
        <v>#N/A</v>
      </c>
      <c r="AA301" s="260" t="e">
        <f>#N/A</f>
        <v>#N/A</v>
      </c>
      <c r="AC301" s="2224"/>
      <c r="AF301" s="2224">
        <f t="shared" si="69"/>
        <v>76520379086083</v>
      </c>
      <c r="AG301" s="2224">
        <f t="shared" si="70"/>
        <v>-32554595924416</v>
      </c>
      <c r="AK301" s="2224">
        <f t="shared" si="71"/>
        <v>76566588069263</v>
      </c>
      <c r="AL301" s="2224">
        <f t="shared" si="72"/>
        <v>-32600804907596</v>
      </c>
      <c r="AP301" s="2224">
        <f t="shared" si="67"/>
        <v>0</v>
      </c>
      <c r="AR301" s="2224">
        <f t="shared" si="63"/>
        <v>43965783161667</v>
      </c>
      <c r="AS301" s="2224">
        <f t="shared" si="68"/>
        <v>0</v>
      </c>
      <c r="AU301" s="297">
        <f>SUM(AU281:AU300)</f>
        <v>-547248000000</v>
      </c>
    </row>
    <row r="302" spans="2:47" ht="18.600000000000001" customHeight="1" x14ac:dyDescent="0.2">
      <c r="B302" s="2285"/>
      <c r="C302" s="2285"/>
      <c r="D302" s="2285"/>
      <c r="E302" s="1350"/>
      <c r="F302" s="1350"/>
      <c r="G302" s="1350"/>
      <c r="H302" s="1350"/>
      <c r="I302" s="390"/>
      <c r="J302" s="390"/>
      <c r="K302" s="390"/>
      <c r="L302" s="390"/>
      <c r="M302" s="390"/>
      <c r="N302" s="390"/>
      <c r="O302" s="390"/>
      <c r="P302" s="390"/>
      <c r="Q302" s="390"/>
      <c r="R302" s="390"/>
      <c r="S302" s="390"/>
      <c r="T302" s="390"/>
      <c r="U302" s="390"/>
      <c r="V302" s="390"/>
      <c r="W302" s="390"/>
      <c r="X302" s="1351"/>
      <c r="Y302" s="246"/>
      <c r="Z302" s="246"/>
      <c r="AA302" s="246"/>
      <c r="AC302" s="2224"/>
      <c r="AF302" s="2224"/>
      <c r="AG302" s="2224"/>
      <c r="AK302" s="2224"/>
      <c r="AL302" s="2224"/>
      <c r="AP302" s="2224"/>
      <c r="AR302" s="2224">
        <f t="shared" si="63"/>
        <v>0</v>
      </c>
      <c r="AS302" s="2224"/>
      <c r="AU302" s="1352"/>
    </row>
    <row r="303" spans="2:47" ht="12.6" customHeight="1" x14ac:dyDescent="0.2">
      <c r="B303" s="2273"/>
      <c r="C303" s="3660" t="s">
        <v>280</v>
      </c>
      <c r="D303" s="3660"/>
      <c r="E303" s="3660"/>
      <c r="F303" s="3660"/>
      <c r="G303" s="3660"/>
      <c r="H303" s="3660"/>
      <c r="I303" s="3660"/>
      <c r="J303" s="3660"/>
      <c r="K303" s="3660"/>
      <c r="L303" s="3660"/>
      <c r="M303" s="3660"/>
      <c r="N303" s="3660"/>
      <c r="O303" s="3660"/>
      <c r="P303" s="3660"/>
      <c r="Q303" s="3660"/>
      <c r="R303" s="3660"/>
      <c r="S303" s="3660"/>
      <c r="T303" s="3660"/>
      <c r="U303" s="3660"/>
      <c r="V303" s="3660"/>
      <c r="W303" s="3660"/>
      <c r="X303" s="3660"/>
      <c r="Y303" s="3660"/>
      <c r="Z303" s="2274"/>
      <c r="AC303" s="2224"/>
      <c r="AF303" s="2224">
        <f t="shared" si="69"/>
        <v>0</v>
      </c>
      <c r="AG303" s="2224">
        <f t="shared" si="70"/>
        <v>0</v>
      </c>
      <c r="AK303" s="2224">
        <f t="shared" si="71"/>
        <v>0</v>
      </c>
      <c r="AL303" s="2224">
        <f t="shared" si="72"/>
        <v>0</v>
      </c>
      <c r="AP303" s="2224">
        <f t="shared" si="67"/>
        <v>0</v>
      </c>
      <c r="AR303" s="2224">
        <f t="shared" si="63"/>
        <v>0</v>
      </c>
      <c r="AS303" s="2224">
        <f t="shared" si="68"/>
        <v>0</v>
      </c>
    </row>
    <row r="304" spans="2:47" ht="21" customHeight="1" x14ac:dyDescent="0.2">
      <c r="B304" s="3574" t="s">
        <v>32</v>
      </c>
      <c r="C304" s="3574"/>
      <c r="D304" s="3574"/>
      <c r="E304" s="3574"/>
      <c r="F304" s="3574"/>
      <c r="G304" s="3574"/>
      <c r="H304" s="3574"/>
      <c r="I304" s="3574"/>
      <c r="J304" s="3574"/>
      <c r="K304" s="3574"/>
      <c r="L304" s="3574"/>
      <c r="M304" s="3574"/>
      <c r="N304" s="3574"/>
      <c r="O304" s="3574"/>
      <c r="P304" s="3574"/>
      <c r="Q304" s="3574"/>
      <c r="R304" s="3574"/>
      <c r="S304" s="3574"/>
      <c r="T304" s="3574"/>
      <c r="U304" s="3574"/>
      <c r="V304" s="3574"/>
      <c r="W304" s="3574"/>
      <c r="X304" s="3574"/>
      <c r="Y304" s="3574"/>
      <c r="Z304" s="3574"/>
      <c r="AA304" s="3574"/>
      <c r="AC304" s="2224"/>
      <c r="AF304" s="2224">
        <f t="shared" si="69"/>
        <v>0</v>
      </c>
      <c r="AG304" s="2224">
        <f t="shared" si="70"/>
        <v>0</v>
      </c>
      <c r="AK304" s="2224">
        <f t="shared" si="71"/>
        <v>0</v>
      </c>
      <c r="AL304" s="2224">
        <f t="shared" si="72"/>
        <v>0</v>
      </c>
      <c r="AP304" s="2224">
        <f t="shared" si="67"/>
        <v>0</v>
      </c>
      <c r="AR304" s="2224">
        <f t="shared" si="63"/>
        <v>0</v>
      </c>
      <c r="AS304" s="2224">
        <f t="shared" si="68"/>
        <v>0</v>
      </c>
    </row>
    <row r="305" spans="2:47" ht="21" customHeight="1" x14ac:dyDescent="0.2">
      <c r="B305" s="3574" t="s">
        <v>45</v>
      </c>
      <c r="C305" s="3574"/>
      <c r="D305" s="3574"/>
      <c r="E305" s="3574"/>
      <c r="F305" s="3574"/>
      <c r="G305" s="3574"/>
      <c r="H305" s="3574"/>
      <c r="I305" s="3574"/>
      <c r="J305" s="3574"/>
      <c r="K305" s="3574"/>
      <c r="L305" s="3574"/>
      <c r="M305" s="3574"/>
      <c r="N305" s="3574"/>
      <c r="O305" s="3574"/>
      <c r="P305" s="3574"/>
      <c r="Q305" s="3574"/>
      <c r="R305" s="3574"/>
      <c r="S305" s="3574"/>
      <c r="T305" s="3574"/>
      <c r="U305" s="3574"/>
      <c r="V305" s="3574"/>
      <c r="W305" s="3574"/>
      <c r="X305" s="3574"/>
      <c r="Y305" s="3574"/>
      <c r="Z305" s="3574"/>
      <c r="AA305" s="3574"/>
      <c r="AC305" s="2224"/>
      <c r="AF305" s="2224">
        <f t="shared" si="69"/>
        <v>0</v>
      </c>
      <c r="AG305" s="2224">
        <f t="shared" si="70"/>
        <v>0</v>
      </c>
      <c r="AK305" s="2224">
        <f t="shared" si="71"/>
        <v>0</v>
      </c>
      <c r="AL305" s="2224">
        <f t="shared" si="72"/>
        <v>0</v>
      </c>
      <c r="AP305" s="2224">
        <f t="shared" si="67"/>
        <v>0</v>
      </c>
      <c r="AR305" s="2224">
        <f t="shared" si="63"/>
        <v>0</v>
      </c>
      <c r="AS305" s="2224">
        <f t="shared" si="68"/>
        <v>0</v>
      </c>
    </row>
    <row r="306" spans="2:47" ht="21" customHeight="1" x14ac:dyDescent="0.2">
      <c r="B306" s="3574" t="s">
        <v>46</v>
      </c>
      <c r="C306" s="3574"/>
      <c r="D306" s="3574"/>
      <c r="E306" s="3574"/>
      <c r="F306" s="3574"/>
      <c r="G306" s="3574"/>
      <c r="H306" s="3574"/>
      <c r="I306" s="3574"/>
      <c r="J306" s="3574"/>
      <c r="K306" s="3574"/>
      <c r="L306" s="3574"/>
      <c r="M306" s="3574"/>
      <c r="N306" s="3574"/>
      <c r="O306" s="3574"/>
      <c r="P306" s="3574"/>
      <c r="Q306" s="3574"/>
      <c r="R306" s="3574"/>
      <c r="S306" s="3574"/>
      <c r="T306" s="3574"/>
      <c r="U306" s="3574"/>
      <c r="V306" s="3574"/>
      <c r="W306" s="3574"/>
      <c r="X306" s="3574"/>
      <c r="Y306" s="3574"/>
      <c r="Z306" s="3574"/>
      <c r="AA306" s="3574"/>
      <c r="AC306" s="2224"/>
      <c r="AF306" s="2224">
        <f t="shared" si="69"/>
        <v>0</v>
      </c>
      <c r="AG306" s="2224">
        <f t="shared" si="70"/>
        <v>0</v>
      </c>
      <c r="AK306" s="2224">
        <f t="shared" si="71"/>
        <v>0</v>
      </c>
      <c r="AL306" s="2224">
        <f t="shared" si="72"/>
        <v>0</v>
      </c>
      <c r="AP306" s="2224">
        <f t="shared" si="67"/>
        <v>0</v>
      </c>
      <c r="AR306" s="2224">
        <f t="shared" si="63"/>
        <v>0</v>
      </c>
      <c r="AS306" s="2224">
        <f t="shared" si="68"/>
        <v>0</v>
      </c>
    </row>
    <row r="307" spans="2:47" ht="21" customHeight="1" x14ac:dyDescent="0.2">
      <c r="B307" s="3572" t="s">
        <v>1992</v>
      </c>
      <c r="C307" s="3572"/>
      <c r="D307" s="3572"/>
      <c r="E307" s="3572"/>
      <c r="F307" s="3572"/>
      <c r="G307" s="3572"/>
      <c r="H307" s="3572"/>
      <c r="I307" s="3572"/>
      <c r="J307" s="3572"/>
      <c r="K307" s="3572"/>
      <c r="L307" s="3572"/>
      <c r="M307" s="3572"/>
      <c r="N307" s="3572"/>
      <c r="O307" s="3572"/>
      <c r="P307" s="3572"/>
      <c r="Q307" s="3572"/>
      <c r="R307" s="3572"/>
      <c r="S307" s="3572"/>
      <c r="T307" s="3572"/>
      <c r="U307" s="3572"/>
      <c r="V307" s="3572"/>
      <c r="W307" s="3572"/>
      <c r="X307" s="3572"/>
      <c r="Y307" s="3572"/>
      <c r="Z307" s="3572"/>
      <c r="AA307" s="3572"/>
      <c r="AC307" s="2224"/>
      <c r="AF307" s="2224">
        <f t="shared" si="69"/>
        <v>0</v>
      </c>
      <c r="AG307" s="2224">
        <f t="shared" si="70"/>
        <v>0</v>
      </c>
      <c r="AK307" s="2224">
        <f t="shared" si="71"/>
        <v>0</v>
      </c>
      <c r="AL307" s="2224">
        <f t="shared" si="72"/>
        <v>0</v>
      </c>
      <c r="AP307" s="2224">
        <f t="shared" si="67"/>
        <v>0</v>
      </c>
      <c r="AR307" s="2224">
        <f t="shared" si="63"/>
        <v>0</v>
      </c>
      <c r="AS307" s="2224">
        <f t="shared" si="68"/>
        <v>0</v>
      </c>
    </row>
    <row r="308" spans="2:47" ht="21" customHeight="1" x14ac:dyDescent="0.2">
      <c r="B308" s="3664" t="s">
        <v>894</v>
      </c>
      <c r="C308" s="3664"/>
      <c r="D308" s="3664"/>
      <c r="E308" s="1252"/>
      <c r="F308" s="1252"/>
      <c r="G308" s="1252"/>
      <c r="H308" s="1252"/>
      <c r="I308" s="2239"/>
      <c r="J308" s="2239"/>
      <c r="K308" s="2239"/>
      <c r="L308" s="2239"/>
      <c r="M308" s="2239"/>
      <c r="N308" s="2239"/>
      <c r="O308" s="2239"/>
      <c r="P308" s="2239"/>
      <c r="Q308" s="2239"/>
      <c r="R308" s="2239"/>
      <c r="S308" s="2239"/>
      <c r="T308" s="2239"/>
      <c r="U308" s="2239"/>
      <c r="V308" s="2239"/>
      <c r="W308" s="3665" t="s">
        <v>338</v>
      </c>
      <c r="X308" s="3665"/>
      <c r="Y308" s="2240"/>
      <c r="Z308" s="2240"/>
      <c r="AA308" s="2240"/>
      <c r="AC308" s="2224"/>
      <c r="AF308" s="2224">
        <f t="shared" si="69"/>
        <v>0</v>
      </c>
      <c r="AG308" s="2224">
        <f t="shared" si="70"/>
        <v>0</v>
      </c>
      <c r="AK308" s="2224" t="e">
        <f t="shared" si="71"/>
        <v>#VALUE!</v>
      </c>
      <c r="AL308" s="2224" t="e">
        <f t="shared" si="72"/>
        <v>#VALUE!</v>
      </c>
      <c r="AP308" s="2224" t="e">
        <f t="shared" si="67"/>
        <v>#VALUE!</v>
      </c>
      <c r="AR308" s="2224" t="e">
        <f t="shared" si="63"/>
        <v>#VALUE!</v>
      </c>
      <c r="AS308" s="2224" t="e">
        <f t="shared" si="68"/>
        <v>#VALUE!</v>
      </c>
      <c r="AU308" s="2240"/>
    </row>
    <row r="309" spans="2:47" ht="30" customHeight="1" x14ac:dyDescent="0.2">
      <c r="B309" s="3666" t="s">
        <v>419</v>
      </c>
      <c r="C309" s="3659" t="s">
        <v>196</v>
      </c>
      <c r="D309" s="3677" t="s">
        <v>197</v>
      </c>
      <c r="E309" s="3647" t="s">
        <v>1391</v>
      </c>
      <c r="F309" s="3682" t="s">
        <v>1116</v>
      </c>
      <c r="G309" s="3682"/>
      <c r="H309" s="3662" t="s">
        <v>1993</v>
      </c>
      <c r="I309" s="3650" t="s">
        <v>1244</v>
      </c>
      <c r="J309" s="3650"/>
      <c r="K309" s="2216" t="s">
        <v>340</v>
      </c>
      <c r="L309" s="2216"/>
      <c r="M309" s="2216"/>
      <c r="N309" s="3661" t="s">
        <v>341</v>
      </c>
      <c r="O309" s="3661"/>
      <c r="P309" s="3651" t="s">
        <v>1012</v>
      </c>
      <c r="Q309" s="3652"/>
      <c r="R309" s="3652"/>
      <c r="S309" s="3652"/>
      <c r="T309" s="3653"/>
      <c r="U309" s="2217"/>
      <c r="V309" s="3650" t="s">
        <v>1334</v>
      </c>
      <c r="W309" s="3649" t="s">
        <v>898</v>
      </c>
      <c r="X309" s="3648" t="s">
        <v>1986</v>
      </c>
      <c r="Y309" s="2240"/>
      <c r="Z309" s="2240"/>
      <c r="AA309" s="2240"/>
      <c r="AC309" s="2224"/>
      <c r="AF309" s="2224">
        <f t="shared" si="69"/>
        <v>0</v>
      </c>
      <c r="AG309" s="2224" t="e">
        <f t="shared" si="70"/>
        <v>#VALUE!</v>
      </c>
      <c r="AK309" s="2224" t="e">
        <f t="shared" si="71"/>
        <v>#VALUE!</v>
      </c>
      <c r="AL309" s="2224" t="e">
        <f t="shared" si="72"/>
        <v>#VALUE!</v>
      </c>
      <c r="AP309" s="2224" t="e">
        <f t="shared" si="67"/>
        <v>#VALUE!</v>
      </c>
      <c r="AR309" s="2224" t="e">
        <f t="shared" si="63"/>
        <v>#VALUE!</v>
      </c>
      <c r="AS309" s="2224" t="e">
        <f t="shared" si="68"/>
        <v>#VALUE!</v>
      </c>
    </row>
    <row r="310" spans="2:47" ht="64.900000000000006" customHeight="1" x14ac:dyDescent="0.2">
      <c r="B310" s="3666"/>
      <c r="C310" s="3659"/>
      <c r="D310" s="3677"/>
      <c r="E310" s="3647"/>
      <c r="F310" s="1409" t="s">
        <v>1955</v>
      </c>
      <c r="G310" s="1409" t="s">
        <v>1956</v>
      </c>
      <c r="H310" s="3662"/>
      <c r="I310" s="3650"/>
      <c r="J310" s="3650"/>
      <c r="K310" s="2220" t="s">
        <v>315</v>
      </c>
      <c r="L310" s="2220" t="s">
        <v>891</v>
      </c>
      <c r="M310" s="2216" t="s">
        <v>314</v>
      </c>
      <c r="N310" s="2216" t="s">
        <v>1076</v>
      </c>
      <c r="O310" s="2216" t="s">
        <v>18</v>
      </c>
      <c r="P310" s="2220" t="s">
        <v>892</v>
      </c>
      <c r="Q310" s="2220" t="s">
        <v>826</v>
      </c>
      <c r="R310" s="2220" t="s">
        <v>315</v>
      </c>
      <c r="S310" s="2216"/>
      <c r="T310" s="2216" t="s">
        <v>1180</v>
      </c>
      <c r="U310" s="2216"/>
      <c r="V310" s="3650"/>
      <c r="W310" s="3649"/>
      <c r="X310" s="3648"/>
      <c r="Y310" s="2240"/>
      <c r="Z310" s="2240"/>
      <c r="AA310" s="2240"/>
      <c r="AC310" s="2224"/>
      <c r="AF310" s="2224">
        <f t="shared" si="69"/>
        <v>0</v>
      </c>
      <c r="AG310" s="2224">
        <f t="shared" si="70"/>
        <v>0</v>
      </c>
      <c r="AK310" s="2224" t="e">
        <f t="shared" si="71"/>
        <v>#VALUE!</v>
      </c>
      <c r="AL310" s="2224" t="e">
        <f t="shared" si="72"/>
        <v>#VALUE!</v>
      </c>
      <c r="AP310" s="2224" t="e">
        <f t="shared" si="67"/>
        <v>#VALUE!</v>
      </c>
      <c r="AR310" s="2224" t="e">
        <f t="shared" si="63"/>
        <v>#VALUE!</v>
      </c>
      <c r="AS310" s="2224" t="e">
        <f t="shared" si="68"/>
        <v>#VALUE!</v>
      </c>
      <c r="AU310" s="2221" t="s">
        <v>1180</v>
      </c>
    </row>
    <row r="311" spans="2:47" ht="19.899999999999999" customHeight="1" x14ac:dyDescent="0.2">
      <c r="B311" s="3690" t="s">
        <v>180</v>
      </c>
      <c r="C311" s="3693" t="s">
        <v>181</v>
      </c>
      <c r="D311" s="3693"/>
      <c r="E311" s="1293">
        <f>E301</f>
        <v>32554595924416</v>
      </c>
      <c r="F311" s="1293">
        <f>F301</f>
        <v>0</v>
      </c>
      <c r="G311" s="1293">
        <f>G301</f>
        <v>0</v>
      </c>
      <c r="H311" s="1293">
        <f t="shared" ref="H311:X311" si="74">H301</f>
        <v>32554595924416</v>
      </c>
      <c r="I311" s="2280">
        <f t="shared" si="74"/>
        <v>0</v>
      </c>
      <c r="J311" s="2280">
        <f t="shared" si="74"/>
        <v>11935593739403</v>
      </c>
      <c r="K311" s="2280">
        <f t="shared" si="74"/>
        <v>0</v>
      </c>
      <c r="L311" s="2280">
        <f t="shared" si="74"/>
        <v>0</v>
      </c>
      <c r="M311" s="2280">
        <f t="shared" si="74"/>
        <v>0</v>
      </c>
      <c r="N311" s="2280">
        <f t="shared" si="74"/>
        <v>497367127405</v>
      </c>
      <c r="O311" s="2280">
        <f t="shared" si="74"/>
        <v>637440052584</v>
      </c>
      <c r="P311" s="2280">
        <f t="shared" si="74"/>
        <v>-1345525403506</v>
      </c>
      <c r="Q311" s="2280">
        <f t="shared" si="74"/>
        <v>-1315023704478</v>
      </c>
      <c r="R311" s="2280">
        <f t="shared" si="74"/>
        <v>0</v>
      </c>
      <c r="S311" s="2280">
        <f t="shared" si="74"/>
        <v>0</v>
      </c>
      <c r="T311" s="2280">
        <f t="shared" si="74"/>
        <v>0</v>
      </c>
      <c r="U311" s="2280">
        <f t="shared" si="74"/>
        <v>0</v>
      </c>
      <c r="V311" s="2280">
        <f t="shared" si="74"/>
        <v>-46208983180</v>
      </c>
      <c r="W311" s="2280">
        <f t="shared" si="74"/>
        <v>1047544409023</v>
      </c>
      <c r="X311" s="2283">
        <f t="shared" si="74"/>
        <v>43965783161667</v>
      </c>
      <c r="Y311" s="215" t="e">
        <f>#N/A</f>
        <v>#N/A</v>
      </c>
      <c r="Z311" s="2240"/>
      <c r="AA311" s="2240"/>
      <c r="AC311" s="2224"/>
      <c r="AF311" s="2224">
        <f t="shared" si="69"/>
        <v>76520379086083</v>
      </c>
      <c r="AG311" s="2224">
        <f t="shared" si="70"/>
        <v>-32554595924416</v>
      </c>
      <c r="AK311" s="2224">
        <f t="shared" si="71"/>
        <v>76566588069263</v>
      </c>
      <c r="AL311" s="2224">
        <f t="shared" si="72"/>
        <v>-32600804907596</v>
      </c>
      <c r="AP311" s="2224">
        <f t="shared" si="67"/>
        <v>0</v>
      </c>
      <c r="AR311" s="2224">
        <f t="shared" si="63"/>
        <v>43965783161667</v>
      </c>
      <c r="AS311" s="2224">
        <f t="shared" si="68"/>
        <v>0</v>
      </c>
      <c r="AU311" s="2167">
        <f>AU301</f>
        <v>-547248000000</v>
      </c>
    </row>
    <row r="312" spans="2:47" ht="19.899999999999999" customHeight="1" x14ac:dyDescent="0.2">
      <c r="B312" s="3690"/>
      <c r="C312" s="1762" t="s">
        <v>769</v>
      </c>
      <c r="D312" s="1208" t="s">
        <v>768</v>
      </c>
      <c r="E312" s="1255">
        <v>213884959</v>
      </c>
      <c r="F312" s="1255"/>
      <c r="G312" s="1255"/>
      <c r="H312" s="1255">
        <f>E312+G312+F312</f>
        <v>213884959</v>
      </c>
      <c r="I312" s="1779"/>
      <c r="J312" s="1780">
        <f t="shared" ref="J312:J327" si="75">X312-O312-N312-P312-Q312-K312-R312-W312-E312-T312-I312-V312-F312-G312</f>
        <v>0</v>
      </c>
      <c r="K312" s="2258"/>
      <c r="L312" s="2258"/>
      <c r="M312" s="2258"/>
      <c r="N312" s="510"/>
      <c r="O312" s="510"/>
      <c r="P312" s="2258"/>
      <c r="Q312" s="2258"/>
      <c r="R312" s="2241"/>
      <c r="T312" s="510"/>
      <c r="V312" s="510"/>
      <c r="W312" s="510"/>
      <c r="X312" s="1740">
        <v>213884959</v>
      </c>
      <c r="Y312" s="261"/>
      <c r="Z312" s="2240"/>
      <c r="AA312" s="2240"/>
      <c r="AC312" s="2224"/>
      <c r="AF312" s="2224">
        <f t="shared" si="69"/>
        <v>427769918</v>
      </c>
      <c r="AG312" s="2224">
        <f t="shared" si="70"/>
        <v>-213884959</v>
      </c>
      <c r="AK312" s="2224">
        <f t="shared" si="71"/>
        <v>427769918</v>
      </c>
      <c r="AL312" s="2224">
        <f t="shared" si="72"/>
        <v>-213884959</v>
      </c>
      <c r="AP312" s="2224">
        <f t="shared" si="67"/>
        <v>0</v>
      </c>
      <c r="AR312" s="2224">
        <f t="shared" si="63"/>
        <v>213884959</v>
      </c>
      <c r="AS312" s="2224">
        <f t="shared" si="68"/>
        <v>0</v>
      </c>
      <c r="AU312" s="234"/>
    </row>
    <row r="313" spans="2:47" ht="19.899999999999999" customHeight="1" x14ac:dyDescent="0.2">
      <c r="B313" s="3690"/>
      <c r="C313" s="1762" t="s">
        <v>771</v>
      </c>
      <c r="D313" s="1208" t="s">
        <v>770</v>
      </c>
      <c r="E313" s="1255">
        <v>1019509766</v>
      </c>
      <c r="F313" s="1255"/>
      <c r="G313" s="1255"/>
      <c r="H313" s="1255">
        <f t="shared" ref="H313:H327" si="76">E313+G313+F313</f>
        <v>1019509766</v>
      </c>
      <c r="I313" s="1779"/>
      <c r="J313" s="1780">
        <f t="shared" si="75"/>
        <v>0</v>
      </c>
      <c r="K313" s="2258"/>
      <c r="L313" s="2258"/>
      <c r="M313" s="2258"/>
      <c r="N313" s="510"/>
      <c r="O313" s="510"/>
      <c r="P313" s="2258"/>
      <c r="Q313" s="2258"/>
      <c r="R313" s="2270"/>
      <c r="T313" s="510"/>
      <c r="V313" s="510"/>
      <c r="W313" s="510"/>
      <c r="X313" s="1740">
        <v>1019509766</v>
      </c>
      <c r="Y313" s="261"/>
      <c r="Z313" s="2240"/>
      <c r="AA313" s="2240"/>
      <c r="AC313" s="2224"/>
      <c r="AF313" s="2224">
        <f t="shared" si="69"/>
        <v>2039019532</v>
      </c>
      <c r="AG313" s="2224">
        <f t="shared" si="70"/>
        <v>-1019509766</v>
      </c>
      <c r="AK313" s="2224">
        <f t="shared" si="71"/>
        <v>2039019532</v>
      </c>
      <c r="AL313" s="2224">
        <f t="shared" si="72"/>
        <v>-1019509766</v>
      </c>
      <c r="AP313" s="2224">
        <f t="shared" si="67"/>
        <v>0</v>
      </c>
      <c r="AR313" s="2224">
        <f t="shared" si="63"/>
        <v>1019509766</v>
      </c>
      <c r="AS313" s="2224">
        <f t="shared" si="68"/>
        <v>0</v>
      </c>
      <c r="AU313" s="234"/>
    </row>
    <row r="314" spans="2:47" ht="19.899999999999999" customHeight="1" x14ac:dyDescent="0.2">
      <c r="B314" s="3690"/>
      <c r="C314" s="1762" t="s">
        <v>773</v>
      </c>
      <c r="D314" s="1208" t="s">
        <v>772</v>
      </c>
      <c r="E314" s="1285">
        <v>3079672574</v>
      </c>
      <c r="F314" s="1285"/>
      <c r="G314" s="1255"/>
      <c r="H314" s="1255">
        <f t="shared" si="76"/>
        <v>3079672574</v>
      </c>
      <c r="I314" s="1779"/>
      <c r="J314" s="1780">
        <f t="shared" si="75"/>
        <v>0</v>
      </c>
      <c r="K314" s="2258"/>
      <c r="L314" s="2258"/>
      <c r="M314" s="2258"/>
      <c r="N314" s="510"/>
      <c r="O314" s="510"/>
      <c r="P314" s="2258"/>
      <c r="Q314" s="2258"/>
      <c r="R314" s="2270"/>
      <c r="T314" s="510"/>
      <c r="V314" s="510"/>
      <c r="W314" s="510"/>
      <c r="X314" s="1773">
        <v>3079672574</v>
      </c>
      <c r="Y314" s="261"/>
      <c r="Z314" s="2240"/>
      <c r="AA314" s="2240"/>
      <c r="AC314" s="2224"/>
      <c r="AF314" s="2224">
        <f t="shared" si="69"/>
        <v>6159345148</v>
      </c>
      <c r="AG314" s="2224">
        <f t="shared" si="70"/>
        <v>-3079672574</v>
      </c>
      <c r="AK314" s="2224">
        <f t="shared" si="71"/>
        <v>6159345148</v>
      </c>
      <c r="AL314" s="2224">
        <f t="shared" si="72"/>
        <v>-3079672574</v>
      </c>
      <c r="AP314" s="2224">
        <f t="shared" si="67"/>
        <v>0</v>
      </c>
      <c r="AR314" s="2224">
        <f t="shared" si="63"/>
        <v>3079672574</v>
      </c>
      <c r="AS314" s="2224">
        <f t="shared" si="68"/>
        <v>0</v>
      </c>
      <c r="AU314" s="234"/>
    </row>
    <row r="315" spans="2:47" ht="19.899999999999999" customHeight="1" x14ac:dyDescent="0.2">
      <c r="B315" s="3690"/>
      <c r="C315" s="1762" t="s">
        <v>775</v>
      </c>
      <c r="D315" s="1214" t="s">
        <v>774</v>
      </c>
      <c r="E315" s="1285">
        <v>1808546934</v>
      </c>
      <c r="F315" s="1285"/>
      <c r="G315" s="1255"/>
      <c r="H315" s="1255">
        <f t="shared" si="76"/>
        <v>1808546934</v>
      </c>
      <c r="I315" s="1779"/>
      <c r="J315" s="1780">
        <f t="shared" si="75"/>
        <v>0</v>
      </c>
      <c r="K315" s="2258"/>
      <c r="L315" s="2258"/>
      <c r="M315" s="2258"/>
      <c r="N315" s="510"/>
      <c r="O315" s="510"/>
      <c r="P315" s="2258"/>
      <c r="Q315" s="2258"/>
      <c r="R315" s="2270"/>
      <c r="T315" s="510"/>
      <c r="V315" s="510"/>
      <c r="W315" s="510"/>
      <c r="X315" s="1773">
        <v>1808546934</v>
      </c>
      <c r="Y315" s="261"/>
      <c r="Z315" s="2240"/>
      <c r="AA315" s="2240"/>
      <c r="AC315" s="2224"/>
      <c r="AF315" s="2224">
        <f t="shared" si="69"/>
        <v>3617093868</v>
      </c>
      <c r="AG315" s="2224">
        <f t="shared" si="70"/>
        <v>-1808546934</v>
      </c>
      <c r="AK315" s="2224">
        <f t="shared" si="71"/>
        <v>3617093868</v>
      </c>
      <c r="AL315" s="2224">
        <f t="shared" si="72"/>
        <v>-1808546934</v>
      </c>
      <c r="AP315" s="2224">
        <f t="shared" si="67"/>
        <v>0</v>
      </c>
      <c r="AR315" s="2224">
        <f t="shared" si="63"/>
        <v>1808546934</v>
      </c>
      <c r="AS315" s="2224">
        <f t="shared" si="68"/>
        <v>0</v>
      </c>
      <c r="AU315" s="234"/>
    </row>
    <row r="316" spans="2:47" ht="19.899999999999999" customHeight="1" x14ac:dyDescent="0.2">
      <c r="B316" s="3690"/>
      <c r="C316" s="1762" t="s">
        <v>777</v>
      </c>
      <c r="D316" s="1208" t="s">
        <v>776</v>
      </c>
      <c r="E316" s="1285">
        <v>1000271852</v>
      </c>
      <c r="F316" s="1285"/>
      <c r="G316" s="1255"/>
      <c r="H316" s="1255">
        <f t="shared" si="76"/>
        <v>1000271852</v>
      </c>
      <c r="I316" s="1779"/>
      <c r="J316" s="1780">
        <f t="shared" si="75"/>
        <v>0</v>
      </c>
      <c r="K316" s="2258"/>
      <c r="L316" s="2258"/>
      <c r="M316" s="2258"/>
      <c r="N316" s="510"/>
      <c r="O316" s="510"/>
      <c r="P316" s="2258"/>
      <c r="Q316" s="2258">
        <f>-'مطالبات بلند مدت دولت ياددا (2)'!G86</f>
        <v>0</v>
      </c>
      <c r="R316" s="1258"/>
      <c r="T316" s="510"/>
      <c r="V316" s="510"/>
      <c r="W316" s="510"/>
      <c r="X316" s="1773">
        <v>1000271852</v>
      </c>
      <c r="Y316" s="261"/>
      <c r="Z316" s="2240"/>
      <c r="AA316" s="2240"/>
      <c r="AC316" s="2224"/>
      <c r="AF316" s="2224">
        <f t="shared" si="69"/>
        <v>2000543704</v>
      </c>
      <c r="AG316" s="2224">
        <f t="shared" si="70"/>
        <v>-1000271852</v>
      </c>
      <c r="AK316" s="2224">
        <f t="shared" si="71"/>
        <v>2000543704</v>
      </c>
      <c r="AL316" s="2224">
        <f t="shared" si="72"/>
        <v>-1000271852</v>
      </c>
      <c r="AP316" s="2224">
        <v>-228560</v>
      </c>
      <c r="AR316" s="2224">
        <f t="shared" si="63"/>
        <v>1000271852</v>
      </c>
      <c r="AS316" s="2224">
        <f t="shared" si="68"/>
        <v>0</v>
      </c>
      <c r="AU316" s="234"/>
    </row>
    <row r="317" spans="2:47" ht="19.899999999999999" customHeight="1" x14ac:dyDescent="0.2">
      <c r="B317" s="3690"/>
      <c r="C317" s="1762" t="s">
        <v>779</v>
      </c>
      <c r="D317" s="1208" t="s">
        <v>778</v>
      </c>
      <c r="E317" s="1285">
        <v>4692270963</v>
      </c>
      <c r="F317" s="1285"/>
      <c r="G317" s="1255"/>
      <c r="H317" s="1255">
        <f t="shared" si="76"/>
        <v>4692270963</v>
      </c>
      <c r="I317" s="1779"/>
      <c r="J317" s="1780">
        <f t="shared" si="75"/>
        <v>0</v>
      </c>
      <c r="K317" s="2258"/>
      <c r="L317" s="2258"/>
      <c r="M317" s="2258"/>
      <c r="N317" s="510"/>
      <c r="O317" s="510"/>
      <c r="P317" s="2258"/>
      <c r="Q317" s="2258"/>
      <c r="R317" s="1258"/>
      <c r="T317" s="510"/>
      <c r="V317" s="510"/>
      <c r="W317" s="510"/>
      <c r="X317" s="1773">
        <v>4692270963</v>
      </c>
      <c r="Y317" s="261"/>
      <c r="Z317" s="2240"/>
      <c r="AA317" s="2240"/>
      <c r="AC317" s="2224"/>
      <c r="AF317" s="2224">
        <f t="shared" si="69"/>
        <v>9384541926</v>
      </c>
      <c r="AG317" s="2224">
        <f t="shared" si="70"/>
        <v>-4692270963</v>
      </c>
      <c r="AK317" s="2224">
        <f t="shared" si="71"/>
        <v>9384541926</v>
      </c>
      <c r="AL317" s="2224">
        <f t="shared" si="72"/>
        <v>-4692270963</v>
      </c>
      <c r="AP317" s="2224">
        <f t="shared" si="67"/>
        <v>0</v>
      </c>
      <c r="AR317" s="2224">
        <f t="shared" si="63"/>
        <v>4692270963</v>
      </c>
      <c r="AS317" s="2224">
        <f t="shared" si="68"/>
        <v>0</v>
      </c>
      <c r="AU317" s="234"/>
    </row>
    <row r="318" spans="2:47" ht="19.899999999999999" customHeight="1" x14ac:dyDescent="0.2">
      <c r="B318" s="3690"/>
      <c r="C318" s="1762" t="s">
        <v>781</v>
      </c>
      <c r="D318" s="1208" t="s">
        <v>780</v>
      </c>
      <c r="E318" s="1285">
        <v>3189339143</v>
      </c>
      <c r="F318" s="1285"/>
      <c r="G318" s="1255"/>
      <c r="H318" s="1255">
        <f t="shared" si="76"/>
        <v>3189339143</v>
      </c>
      <c r="I318" s="1779"/>
      <c r="J318" s="1780">
        <f t="shared" si="75"/>
        <v>0</v>
      </c>
      <c r="K318" s="2258"/>
      <c r="L318" s="2258"/>
      <c r="M318" s="2278"/>
      <c r="N318" s="1246"/>
      <c r="O318" s="1246"/>
      <c r="P318" s="2278"/>
      <c r="Q318" s="2278"/>
      <c r="R318" s="1258"/>
      <c r="T318" s="1246"/>
      <c r="V318" s="1246"/>
      <c r="W318" s="1246"/>
      <c r="X318" s="1773">
        <v>3189339143</v>
      </c>
      <c r="Y318" s="261"/>
      <c r="Z318" s="2240"/>
      <c r="AA318" s="2240"/>
      <c r="AC318" s="2224"/>
      <c r="AF318" s="2224">
        <f t="shared" si="69"/>
        <v>6378678286</v>
      </c>
      <c r="AG318" s="2224">
        <f t="shared" si="70"/>
        <v>-3189339143</v>
      </c>
      <c r="AK318" s="2224">
        <f t="shared" si="71"/>
        <v>6378678286</v>
      </c>
      <c r="AL318" s="2224">
        <f t="shared" si="72"/>
        <v>-3189339143</v>
      </c>
      <c r="AP318" s="2224">
        <f t="shared" si="67"/>
        <v>0</v>
      </c>
      <c r="AR318" s="2224">
        <f t="shared" si="63"/>
        <v>3189339143</v>
      </c>
      <c r="AS318" s="2224">
        <f t="shared" si="68"/>
        <v>0</v>
      </c>
      <c r="AU318" s="238"/>
    </row>
    <row r="319" spans="2:47" ht="19.899999999999999" customHeight="1" x14ac:dyDescent="0.2">
      <c r="B319" s="3690"/>
      <c r="C319" s="1762" t="s">
        <v>782</v>
      </c>
      <c r="D319" s="1208" t="s">
        <v>712</v>
      </c>
      <c r="E319" s="1255">
        <v>1689496574</v>
      </c>
      <c r="F319" s="1255"/>
      <c r="G319" s="1255"/>
      <c r="H319" s="1255">
        <f t="shared" si="76"/>
        <v>1689496574</v>
      </c>
      <c r="I319" s="1779"/>
      <c r="J319" s="1780">
        <f t="shared" si="75"/>
        <v>0</v>
      </c>
      <c r="K319" s="2258"/>
      <c r="L319" s="2286"/>
      <c r="M319" s="1789"/>
      <c r="N319" s="240"/>
      <c r="O319" s="240"/>
      <c r="P319" s="1779"/>
      <c r="Q319" s="1779"/>
      <c r="R319" s="240"/>
      <c r="T319" s="240"/>
      <c r="V319" s="240"/>
      <c r="W319" s="240"/>
      <c r="X319" s="1740">
        <v>1689496574</v>
      </c>
      <c r="Y319" s="2240"/>
      <c r="Z319" s="2240"/>
      <c r="AA319" s="2240"/>
      <c r="AC319" s="2224"/>
      <c r="AF319" s="2224">
        <f t="shared" si="69"/>
        <v>3378993148</v>
      </c>
      <c r="AG319" s="2224">
        <f t="shared" si="70"/>
        <v>-1689496574</v>
      </c>
      <c r="AK319" s="2224">
        <f t="shared" si="71"/>
        <v>3378993148</v>
      </c>
      <c r="AL319" s="2224">
        <f t="shared" si="72"/>
        <v>-1689496574</v>
      </c>
      <c r="AP319" s="2224">
        <f t="shared" si="67"/>
        <v>0</v>
      </c>
      <c r="AR319" s="2224">
        <f t="shared" si="63"/>
        <v>1689496574</v>
      </c>
      <c r="AS319" s="2224">
        <f t="shared" si="68"/>
        <v>0</v>
      </c>
      <c r="AU319" s="235"/>
    </row>
    <row r="320" spans="2:47" ht="19.899999999999999" customHeight="1" x14ac:dyDescent="0.2">
      <c r="B320" s="3690"/>
      <c r="C320" s="1762" t="s">
        <v>784</v>
      </c>
      <c r="D320" s="1208" t="s">
        <v>783</v>
      </c>
      <c r="E320" s="1255">
        <v>2000903840</v>
      </c>
      <c r="F320" s="1255"/>
      <c r="G320" s="1255"/>
      <c r="H320" s="1255">
        <f t="shared" si="76"/>
        <v>2000903840</v>
      </c>
      <c r="I320" s="1815"/>
      <c r="J320" s="1780">
        <f t="shared" si="75"/>
        <v>0</v>
      </c>
      <c r="K320" s="2278"/>
      <c r="L320" s="2287"/>
      <c r="M320" s="1789"/>
      <c r="N320" s="240"/>
      <c r="O320" s="240"/>
      <c r="P320" s="1779"/>
      <c r="Q320" s="1779"/>
      <c r="R320" s="240"/>
      <c r="T320" s="240"/>
      <c r="V320" s="240"/>
      <c r="W320" s="240"/>
      <c r="X320" s="1740">
        <v>2000903840</v>
      </c>
      <c r="Y320" s="2240"/>
      <c r="Z320" s="2240"/>
      <c r="AA320" s="2240"/>
      <c r="AC320" s="2224"/>
      <c r="AF320" s="2224">
        <f t="shared" si="69"/>
        <v>4001807680</v>
      </c>
      <c r="AG320" s="2224">
        <f t="shared" si="70"/>
        <v>-2000903840</v>
      </c>
      <c r="AK320" s="2224">
        <f t="shared" si="71"/>
        <v>4001807680</v>
      </c>
      <c r="AL320" s="2224">
        <f t="shared" si="72"/>
        <v>-2000903840</v>
      </c>
      <c r="AP320" s="2224">
        <f t="shared" si="67"/>
        <v>0</v>
      </c>
      <c r="AR320" s="2224">
        <f t="shared" si="63"/>
        <v>2000903840</v>
      </c>
      <c r="AS320" s="2224">
        <f t="shared" si="68"/>
        <v>0</v>
      </c>
      <c r="AU320" s="235"/>
    </row>
    <row r="321" spans="2:47" ht="19.899999999999999" customHeight="1" x14ac:dyDescent="0.2">
      <c r="B321" s="3690"/>
      <c r="C321" s="1762" t="s">
        <v>785</v>
      </c>
      <c r="D321" s="1208" t="s">
        <v>712</v>
      </c>
      <c r="E321" s="1255">
        <v>2953703431</v>
      </c>
      <c r="F321" s="1255"/>
      <c r="G321" s="1255"/>
      <c r="H321" s="1255">
        <f t="shared" si="76"/>
        <v>2953703431</v>
      </c>
      <c r="I321" s="1779"/>
      <c r="J321" s="1780">
        <f t="shared" si="75"/>
        <v>0</v>
      </c>
      <c r="K321" s="1779"/>
      <c r="L321" s="2256"/>
      <c r="M321" s="2256"/>
      <c r="N321" s="240"/>
      <c r="O321" s="240"/>
      <c r="P321" s="1779"/>
      <c r="Q321" s="1815"/>
      <c r="R321" s="848"/>
      <c r="T321" s="848"/>
      <c r="V321" s="848"/>
      <c r="W321" s="848"/>
      <c r="X321" s="1782">
        <v>2953703431</v>
      </c>
      <c r="Y321" s="2240"/>
      <c r="Z321" s="2240"/>
      <c r="AA321" s="2240"/>
      <c r="AC321" s="2224"/>
      <c r="AF321" s="2224">
        <f t="shared" si="69"/>
        <v>5907406862</v>
      </c>
      <c r="AG321" s="2224">
        <f t="shared" si="70"/>
        <v>-2953703431</v>
      </c>
      <c r="AK321" s="2224">
        <f t="shared" si="71"/>
        <v>5907406862</v>
      </c>
      <c r="AL321" s="2224">
        <f t="shared" si="72"/>
        <v>-2953703431</v>
      </c>
      <c r="AP321" s="2224">
        <f t="shared" si="67"/>
        <v>0</v>
      </c>
      <c r="AR321" s="2224">
        <f t="shared" si="63"/>
        <v>2953703431</v>
      </c>
      <c r="AS321" s="2224">
        <f t="shared" si="68"/>
        <v>0</v>
      </c>
      <c r="AU321" s="317"/>
    </row>
    <row r="322" spans="2:47" ht="19.899999999999999" customHeight="1" x14ac:dyDescent="0.2">
      <c r="B322" s="3690"/>
      <c r="C322" s="1783" t="s">
        <v>929</v>
      </c>
      <c r="D322" s="1200" t="s">
        <v>918</v>
      </c>
      <c r="E322" s="1300">
        <v>2244633333</v>
      </c>
      <c r="F322" s="1300"/>
      <c r="G322" s="1255"/>
      <c r="H322" s="1255">
        <f t="shared" si="76"/>
        <v>2244633333</v>
      </c>
      <c r="I322" s="1780"/>
      <c r="J322" s="1780">
        <f>X322-O322-N322-P322-Q322-K322-R322-W322-E322-T322-I322-V322-F322-G322</f>
        <v>0</v>
      </c>
      <c r="K322" s="1780"/>
      <c r="L322" s="1780"/>
      <c r="M322" s="1780"/>
      <c r="N322" s="1780"/>
      <c r="O322" s="1780"/>
      <c r="P322" s="1780"/>
      <c r="Q322" s="1780"/>
      <c r="R322" s="1780"/>
      <c r="S322" s="1823"/>
      <c r="T322" s="1780"/>
      <c r="U322" s="1823"/>
      <c r="V322" s="1780"/>
      <c r="W322" s="1780"/>
      <c r="X322" s="1746">
        <f>2244633333</f>
        <v>2244633333</v>
      </c>
      <c r="Y322" s="2240"/>
      <c r="Z322" s="2240"/>
      <c r="AA322" s="2240"/>
      <c r="AC322" s="2224"/>
      <c r="AF322" s="2224">
        <f t="shared" si="69"/>
        <v>4489266666</v>
      </c>
      <c r="AG322" s="2224">
        <f t="shared" si="70"/>
        <v>-2244633333</v>
      </c>
      <c r="AK322" s="2224">
        <f t="shared" si="71"/>
        <v>4489266666</v>
      </c>
      <c r="AL322" s="2224">
        <f t="shared" si="72"/>
        <v>-2244633333</v>
      </c>
      <c r="AP322" s="2224">
        <f t="shared" si="67"/>
        <v>0</v>
      </c>
      <c r="AR322" s="2224">
        <f t="shared" si="63"/>
        <v>2244633333</v>
      </c>
      <c r="AS322" s="2224">
        <f t="shared" si="68"/>
        <v>0</v>
      </c>
      <c r="AU322" s="1771"/>
    </row>
    <row r="323" spans="2:47" ht="42" customHeight="1" x14ac:dyDescent="0.2">
      <c r="B323" s="3690"/>
      <c r="C323" s="272" t="s">
        <v>540</v>
      </c>
      <c r="D323" s="1353" t="s">
        <v>541</v>
      </c>
      <c r="E323" s="1255">
        <v>361344248197</v>
      </c>
      <c r="F323" s="1255"/>
      <c r="G323" s="1255">
        <f>-'مطالبات بلند مدت دولت ياددا (2)'!E77</f>
        <v>0</v>
      </c>
      <c r="H323" s="1255">
        <f t="shared" si="76"/>
        <v>361344248197</v>
      </c>
      <c r="I323" s="1779"/>
      <c r="J323" s="1780">
        <f t="shared" si="75"/>
        <v>143446891867</v>
      </c>
      <c r="K323" s="1779"/>
      <c r="L323" s="1779"/>
      <c r="M323" s="1779"/>
      <c r="N323" s="2288">
        <f>-'يادداشت_-5موجودی_جنسی__(2)'!K38</f>
        <v>0</v>
      </c>
      <c r="O323" s="240">
        <f>-'پيش پرداخت سرمايه اي يادداشت 6'!I58</f>
        <v>7309935554</v>
      </c>
      <c r="P323" s="1779"/>
      <c r="Q323" s="1779">
        <f>-'مطالبات بلند مدت دولت ياددا (2)'!G77</f>
        <v>0</v>
      </c>
      <c r="R323" s="240"/>
      <c r="S323" s="1823"/>
      <c r="T323" s="240"/>
      <c r="U323" s="1823"/>
      <c r="V323" s="240"/>
      <c r="W323" s="240">
        <f>-690214080+48552750+300000000</f>
        <v>-341661330</v>
      </c>
      <c r="X323" s="550">
        <f>552633237613-X423</f>
        <v>511759414288</v>
      </c>
      <c r="Y323" s="2240"/>
      <c r="Z323" s="2240"/>
      <c r="AA323" s="2240"/>
      <c r="AC323" s="2224"/>
      <c r="AD323" s="2205">
        <f>X323-AE323</f>
        <v>388838076183</v>
      </c>
      <c r="AE323" s="235">
        <v>122921338105</v>
      </c>
      <c r="AF323" s="2224">
        <f t="shared" si="69"/>
        <v>873103662485</v>
      </c>
      <c r="AG323" s="2224">
        <f t="shared" si="70"/>
        <v>-361344248197</v>
      </c>
      <c r="AK323" s="2224">
        <f t="shared" si="71"/>
        <v>873103662485</v>
      </c>
      <c r="AL323" s="2224">
        <f t="shared" si="72"/>
        <v>-361344248197</v>
      </c>
      <c r="AO323" s="2204">
        <f>X323+X423</f>
        <v>552633237613</v>
      </c>
      <c r="AP323" s="2224">
        <f>V323+V324+V51+V169</f>
        <v>0</v>
      </c>
      <c r="AR323" s="2224">
        <f t="shared" si="63"/>
        <v>511759414288</v>
      </c>
      <c r="AS323" s="2224">
        <f t="shared" si="68"/>
        <v>0</v>
      </c>
      <c r="AU323" s="235">
        <v>-4127000000</v>
      </c>
    </row>
    <row r="324" spans="2:47" ht="19.899999999999999" customHeight="1" x14ac:dyDescent="0.2">
      <c r="B324" s="3690"/>
      <c r="C324" s="1762" t="s">
        <v>544</v>
      </c>
      <c r="D324" s="1200" t="s">
        <v>543</v>
      </c>
      <c r="E324" s="1255">
        <v>7425244478</v>
      </c>
      <c r="F324" s="1255">
        <f>-'يادداشت 8سرمايه گذاري در شركتها'!E152</f>
        <v>0</v>
      </c>
      <c r="G324" s="1255"/>
      <c r="H324" s="1255">
        <f t="shared" si="76"/>
        <v>7425244478</v>
      </c>
      <c r="I324" s="1823"/>
      <c r="J324" s="1780">
        <f t="shared" si="75"/>
        <v>0</v>
      </c>
      <c r="K324" s="1779"/>
      <c r="L324" s="1779"/>
      <c r="M324" s="1779"/>
      <c r="N324" s="1266"/>
      <c r="O324" s="240"/>
      <c r="P324" s="1779">
        <f>-'يادداشت 8سرمايه گذاري در شركتها'!G152</f>
        <v>0</v>
      </c>
      <c r="Q324" s="1779"/>
      <c r="R324" s="240"/>
      <c r="S324" s="1823"/>
      <c r="T324" s="240"/>
      <c r="U324" s="1823"/>
      <c r="V324" s="240"/>
      <c r="W324" s="240">
        <v>-7425244478</v>
      </c>
      <c r="X324" s="1270"/>
      <c r="Y324" s="2240"/>
      <c r="Z324" s="2240"/>
      <c r="AA324" s="2240"/>
      <c r="AC324" s="2224"/>
      <c r="AD324" s="2205">
        <f>X324-AE324</f>
        <v>-17653368084</v>
      </c>
      <c r="AE324" s="235">
        <v>17653368084</v>
      </c>
      <c r="AF324" s="2224">
        <f t="shared" si="69"/>
        <v>7425244478</v>
      </c>
      <c r="AG324" s="2224">
        <f t="shared" si="70"/>
        <v>-7425244478</v>
      </c>
      <c r="AK324" s="2224">
        <f t="shared" si="71"/>
        <v>7425244478</v>
      </c>
      <c r="AL324" s="2224">
        <f t="shared" si="72"/>
        <v>-7425244478</v>
      </c>
      <c r="AP324" s="2224">
        <f t="shared" si="67"/>
        <v>0</v>
      </c>
      <c r="AR324" s="2224">
        <f t="shared" si="63"/>
        <v>0</v>
      </c>
      <c r="AS324" s="2224">
        <f t="shared" si="68"/>
        <v>0</v>
      </c>
      <c r="AU324" s="235"/>
    </row>
    <row r="325" spans="2:47" ht="19.899999999999999" customHeight="1" x14ac:dyDescent="0.2">
      <c r="B325" s="3690"/>
      <c r="C325" s="1784" t="s">
        <v>117</v>
      </c>
      <c r="D325" s="1200" t="s">
        <v>365</v>
      </c>
      <c r="E325" s="1255">
        <v>4702950417</v>
      </c>
      <c r="F325" s="1255">
        <f>-'يادداشت 8سرمايه گذاري در شركتها'!E92</f>
        <v>0</v>
      </c>
      <c r="G325" s="1255"/>
      <c r="H325" s="1255">
        <f t="shared" si="76"/>
        <v>4702950417</v>
      </c>
      <c r="I325" s="1779"/>
      <c r="J325" s="1780">
        <f t="shared" si="75"/>
        <v>0</v>
      </c>
      <c r="K325" s="1779"/>
      <c r="L325" s="1779"/>
      <c r="M325" s="1779"/>
      <c r="N325" s="2289"/>
      <c r="O325" s="1243"/>
      <c r="P325" s="1779">
        <f>-'يادداشت 8سرمايه گذاري در شركتها'!G92</f>
        <v>0</v>
      </c>
      <c r="Q325" s="1779"/>
      <c r="R325" s="1779"/>
      <c r="S325" s="1823"/>
      <c r="T325" s="240"/>
      <c r="U325" s="1823"/>
      <c r="V325" s="240"/>
      <c r="W325" s="240">
        <f>-171808183</f>
        <v>-171808183</v>
      </c>
      <c r="X325" s="550">
        <v>4531142234</v>
      </c>
      <c r="Y325" s="2240"/>
      <c r="Z325" s="2240"/>
      <c r="AA325" s="2240"/>
      <c r="AC325" s="2224"/>
      <c r="AF325" s="2224">
        <f t="shared" si="69"/>
        <v>9234092651</v>
      </c>
      <c r="AG325" s="2224">
        <f t="shared" si="70"/>
        <v>-4702950417</v>
      </c>
      <c r="AK325" s="2224">
        <f t="shared" si="71"/>
        <v>9234092651</v>
      </c>
      <c r="AL325" s="2224">
        <f t="shared" si="72"/>
        <v>-4702950417</v>
      </c>
      <c r="AP325" s="2224">
        <f t="shared" si="67"/>
        <v>0</v>
      </c>
      <c r="AR325" s="2224">
        <f t="shared" si="63"/>
        <v>4531142234</v>
      </c>
      <c r="AS325" s="2224">
        <f t="shared" si="68"/>
        <v>0</v>
      </c>
      <c r="AU325" s="235"/>
    </row>
    <row r="326" spans="2:47" ht="19.899999999999999" customHeight="1" x14ac:dyDescent="0.2">
      <c r="B326" s="3690"/>
      <c r="C326" s="1784" t="s">
        <v>189</v>
      </c>
      <c r="D326" s="1200" t="s">
        <v>132</v>
      </c>
      <c r="E326" s="1255">
        <v>0</v>
      </c>
      <c r="F326" s="1255"/>
      <c r="G326" s="1255"/>
      <c r="H326" s="1255">
        <f t="shared" si="76"/>
        <v>0</v>
      </c>
      <c r="I326" s="240"/>
      <c r="J326" s="1780">
        <f t="shared" si="75"/>
        <v>0</v>
      </c>
      <c r="K326" s="240"/>
      <c r="L326" s="240"/>
      <c r="M326" s="240"/>
      <c r="N326" s="2290"/>
      <c r="O326" s="2291"/>
      <c r="P326" s="240"/>
      <c r="Q326" s="2292"/>
      <c r="R326" s="324"/>
      <c r="T326" s="1265"/>
      <c r="V326" s="2293"/>
      <c r="W326" s="324"/>
      <c r="X326" s="1819"/>
      <c r="Y326" s="2240"/>
      <c r="Z326" s="2240"/>
      <c r="AA326" s="2240"/>
      <c r="AC326" s="2224"/>
      <c r="AD326" s="2205">
        <f>X326-AE326</f>
        <v>-1927014734</v>
      </c>
      <c r="AE326" s="2294">
        <v>1927014734</v>
      </c>
      <c r="AF326" s="2224">
        <f t="shared" si="69"/>
        <v>0</v>
      </c>
      <c r="AG326" s="2224">
        <f t="shared" si="70"/>
        <v>0</v>
      </c>
      <c r="AK326" s="2224">
        <f t="shared" si="71"/>
        <v>0</v>
      </c>
      <c r="AL326" s="2224">
        <f t="shared" si="72"/>
        <v>0</v>
      </c>
      <c r="AP326" s="2224">
        <f t="shared" si="67"/>
        <v>0</v>
      </c>
      <c r="AR326" s="2224">
        <f t="shared" si="63"/>
        <v>0</v>
      </c>
      <c r="AS326" s="2224">
        <f t="shared" si="68"/>
        <v>0</v>
      </c>
      <c r="AU326" s="288"/>
    </row>
    <row r="327" spans="2:47" ht="19.899999999999999" customHeight="1" x14ac:dyDescent="0.2">
      <c r="B327" s="3690"/>
      <c r="C327" s="1785" t="s">
        <v>158</v>
      </c>
      <c r="D327" s="1200" t="s">
        <v>349</v>
      </c>
      <c r="E327" s="1255">
        <v>5322190720</v>
      </c>
      <c r="F327" s="1255"/>
      <c r="G327" s="1255"/>
      <c r="H327" s="1255">
        <f t="shared" si="76"/>
        <v>5322190720</v>
      </c>
      <c r="I327" s="240"/>
      <c r="J327" s="1780">
        <f t="shared" si="75"/>
        <v>0</v>
      </c>
      <c r="K327" s="240"/>
      <c r="L327" s="240"/>
      <c r="M327" s="240"/>
      <c r="N327" s="2290"/>
      <c r="P327" s="240"/>
      <c r="Q327" s="2290"/>
      <c r="R327" s="240"/>
      <c r="T327" s="1256"/>
      <c r="V327" s="2288"/>
      <c r="W327" s="240"/>
      <c r="X327" s="1255">
        <v>5322190720</v>
      </c>
      <c r="Y327" s="2240"/>
      <c r="Z327" s="2240"/>
      <c r="AA327" s="2240"/>
      <c r="AC327" s="2224"/>
      <c r="AF327" s="2224">
        <f t="shared" si="69"/>
        <v>10644381440</v>
      </c>
      <c r="AG327" s="2224">
        <f t="shared" si="70"/>
        <v>-5322190720</v>
      </c>
      <c r="AK327" s="2224">
        <f t="shared" si="71"/>
        <v>10644381440</v>
      </c>
      <c r="AL327" s="2224">
        <f t="shared" si="72"/>
        <v>-5322190720</v>
      </c>
      <c r="AP327" s="2224">
        <f t="shared" si="67"/>
        <v>0</v>
      </c>
      <c r="AR327" s="2224">
        <f t="shared" si="63"/>
        <v>5322190720</v>
      </c>
      <c r="AS327" s="2224">
        <f t="shared" si="68"/>
        <v>0</v>
      </c>
      <c r="AU327" s="255"/>
    </row>
    <row r="328" spans="2:47" ht="19.899999999999999" customHeight="1" x14ac:dyDescent="0.2">
      <c r="B328" s="3663" t="s">
        <v>786</v>
      </c>
      <c r="C328" s="3663"/>
      <c r="D328" s="3663"/>
      <c r="E328" s="1289">
        <f>SUM(E311:E327)</f>
        <v>32957282791597</v>
      </c>
      <c r="F328" s="1289">
        <f>SUM(F311:F327)</f>
        <v>0</v>
      </c>
      <c r="G328" s="1289">
        <f>SUM(G311:G327)</f>
        <v>0</v>
      </c>
      <c r="H328" s="1289">
        <f>SUM(H311:H327)</f>
        <v>32957282791597</v>
      </c>
      <c r="I328" s="294">
        <f t="shared" ref="I328:W328" si="77">SUM(I311:I327)</f>
        <v>0</v>
      </c>
      <c r="J328" s="294">
        <f t="shared" si="77"/>
        <v>12079040631270</v>
      </c>
      <c r="K328" s="294">
        <f t="shared" si="77"/>
        <v>0</v>
      </c>
      <c r="L328" s="294">
        <f t="shared" si="77"/>
        <v>0</v>
      </c>
      <c r="M328" s="294">
        <f t="shared" si="77"/>
        <v>0</v>
      </c>
      <c r="N328" s="294">
        <f t="shared" si="77"/>
        <v>497367127405</v>
      </c>
      <c r="O328" s="294">
        <f t="shared" si="77"/>
        <v>644749988138</v>
      </c>
      <c r="P328" s="294">
        <f t="shared" si="77"/>
        <v>-1345525403506</v>
      </c>
      <c r="Q328" s="294">
        <f t="shared" si="77"/>
        <v>-1315023704478</v>
      </c>
      <c r="R328" s="294">
        <f t="shared" si="77"/>
        <v>0</v>
      </c>
      <c r="S328" s="294">
        <f t="shared" si="77"/>
        <v>0</v>
      </c>
      <c r="T328" s="294">
        <f t="shared" si="77"/>
        <v>0</v>
      </c>
      <c r="U328" s="294">
        <f t="shared" si="77"/>
        <v>0</v>
      </c>
      <c r="V328" s="294">
        <f>SUM(V311:V327)</f>
        <v>-46208983180</v>
      </c>
      <c r="W328" s="294">
        <f t="shared" si="77"/>
        <v>1039605695032</v>
      </c>
      <c r="X328" s="553">
        <f>SUM(X311:X327)</f>
        <v>44511288142278</v>
      </c>
      <c r="Y328" s="259" t="e">
        <f>SUM(Y283:Y318)</f>
        <v>#N/A</v>
      </c>
      <c r="Z328" s="259" t="e">
        <f>SUM(Z283:Z318)</f>
        <v>#N/A</v>
      </c>
      <c r="AA328" s="259" t="e">
        <f>SUM(AA283:AA318)</f>
        <v>#N/A</v>
      </c>
      <c r="AC328" s="2224"/>
      <c r="AF328" s="2224">
        <f t="shared" si="69"/>
        <v>77468570933875</v>
      </c>
      <c r="AG328" s="2224">
        <f t="shared" si="70"/>
        <v>-32957282791597</v>
      </c>
      <c r="AK328" s="2224">
        <f t="shared" si="71"/>
        <v>77514779917055</v>
      </c>
      <c r="AL328" s="2224">
        <f t="shared" si="72"/>
        <v>-33003491774777</v>
      </c>
      <c r="AP328" s="2224">
        <f>J323+N323+O323+Q323+V323+W323+J423</f>
        <v>150915073965</v>
      </c>
      <c r="AR328" s="2224">
        <f t="shared" si="63"/>
        <v>44511288142278</v>
      </c>
      <c r="AS328" s="2224">
        <f t="shared" si="68"/>
        <v>0</v>
      </c>
      <c r="AU328" s="259">
        <f>SUM(AU311:AU327)</f>
        <v>-551375000000</v>
      </c>
    </row>
    <row r="329" spans="2:47" ht="19.899999999999999" customHeight="1" x14ac:dyDescent="0.2">
      <c r="B329" s="2272"/>
      <c r="C329" s="2272"/>
      <c r="D329" s="2272"/>
      <c r="E329" s="1272"/>
      <c r="F329" s="1272"/>
      <c r="G329" s="1272"/>
      <c r="H329" s="1272"/>
      <c r="I329" s="1273"/>
      <c r="J329" s="1273"/>
      <c r="K329" s="1273"/>
      <c r="L329" s="1273"/>
      <c r="M329" s="1273"/>
      <c r="N329" s="1273"/>
      <c r="O329" s="1273"/>
      <c r="P329" s="1273"/>
      <c r="Q329" s="1273"/>
      <c r="R329" s="1273"/>
      <c r="S329" s="1273"/>
      <c r="T329" s="1273"/>
      <c r="U329" s="1273"/>
      <c r="V329" s="1273"/>
      <c r="W329" s="1273"/>
      <c r="X329" s="1274"/>
      <c r="Y329" s="246"/>
      <c r="Z329" s="246"/>
      <c r="AA329" s="246"/>
      <c r="AC329" s="2224"/>
      <c r="AF329" s="2224"/>
      <c r="AG329" s="2224"/>
      <c r="AK329" s="2224"/>
      <c r="AL329" s="2224"/>
      <c r="AP329" s="2224"/>
      <c r="AR329" s="2224">
        <f t="shared" si="63"/>
        <v>0</v>
      </c>
      <c r="AS329" s="2224"/>
      <c r="AU329" s="246"/>
    </row>
    <row r="330" spans="2:47" ht="19.899999999999999" customHeight="1" x14ac:dyDescent="0.2">
      <c r="B330" s="2244"/>
      <c r="C330" s="2272"/>
      <c r="D330" s="1203"/>
      <c r="E330" s="1272"/>
      <c r="F330" s="1272"/>
      <c r="G330" s="1272"/>
      <c r="H330" s="1272"/>
      <c r="I330" s="1273"/>
      <c r="J330" s="1273"/>
      <c r="K330" s="1273"/>
      <c r="L330" s="1273"/>
      <c r="M330" s="1273"/>
      <c r="N330" s="1273"/>
      <c r="O330" s="1273"/>
      <c r="P330" s="1273"/>
      <c r="Q330" s="1273"/>
      <c r="R330" s="1273"/>
      <c r="S330" s="1273"/>
      <c r="T330" s="1273"/>
      <c r="U330" s="1273"/>
      <c r="V330" s="1273"/>
      <c r="W330" s="1273"/>
      <c r="X330" s="1274"/>
      <c r="Y330" s="246"/>
      <c r="Z330" s="246"/>
      <c r="AA330" s="246"/>
      <c r="AC330" s="2224"/>
      <c r="AF330" s="2224">
        <f t="shared" si="69"/>
        <v>0</v>
      </c>
      <c r="AG330" s="2224">
        <f t="shared" si="70"/>
        <v>0</v>
      </c>
      <c r="AK330" s="2224">
        <f t="shared" si="71"/>
        <v>0</v>
      </c>
      <c r="AL330" s="2224">
        <f t="shared" si="72"/>
        <v>0</v>
      </c>
      <c r="AP330" s="2224">
        <f t="shared" si="67"/>
        <v>0</v>
      </c>
      <c r="AR330" s="2224">
        <f t="shared" si="63"/>
        <v>0</v>
      </c>
      <c r="AS330" s="2224">
        <f t="shared" si="68"/>
        <v>0</v>
      </c>
      <c r="AU330" s="246"/>
    </row>
    <row r="331" spans="2:47" ht="19.899999999999999" customHeight="1" x14ac:dyDescent="0.2">
      <c r="B331" s="2273"/>
      <c r="C331" s="3660" t="s">
        <v>282</v>
      </c>
      <c r="D331" s="3660"/>
      <c r="E331" s="3660"/>
      <c r="F331" s="3660"/>
      <c r="G331" s="3660"/>
      <c r="H331" s="3660"/>
      <c r="I331" s="3660"/>
      <c r="J331" s="3660"/>
      <c r="K331" s="3660"/>
      <c r="L331" s="3660"/>
      <c r="M331" s="3660"/>
      <c r="N331" s="3660"/>
      <c r="O331" s="3660"/>
      <c r="P331" s="3660"/>
      <c r="Q331" s="3660"/>
      <c r="R331" s="3660"/>
      <c r="S331" s="3660"/>
      <c r="T331" s="3660"/>
      <c r="U331" s="3660"/>
      <c r="V331" s="3660"/>
      <c r="W331" s="3660"/>
      <c r="X331" s="3660"/>
      <c r="Y331" s="3660"/>
      <c r="Z331" s="2274"/>
      <c r="AC331" s="2224"/>
      <c r="AF331" s="2224">
        <f t="shared" si="69"/>
        <v>0</v>
      </c>
      <c r="AG331" s="2224">
        <f t="shared" si="70"/>
        <v>0</v>
      </c>
      <c r="AK331" s="2224">
        <f t="shared" si="71"/>
        <v>0</v>
      </c>
      <c r="AL331" s="2224">
        <f t="shared" si="72"/>
        <v>0</v>
      </c>
      <c r="AP331" s="2224">
        <f t="shared" si="67"/>
        <v>0</v>
      </c>
      <c r="AR331" s="2224">
        <f t="shared" si="63"/>
        <v>0</v>
      </c>
      <c r="AS331" s="2224">
        <f t="shared" si="68"/>
        <v>0</v>
      </c>
    </row>
    <row r="332" spans="2:47" ht="19.899999999999999" customHeight="1" x14ac:dyDescent="0.2">
      <c r="B332" s="3574" t="s">
        <v>32</v>
      </c>
      <c r="C332" s="3574"/>
      <c r="D332" s="3574"/>
      <c r="E332" s="3574"/>
      <c r="F332" s="3574"/>
      <c r="G332" s="3574"/>
      <c r="H332" s="3574"/>
      <c r="I332" s="3574"/>
      <c r="J332" s="3574"/>
      <c r="K332" s="3574"/>
      <c r="L332" s="3574"/>
      <c r="M332" s="3574"/>
      <c r="N332" s="3574"/>
      <c r="O332" s="3574"/>
      <c r="P332" s="3574"/>
      <c r="Q332" s="3574"/>
      <c r="R332" s="3574"/>
      <c r="S332" s="3574"/>
      <c r="T332" s="3574"/>
      <c r="U332" s="3574"/>
      <c r="V332" s="3574"/>
      <c r="W332" s="3574"/>
      <c r="X332" s="3574"/>
      <c r="Y332" s="3574"/>
      <c r="Z332" s="3574"/>
      <c r="AA332" s="3574"/>
      <c r="AC332" s="2224"/>
      <c r="AF332" s="2224">
        <f t="shared" si="69"/>
        <v>0</v>
      </c>
      <c r="AG332" s="2224">
        <f t="shared" si="70"/>
        <v>0</v>
      </c>
      <c r="AK332" s="2224">
        <f t="shared" si="71"/>
        <v>0</v>
      </c>
      <c r="AL332" s="2224">
        <f t="shared" si="72"/>
        <v>0</v>
      </c>
      <c r="AP332" s="2224">
        <f t="shared" si="67"/>
        <v>0</v>
      </c>
      <c r="AR332" s="2224">
        <f t="shared" si="63"/>
        <v>0</v>
      </c>
      <c r="AS332" s="2224">
        <f t="shared" si="68"/>
        <v>0</v>
      </c>
    </row>
    <row r="333" spans="2:47" ht="19.899999999999999" customHeight="1" x14ac:dyDescent="0.2">
      <c r="B333" s="3574" t="s">
        <v>45</v>
      </c>
      <c r="C333" s="3574"/>
      <c r="D333" s="3574"/>
      <c r="E333" s="3574"/>
      <c r="F333" s="3574"/>
      <c r="G333" s="3574"/>
      <c r="H333" s="3574"/>
      <c r="I333" s="3574"/>
      <c r="J333" s="3574"/>
      <c r="K333" s="3574"/>
      <c r="L333" s="3574"/>
      <c r="M333" s="3574"/>
      <c r="N333" s="3574"/>
      <c r="O333" s="3574"/>
      <c r="P333" s="3574"/>
      <c r="Q333" s="3574"/>
      <c r="R333" s="3574"/>
      <c r="S333" s="3574"/>
      <c r="T333" s="3574"/>
      <c r="U333" s="3574"/>
      <c r="V333" s="3574"/>
      <c r="W333" s="3574"/>
      <c r="X333" s="3574"/>
      <c r="Y333" s="3574"/>
      <c r="Z333" s="3574"/>
      <c r="AA333" s="3574"/>
      <c r="AC333" s="2224"/>
      <c r="AF333" s="2224">
        <f t="shared" si="69"/>
        <v>0</v>
      </c>
      <c r="AG333" s="2224">
        <f t="shared" si="70"/>
        <v>0</v>
      </c>
      <c r="AK333" s="2224">
        <f t="shared" si="71"/>
        <v>0</v>
      </c>
      <c r="AL333" s="2224">
        <f t="shared" si="72"/>
        <v>0</v>
      </c>
      <c r="AP333" s="2224">
        <f t="shared" si="67"/>
        <v>0</v>
      </c>
      <c r="AR333" s="2224">
        <f t="shared" ref="AR333:AR443" si="78">W333+V333+T333+R333+Q333+P333+O333+N333+J333+E333+F333+G333</f>
        <v>0</v>
      </c>
      <c r="AS333" s="2224">
        <f t="shared" si="68"/>
        <v>0</v>
      </c>
    </row>
    <row r="334" spans="2:47" ht="19.899999999999999" customHeight="1" x14ac:dyDescent="0.2">
      <c r="B334" s="3574" t="s">
        <v>46</v>
      </c>
      <c r="C334" s="3574"/>
      <c r="D334" s="3574"/>
      <c r="E334" s="3574"/>
      <c r="F334" s="3574"/>
      <c r="G334" s="3574"/>
      <c r="H334" s="3574"/>
      <c r="I334" s="3574"/>
      <c r="J334" s="3574"/>
      <c r="K334" s="3574"/>
      <c r="L334" s="3574"/>
      <c r="M334" s="3574"/>
      <c r="N334" s="3574"/>
      <c r="O334" s="3574"/>
      <c r="P334" s="3574"/>
      <c r="Q334" s="3574"/>
      <c r="R334" s="3574"/>
      <c r="S334" s="3574"/>
      <c r="T334" s="3574"/>
      <c r="U334" s="3574"/>
      <c r="V334" s="3574"/>
      <c r="W334" s="3574"/>
      <c r="X334" s="3574"/>
      <c r="Y334" s="3574"/>
      <c r="Z334" s="3574"/>
      <c r="AA334" s="3574"/>
      <c r="AC334" s="2224"/>
      <c r="AF334" s="2224">
        <f t="shared" si="69"/>
        <v>0</v>
      </c>
      <c r="AG334" s="2224">
        <f t="shared" si="70"/>
        <v>0</v>
      </c>
      <c r="AK334" s="2224">
        <f t="shared" si="71"/>
        <v>0</v>
      </c>
      <c r="AL334" s="2224">
        <f t="shared" si="72"/>
        <v>0</v>
      </c>
      <c r="AP334" s="2224">
        <f t="shared" si="67"/>
        <v>0</v>
      </c>
      <c r="AR334" s="2224">
        <f t="shared" si="78"/>
        <v>0</v>
      </c>
      <c r="AS334" s="2224">
        <f t="shared" si="68"/>
        <v>0</v>
      </c>
    </row>
    <row r="335" spans="2:47" ht="19.899999999999999" customHeight="1" x14ac:dyDescent="0.2">
      <c r="B335" s="3572" t="s">
        <v>1992</v>
      </c>
      <c r="C335" s="3572"/>
      <c r="D335" s="3572"/>
      <c r="E335" s="3572"/>
      <c r="F335" s="3572"/>
      <c r="G335" s="3572"/>
      <c r="H335" s="3572"/>
      <c r="I335" s="3572"/>
      <c r="J335" s="3572"/>
      <c r="K335" s="3572"/>
      <c r="L335" s="3572"/>
      <c r="M335" s="3572"/>
      <c r="N335" s="3572"/>
      <c r="O335" s="3572"/>
      <c r="P335" s="3572"/>
      <c r="Q335" s="3572"/>
      <c r="R335" s="3572"/>
      <c r="S335" s="3572"/>
      <c r="T335" s="3572"/>
      <c r="U335" s="3572"/>
      <c r="V335" s="3572"/>
      <c r="W335" s="3572"/>
      <c r="X335" s="3572"/>
      <c r="Y335" s="3572"/>
      <c r="Z335" s="3572"/>
      <c r="AA335" s="3572"/>
      <c r="AC335" s="2224"/>
      <c r="AF335" s="2224">
        <f t="shared" si="69"/>
        <v>0</v>
      </c>
      <c r="AG335" s="2224">
        <f t="shared" si="70"/>
        <v>0</v>
      </c>
      <c r="AK335" s="2224">
        <f t="shared" si="71"/>
        <v>0</v>
      </c>
      <c r="AL335" s="2224">
        <f t="shared" si="72"/>
        <v>0</v>
      </c>
      <c r="AP335" s="2224">
        <f t="shared" si="67"/>
        <v>0</v>
      </c>
      <c r="AR335" s="2224">
        <f t="shared" si="78"/>
        <v>0</v>
      </c>
      <c r="AS335" s="2224">
        <f t="shared" si="68"/>
        <v>0</v>
      </c>
    </row>
    <row r="336" spans="2:47" ht="6" customHeight="1" x14ac:dyDescent="0.2">
      <c r="B336" s="2185"/>
      <c r="C336" s="2185"/>
      <c r="D336" s="1212"/>
      <c r="E336" s="1262"/>
      <c r="F336" s="1262"/>
      <c r="G336" s="1262"/>
      <c r="H336" s="1262"/>
      <c r="I336" s="2245"/>
      <c r="J336" s="2245"/>
      <c r="K336" s="2245"/>
      <c r="L336" s="2245"/>
      <c r="M336" s="2245"/>
      <c r="N336" s="2245"/>
      <c r="O336" s="2245"/>
      <c r="P336" s="2245"/>
      <c r="Q336" s="2245"/>
      <c r="R336" s="2245"/>
      <c r="S336" s="2245"/>
      <c r="T336" s="2245"/>
      <c r="U336" s="2245"/>
      <c r="V336" s="2245"/>
      <c r="W336" s="2245"/>
      <c r="X336" s="2246"/>
      <c r="Y336" s="2185"/>
      <c r="Z336" s="2185"/>
      <c r="AA336" s="2185"/>
      <c r="AC336" s="2224"/>
      <c r="AF336" s="2224">
        <f t="shared" si="69"/>
        <v>0</v>
      </c>
      <c r="AG336" s="2224">
        <f t="shared" si="70"/>
        <v>0</v>
      </c>
      <c r="AK336" s="2224">
        <f t="shared" si="71"/>
        <v>0</v>
      </c>
      <c r="AL336" s="2224">
        <f t="shared" si="72"/>
        <v>0</v>
      </c>
      <c r="AP336" s="2224">
        <f t="shared" si="67"/>
        <v>0</v>
      </c>
      <c r="AR336" s="2224">
        <f t="shared" si="78"/>
        <v>0</v>
      </c>
      <c r="AS336" s="2224">
        <f t="shared" si="68"/>
        <v>0</v>
      </c>
      <c r="AU336" s="2185"/>
    </row>
    <row r="337" spans="2:47" ht="19.899999999999999" customHeight="1" x14ac:dyDescent="0.2">
      <c r="B337" s="3664" t="s">
        <v>894</v>
      </c>
      <c r="C337" s="3664"/>
      <c r="D337" s="3664"/>
      <c r="E337" s="1252"/>
      <c r="F337" s="1252"/>
      <c r="G337" s="1252"/>
      <c r="H337" s="1252"/>
      <c r="I337" s="2239"/>
      <c r="J337" s="2239"/>
      <c r="K337" s="2239"/>
      <c r="L337" s="2239"/>
      <c r="M337" s="2239"/>
      <c r="N337" s="2239"/>
      <c r="O337" s="2239"/>
      <c r="P337" s="2239"/>
      <c r="Q337" s="2239"/>
      <c r="R337" s="2239"/>
      <c r="S337" s="2239"/>
      <c r="T337" s="2239"/>
      <c r="U337" s="2239"/>
      <c r="V337" s="2239"/>
      <c r="W337" s="3674" t="s">
        <v>338</v>
      </c>
      <c r="X337" s="3674"/>
      <c r="Y337" s="2240"/>
      <c r="Z337" s="2240"/>
      <c r="AA337" s="2240"/>
      <c r="AC337" s="2224"/>
      <c r="AF337" s="2224">
        <f t="shared" si="69"/>
        <v>0</v>
      </c>
      <c r="AG337" s="2224">
        <f t="shared" si="70"/>
        <v>0</v>
      </c>
      <c r="AK337" s="2224" t="e">
        <f t="shared" si="71"/>
        <v>#VALUE!</v>
      </c>
      <c r="AL337" s="2224" t="e">
        <f t="shared" si="72"/>
        <v>#VALUE!</v>
      </c>
      <c r="AP337" s="2224" t="e">
        <f t="shared" si="67"/>
        <v>#VALUE!</v>
      </c>
      <c r="AR337" s="2224" t="e">
        <f t="shared" si="78"/>
        <v>#VALUE!</v>
      </c>
      <c r="AS337" s="2224" t="e">
        <f t="shared" si="68"/>
        <v>#VALUE!</v>
      </c>
      <c r="AU337" s="2240"/>
    </row>
    <row r="338" spans="2:47" ht="19.899999999999999" customHeight="1" x14ac:dyDescent="0.2">
      <c r="B338" s="3666" t="s">
        <v>419</v>
      </c>
      <c r="C338" s="3659" t="s">
        <v>196</v>
      </c>
      <c r="D338" s="3677" t="s">
        <v>197</v>
      </c>
      <c r="E338" s="3647" t="s">
        <v>1391</v>
      </c>
      <c r="F338" s="3682" t="s">
        <v>1116</v>
      </c>
      <c r="G338" s="3682"/>
      <c r="H338" s="3662" t="s">
        <v>1993</v>
      </c>
      <c r="I338" s="3650" t="s">
        <v>1244</v>
      </c>
      <c r="J338" s="3650"/>
      <c r="K338" s="2216" t="s">
        <v>340</v>
      </c>
      <c r="L338" s="2216"/>
      <c r="M338" s="2216"/>
      <c r="N338" s="3661" t="s">
        <v>341</v>
      </c>
      <c r="O338" s="3661"/>
      <c r="P338" s="3651" t="s">
        <v>1012</v>
      </c>
      <c r="Q338" s="3652"/>
      <c r="R338" s="3652"/>
      <c r="S338" s="3652"/>
      <c r="T338" s="3653"/>
      <c r="U338" s="2217"/>
      <c r="V338" s="3650" t="s">
        <v>1334</v>
      </c>
      <c r="W338" s="3649" t="s">
        <v>898</v>
      </c>
      <c r="X338" s="3648" t="s">
        <v>1986</v>
      </c>
      <c r="Y338" s="2240"/>
      <c r="Z338" s="2240"/>
      <c r="AA338" s="2240"/>
      <c r="AC338" s="2224"/>
      <c r="AF338" s="2224">
        <f t="shared" si="69"/>
        <v>0</v>
      </c>
      <c r="AG338" s="2224" t="e">
        <f t="shared" si="70"/>
        <v>#VALUE!</v>
      </c>
      <c r="AK338" s="2224" t="e">
        <f t="shared" si="71"/>
        <v>#VALUE!</v>
      </c>
      <c r="AL338" s="2224" t="e">
        <f t="shared" si="72"/>
        <v>#VALUE!</v>
      </c>
      <c r="AP338" s="2224" t="e">
        <f t="shared" si="67"/>
        <v>#VALUE!</v>
      </c>
      <c r="AR338" s="2224" t="e">
        <f t="shared" si="78"/>
        <v>#VALUE!</v>
      </c>
      <c r="AS338" s="2224" t="e">
        <f t="shared" si="68"/>
        <v>#VALUE!</v>
      </c>
    </row>
    <row r="339" spans="2:47" ht="48.6" customHeight="1" x14ac:dyDescent="0.2">
      <c r="B339" s="3666"/>
      <c r="C339" s="3659"/>
      <c r="D339" s="3677"/>
      <c r="E339" s="3647"/>
      <c r="F339" s="1409" t="s">
        <v>1955</v>
      </c>
      <c r="G339" s="1409" t="s">
        <v>1956</v>
      </c>
      <c r="H339" s="3662"/>
      <c r="I339" s="3650"/>
      <c r="J339" s="3650"/>
      <c r="K339" s="2220" t="s">
        <v>315</v>
      </c>
      <c r="L339" s="2220" t="s">
        <v>891</v>
      </c>
      <c r="M339" s="2216" t="s">
        <v>314</v>
      </c>
      <c r="N339" s="2216" t="s">
        <v>1076</v>
      </c>
      <c r="O339" s="2216" t="s">
        <v>18</v>
      </c>
      <c r="P339" s="2220" t="s">
        <v>892</v>
      </c>
      <c r="Q339" s="2220" t="s">
        <v>826</v>
      </c>
      <c r="R339" s="2220" t="s">
        <v>315</v>
      </c>
      <c r="S339" s="2216"/>
      <c r="T339" s="2216" t="s">
        <v>1180</v>
      </c>
      <c r="U339" s="2216"/>
      <c r="V339" s="3650"/>
      <c r="W339" s="3649"/>
      <c r="X339" s="3648"/>
      <c r="Y339" s="2240"/>
      <c r="Z339" s="2240"/>
      <c r="AA339" s="2240"/>
      <c r="AC339" s="2224"/>
      <c r="AF339" s="2224">
        <f t="shared" si="69"/>
        <v>0</v>
      </c>
      <c r="AG339" s="2224">
        <f t="shared" si="70"/>
        <v>0</v>
      </c>
      <c r="AK339" s="2224" t="e">
        <f t="shared" si="71"/>
        <v>#VALUE!</v>
      </c>
      <c r="AL339" s="2224" t="e">
        <f t="shared" si="72"/>
        <v>#VALUE!</v>
      </c>
      <c r="AP339" s="2224" t="e">
        <f t="shared" si="67"/>
        <v>#VALUE!</v>
      </c>
      <c r="AR339" s="2224" t="e">
        <f t="shared" si="78"/>
        <v>#VALUE!</v>
      </c>
      <c r="AS339" s="2224" t="e">
        <f t="shared" si="68"/>
        <v>#VALUE!</v>
      </c>
      <c r="AU339" s="2221" t="s">
        <v>1180</v>
      </c>
    </row>
    <row r="340" spans="2:47" ht="19.899999999999999" customHeight="1" x14ac:dyDescent="0.2">
      <c r="B340" s="3709" t="s">
        <v>180</v>
      </c>
      <c r="C340" s="3683" t="s">
        <v>181</v>
      </c>
      <c r="D340" s="3683"/>
      <c r="E340" s="1280">
        <f>E328</f>
        <v>32957282791597</v>
      </c>
      <c r="F340" s="1280">
        <f>F328</f>
        <v>0</v>
      </c>
      <c r="G340" s="1280">
        <f>G328</f>
        <v>0</v>
      </c>
      <c r="H340" s="1280">
        <f t="shared" ref="H340:X340" si="79">H328</f>
        <v>32957282791597</v>
      </c>
      <c r="I340" s="1780">
        <f t="shared" si="79"/>
        <v>0</v>
      </c>
      <c r="J340" s="1780">
        <f t="shared" si="79"/>
        <v>12079040631270</v>
      </c>
      <c r="K340" s="1780">
        <f t="shared" si="79"/>
        <v>0</v>
      </c>
      <c r="L340" s="1780">
        <f t="shared" si="79"/>
        <v>0</v>
      </c>
      <c r="M340" s="1780">
        <f t="shared" si="79"/>
        <v>0</v>
      </c>
      <c r="N340" s="1780">
        <f t="shared" si="79"/>
        <v>497367127405</v>
      </c>
      <c r="O340" s="1780">
        <f t="shared" si="79"/>
        <v>644749988138</v>
      </c>
      <c r="P340" s="1780">
        <f t="shared" si="79"/>
        <v>-1345525403506</v>
      </c>
      <c r="Q340" s="2275">
        <f t="shared" si="79"/>
        <v>-1315023704478</v>
      </c>
      <c r="R340" s="2275">
        <f t="shared" si="79"/>
        <v>0</v>
      </c>
      <c r="S340" s="2275">
        <f t="shared" si="79"/>
        <v>0</v>
      </c>
      <c r="T340" s="2275">
        <f t="shared" si="79"/>
        <v>0</v>
      </c>
      <c r="U340" s="2275">
        <f t="shared" si="79"/>
        <v>0</v>
      </c>
      <c r="V340" s="2275">
        <f t="shared" si="79"/>
        <v>-46208983180</v>
      </c>
      <c r="W340" s="2275">
        <f t="shared" si="79"/>
        <v>1039605695032</v>
      </c>
      <c r="X340" s="2276">
        <f t="shared" si="79"/>
        <v>44511288142278</v>
      </c>
      <c r="Y340" s="2269" t="e">
        <f>Y328</f>
        <v>#N/A</v>
      </c>
      <c r="Z340" s="2269" t="e">
        <f>Z328</f>
        <v>#N/A</v>
      </c>
      <c r="AA340" s="2269" t="e">
        <f>AA328</f>
        <v>#N/A</v>
      </c>
      <c r="AC340" s="2224"/>
      <c r="AF340" s="2224">
        <f t="shared" si="69"/>
        <v>77468570933875</v>
      </c>
      <c r="AG340" s="2224">
        <f t="shared" si="70"/>
        <v>-32957282791597</v>
      </c>
      <c r="AK340" s="2224">
        <f t="shared" si="71"/>
        <v>77514779917055</v>
      </c>
      <c r="AL340" s="2224">
        <f t="shared" si="72"/>
        <v>-33003491774777</v>
      </c>
      <c r="AP340" s="2224">
        <f t="shared" si="67"/>
        <v>0</v>
      </c>
      <c r="AR340" s="2224">
        <f t="shared" si="78"/>
        <v>44511288142278</v>
      </c>
      <c r="AS340" s="2224">
        <f t="shared" si="68"/>
        <v>0</v>
      </c>
      <c r="AU340" s="2142">
        <f>AU328</f>
        <v>-551375000000</v>
      </c>
    </row>
    <row r="341" spans="2:47" ht="19.149999999999999" customHeight="1" x14ac:dyDescent="0.2">
      <c r="B341" s="3709"/>
      <c r="C341" s="1786" t="s">
        <v>113</v>
      </c>
      <c r="D341" s="1209" t="s">
        <v>114</v>
      </c>
      <c r="E341" s="1255">
        <v>1660317872</v>
      </c>
      <c r="F341" s="1255"/>
      <c r="G341" s="1255"/>
      <c r="H341" s="1255">
        <f>E341+G341+F341</f>
        <v>1660317872</v>
      </c>
      <c r="I341" s="240"/>
      <c r="J341" s="1780">
        <f t="shared" ref="J341:J412" si="80">X341-O341-N341-P341-Q341-K341-R341-W341-E341-T341-I341-V341-F341-G341</f>
        <v>0</v>
      </c>
      <c r="K341" s="1779"/>
      <c r="L341" s="1779"/>
      <c r="M341" s="1779"/>
      <c r="N341" s="240"/>
      <c r="O341" s="240"/>
      <c r="P341" s="1779"/>
      <c r="Q341" s="2258"/>
      <c r="R341" s="1779"/>
      <c r="T341" s="1248"/>
      <c r="V341" s="240"/>
      <c r="W341" s="324"/>
      <c r="X341" s="1255">
        <v>1660317872</v>
      </c>
      <c r="Y341" s="2240"/>
      <c r="Z341" s="2240"/>
      <c r="AA341" s="2240"/>
      <c r="AC341" s="2224"/>
      <c r="AF341" s="2224">
        <f t="shared" si="69"/>
        <v>3320635744</v>
      </c>
      <c r="AG341" s="2224">
        <f t="shared" si="70"/>
        <v>-1660317872</v>
      </c>
      <c r="AK341" s="2224">
        <f t="shared" si="71"/>
        <v>3320635744</v>
      </c>
      <c r="AL341" s="2224">
        <f t="shared" si="72"/>
        <v>-1660317872</v>
      </c>
      <c r="AP341" s="2224">
        <f t="shared" si="67"/>
        <v>0</v>
      </c>
      <c r="AR341" s="2224">
        <f t="shared" si="78"/>
        <v>1660317872</v>
      </c>
      <c r="AS341" s="2224">
        <f t="shared" si="68"/>
        <v>0</v>
      </c>
      <c r="AU341" s="239"/>
    </row>
    <row r="342" spans="2:47" ht="19.149999999999999" customHeight="1" x14ac:dyDescent="0.2">
      <c r="B342" s="3709"/>
      <c r="C342" s="1786" t="s">
        <v>99</v>
      </c>
      <c r="D342" s="1209" t="s">
        <v>100</v>
      </c>
      <c r="E342" s="1255">
        <v>4260666648</v>
      </c>
      <c r="F342" s="1255"/>
      <c r="G342" s="1255">
        <f>-'مطالبات بلند مدت دولت ياددا (2)'!E68</f>
        <v>0</v>
      </c>
      <c r="H342" s="1255">
        <f t="shared" ref="H342:H360" si="81">E342+G342+F342</f>
        <v>4260666648</v>
      </c>
      <c r="I342" s="240"/>
      <c r="J342" s="1780">
        <f t="shared" si="80"/>
        <v>0</v>
      </c>
      <c r="K342" s="240"/>
      <c r="L342" s="240"/>
      <c r="M342" s="240"/>
      <c r="N342" s="240"/>
      <c r="O342" s="240"/>
      <c r="P342" s="240"/>
      <c r="Q342" s="2289">
        <f>-'مطالبات بلند مدت دولت ياددا (2)'!G68</f>
        <v>0</v>
      </c>
      <c r="R342" s="324"/>
      <c r="T342" s="1243"/>
      <c r="V342" s="324"/>
      <c r="W342" s="324"/>
      <c r="X342" s="1255">
        <v>4260666648</v>
      </c>
      <c r="Y342" s="2240"/>
      <c r="Z342" s="2240"/>
      <c r="AA342" s="2240"/>
      <c r="AC342" s="2224"/>
      <c r="AF342" s="2224">
        <f t="shared" si="69"/>
        <v>8521333296</v>
      </c>
      <c r="AG342" s="2224">
        <f t="shared" si="70"/>
        <v>-4260666648</v>
      </c>
      <c r="AK342" s="2224">
        <f t="shared" si="71"/>
        <v>8521333296</v>
      </c>
      <c r="AL342" s="2224">
        <f t="shared" si="72"/>
        <v>-4260666648</v>
      </c>
      <c r="AP342" s="2224">
        <f t="shared" si="67"/>
        <v>0</v>
      </c>
      <c r="AR342" s="2224">
        <f t="shared" si="78"/>
        <v>4260666648</v>
      </c>
      <c r="AS342" s="2224">
        <f t="shared" si="68"/>
        <v>0</v>
      </c>
      <c r="AU342" s="237"/>
    </row>
    <row r="343" spans="2:47" ht="19.149999999999999" customHeight="1" x14ac:dyDescent="0.2">
      <c r="B343" s="3709"/>
      <c r="C343" s="1786" t="s">
        <v>101</v>
      </c>
      <c r="D343" s="1209" t="s">
        <v>102</v>
      </c>
      <c r="E343" s="1255">
        <v>2940144864</v>
      </c>
      <c r="F343" s="1255"/>
      <c r="G343" s="1255">
        <f>-'مطالبات بلند مدت دولت ياددا (2)'!E87</f>
        <v>0</v>
      </c>
      <c r="H343" s="1255">
        <f t="shared" si="81"/>
        <v>2940144864</v>
      </c>
      <c r="I343" s="240"/>
      <c r="J343" s="1780">
        <f t="shared" si="80"/>
        <v>0</v>
      </c>
      <c r="K343" s="240"/>
      <c r="L343" s="240"/>
      <c r="M343" s="240"/>
      <c r="N343" s="240"/>
      <c r="O343" s="2291"/>
      <c r="P343" s="240"/>
      <c r="Q343" s="2295">
        <f>-'مطالبات بلند مدت دولت ياددا (2)'!G87</f>
        <v>0</v>
      </c>
      <c r="R343" s="240"/>
      <c r="T343" s="510"/>
      <c r="V343" s="2291"/>
      <c r="W343" s="240"/>
      <c r="X343" s="1255">
        <v>2940144864</v>
      </c>
      <c r="Y343" s="2240"/>
      <c r="Z343" s="2240"/>
      <c r="AA343" s="2240"/>
      <c r="AC343" s="2224"/>
      <c r="AF343" s="2224">
        <f t="shared" si="69"/>
        <v>5880289728</v>
      </c>
      <c r="AG343" s="2224">
        <f t="shared" si="70"/>
        <v>-2940144864</v>
      </c>
      <c r="AK343" s="2224">
        <f t="shared" si="71"/>
        <v>5880289728</v>
      </c>
      <c r="AL343" s="2224">
        <f t="shared" si="72"/>
        <v>-2940144864</v>
      </c>
      <c r="AP343" s="2224">
        <f t="shared" si="67"/>
        <v>0</v>
      </c>
      <c r="AR343" s="2224">
        <f t="shared" si="78"/>
        <v>2940144864</v>
      </c>
      <c r="AS343" s="2224">
        <f t="shared" si="68"/>
        <v>0</v>
      </c>
      <c r="AU343" s="234"/>
    </row>
    <row r="344" spans="2:47" ht="19.149999999999999" customHeight="1" x14ac:dyDescent="0.2">
      <c r="B344" s="3709"/>
      <c r="C344" s="1786" t="s">
        <v>105</v>
      </c>
      <c r="D344" s="1209" t="s">
        <v>106</v>
      </c>
      <c r="E344" s="1255"/>
      <c r="F344" s="1255"/>
      <c r="G344" s="1255"/>
      <c r="H344" s="1255">
        <f t="shared" si="81"/>
        <v>0</v>
      </c>
      <c r="I344" s="240"/>
      <c r="J344" s="1780">
        <f t="shared" si="80"/>
        <v>0</v>
      </c>
      <c r="K344" s="240"/>
      <c r="L344" s="240"/>
      <c r="M344" s="240"/>
      <c r="N344" s="240"/>
      <c r="O344" s="240"/>
      <c r="P344" s="240"/>
      <c r="Q344" s="2295">
        <f>-'مطالبات بلند مدت دولت ياددا (2)'!G55</f>
        <v>0</v>
      </c>
      <c r="R344" s="240"/>
      <c r="T344" s="510"/>
      <c r="V344" s="240"/>
      <c r="W344" s="240"/>
      <c r="X344" s="550"/>
      <c r="Y344" s="2240"/>
      <c r="Z344" s="2240"/>
      <c r="AA344" s="2240"/>
      <c r="AC344" s="2224"/>
      <c r="AF344" s="2224">
        <f t="shared" si="69"/>
        <v>0</v>
      </c>
      <c r="AG344" s="2224">
        <f t="shared" si="70"/>
        <v>0</v>
      </c>
      <c r="AK344" s="2224">
        <f t="shared" si="71"/>
        <v>0</v>
      </c>
      <c r="AL344" s="2224">
        <f t="shared" si="72"/>
        <v>0</v>
      </c>
      <c r="AP344" s="2224">
        <f t="shared" si="67"/>
        <v>0</v>
      </c>
      <c r="AR344" s="2224">
        <f t="shared" si="78"/>
        <v>0</v>
      </c>
      <c r="AS344" s="2224">
        <f t="shared" si="68"/>
        <v>0</v>
      </c>
      <c r="AU344" s="234"/>
    </row>
    <row r="345" spans="2:47" ht="19.149999999999999" customHeight="1" x14ac:dyDescent="0.2">
      <c r="B345" s="3709"/>
      <c r="C345" s="1786" t="s">
        <v>96</v>
      </c>
      <c r="D345" s="1209" t="s">
        <v>97</v>
      </c>
      <c r="E345" s="1255">
        <v>26401744792</v>
      </c>
      <c r="F345" s="1255"/>
      <c r="G345" s="1255"/>
      <c r="H345" s="1255">
        <f t="shared" si="81"/>
        <v>26401744792</v>
      </c>
      <c r="I345" s="240"/>
      <c r="J345" s="1780">
        <f t="shared" si="80"/>
        <v>0</v>
      </c>
      <c r="K345" s="240"/>
      <c r="L345" s="240"/>
      <c r="M345" s="240"/>
      <c r="N345" s="240"/>
      <c r="O345" s="240"/>
      <c r="P345" s="240"/>
      <c r="Q345" s="2295"/>
      <c r="R345" s="1297"/>
      <c r="T345" s="1246"/>
      <c r="V345" s="240"/>
      <c r="W345" s="240">
        <f>110919</f>
        <v>110919</v>
      </c>
      <c r="X345" s="1255">
        <f>26401744792+110919</f>
        <v>26401855711</v>
      </c>
      <c r="Y345" s="2240"/>
      <c r="Z345" s="2240"/>
      <c r="AA345" s="2240"/>
      <c r="AC345" s="2224"/>
      <c r="AF345" s="2224">
        <f t="shared" si="69"/>
        <v>52803600503</v>
      </c>
      <c r="AG345" s="2224">
        <f t="shared" si="70"/>
        <v>-26401744792</v>
      </c>
      <c r="AK345" s="2224">
        <f t="shared" si="71"/>
        <v>52803600503</v>
      </c>
      <c r="AL345" s="2224">
        <f t="shared" si="72"/>
        <v>-26401744792</v>
      </c>
      <c r="AN345" s="2204">
        <v>-110919</v>
      </c>
      <c r="AP345" s="2224">
        <f t="shared" si="67"/>
        <v>0</v>
      </c>
      <c r="AR345" s="2224">
        <f t="shared" si="78"/>
        <v>26401855711</v>
      </c>
      <c r="AS345" s="2224">
        <f t="shared" si="68"/>
        <v>0</v>
      </c>
      <c r="AU345" s="238"/>
    </row>
    <row r="346" spans="2:47" ht="19.149999999999999" customHeight="1" x14ac:dyDescent="0.2">
      <c r="B346" s="3709"/>
      <c r="C346" s="2296" t="s">
        <v>123</v>
      </c>
      <c r="D346" s="1209" t="s">
        <v>124</v>
      </c>
      <c r="E346" s="1255">
        <v>0</v>
      </c>
      <c r="F346" s="1255"/>
      <c r="G346" s="1255">
        <f>-'مطالبات بلند مدت دولت ياددا (2)'!E85</f>
        <v>0</v>
      </c>
      <c r="H346" s="1255">
        <f t="shared" si="81"/>
        <v>0</v>
      </c>
      <c r="I346" s="1779"/>
      <c r="J346" s="1780">
        <f t="shared" si="80"/>
        <v>0</v>
      </c>
      <c r="K346" s="1779"/>
      <c r="L346" s="1779"/>
      <c r="M346" s="1779"/>
      <c r="N346" s="240"/>
      <c r="O346" s="240"/>
      <c r="P346" s="1779"/>
      <c r="Q346" s="2259">
        <f>-'مطالبات بلند مدت دولت ياددا (2)'!G85</f>
        <v>0</v>
      </c>
      <c r="R346" s="240"/>
      <c r="S346" s="1823"/>
      <c r="T346" s="240"/>
      <c r="U346" s="2297"/>
      <c r="V346" s="240"/>
      <c r="W346" s="240"/>
      <c r="X346" s="1740"/>
      <c r="Y346" s="2240"/>
      <c r="Z346" s="2240"/>
      <c r="AA346" s="2240"/>
      <c r="AC346" s="2224"/>
      <c r="AF346" s="2224">
        <f t="shared" si="69"/>
        <v>0</v>
      </c>
      <c r="AG346" s="2224">
        <f t="shared" si="70"/>
        <v>0</v>
      </c>
      <c r="AK346" s="2224">
        <f t="shared" si="71"/>
        <v>0</v>
      </c>
      <c r="AL346" s="2224">
        <f t="shared" si="72"/>
        <v>0</v>
      </c>
      <c r="AP346" s="2224">
        <f t="shared" si="67"/>
        <v>0</v>
      </c>
      <c r="AR346" s="2224">
        <f t="shared" si="78"/>
        <v>0</v>
      </c>
      <c r="AS346" s="2224">
        <f t="shared" si="68"/>
        <v>0</v>
      </c>
      <c r="AU346" s="235"/>
    </row>
    <row r="347" spans="2:47" ht="19.149999999999999" customHeight="1" x14ac:dyDescent="0.2">
      <c r="B347" s="3709"/>
      <c r="C347" s="2298" t="s">
        <v>810</v>
      </c>
      <c r="D347" s="1210" t="s">
        <v>1085</v>
      </c>
      <c r="E347" s="1255">
        <v>7354000000</v>
      </c>
      <c r="F347" s="1255"/>
      <c r="G347" s="1255"/>
      <c r="H347" s="1255">
        <f t="shared" si="81"/>
        <v>7354000000</v>
      </c>
      <c r="I347" s="1779"/>
      <c r="J347" s="1780">
        <f t="shared" si="80"/>
        <v>0</v>
      </c>
      <c r="K347" s="1779"/>
      <c r="L347" s="1779"/>
      <c r="M347" s="1779"/>
      <c r="N347" s="240">
        <f>-'يادداشت_-5موجودی_جنسی__(2)'!K55</f>
        <v>0</v>
      </c>
      <c r="O347" s="240"/>
      <c r="P347" s="1779"/>
      <c r="Q347" s="2299"/>
      <c r="R347" s="848"/>
      <c r="S347" s="2300"/>
      <c r="T347" s="848"/>
      <c r="U347" s="2301"/>
      <c r="V347" s="240"/>
      <c r="W347" s="240"/>
      <c r="X347" s="1255">
        <v>7354000000</v>
      </c>
      <c r="Y347" s="2240"/>
      <c r="Z347" s="2240"/>
      <c r="AA347" s="2240"/>
      <c r="AC347" s="2224"/>
      <c r="AF347" s="2224">
        <f t="shared" si="69"/>
        <v>14708000000</v>
      </c>
      <c r="AG347" s="2224">
        <f t="shared" si="70"/>
        <v>-7354000000</v>
      </c>
      <c r="AK347" s="2224">
        <f t="shared" si="71"/>
        <v>14708000000</v>
      </c>
      <c r="AL347" s="2224">
        <f t="shared" si="72"/>
        <v>-7354000000</v>
      </c>
      <c r="AP347" s="2224">
        <f t="shared" si="67"/>
        <v>0</v>
      </c>
      <c r="AR347" s="2224">
        <f t="shared" si="78"/>
        <v>7354000000</v>
      </c>
      <c r="AS347" s="2224">
        <f t="shared" si="68"/>
        <v>0</v>
      </c>
      <c r="AU347" s="317">
        <v>-3563000000</v>
      </c>
    </row>
    <row r="348" spans="2:47" ht="19.149999999999999" customHeight="1" x14ac:dyDescent="0.2">
      <c r="B348" s="3709"/>
      <c r="C348" s="1788" t="s">
        <v>1089</v>
      </c>
      <c r="D348" s="1210" t="s">
        <v>1090</v>
      </c>
      <c r="E348" s="1255">
        <v>4554309954</v>
      </c>
      <c r="F348" s="1255"/>
      <c r="G348" s="1255"/>
      <c r="H348" s="1255">
        <f t="shared" si="81"/>
        <v>4554309954</v>
      </c>
      <c r="I348" s="1779"/>
      <c r="J348" s="1780">
        <f t="shared" si="80"/>
        <v>19120836113</v>
      </c>
      <c r="K348" s="1779"/>
      <c r="L348" s="1779"/>
      <c r="M348" s="1779"/>
      <c r="N348" s="240"/>
      <c r="O348" s="240"/>
      <c r="P348" s="1779"/>
      <c r="Q348" s="2259"/>
      <c r="R348" s="240"/>
      <c r="S348" s="1823"/>
      <c r="T348" s="240"/>
      <c r="U348" s="2297"/>
      <c r="V348" s="240"/>
      <c r="W348" s="240">
        <f>10000000000</f>
        <v>10000000000</v>
      </c>
      <c r="X348" s="1740">
        <v>33675146067</v>
      </c>
      <c r="Y348" s="2240"/>
      <c r="Z348" s="2240"/>
      <c r="AA348" s="2240"/>
      <c r="AC348" s="2224"/>
      <c r="AF348" s="2224">
        <f t="shared" si="69"/>
        <v>38229456021</v>
      </c>
      <c r="AG348" s="2224">
        <f t="shared" si="70"/>
        <v>-4554309954</v>
      </c>
      <c r="AK348" s="2224">
        <f t="shared" si="71"/>
        <v>38229456021</v>
      </c>
      <c r="AL348" s="2224">
        <f t="shared" si="72"/>
        <v>-4554309954</v>
      </c>
      <c r="AP348" s="2224">
        <f t="shared" si="67"/>
        <v>0</v>
      </c>
      <c r="AR348" s="2224">
        <f t="shared" si="78"/>
        <v>33675146067</v>
      </c>
      <c r="AS348" s="2224">
        <f t="shared" si="68"/>
        <v>0</v>
      </c>
      <c r="AU348" s="235"/>
    </row>
    <row r="349" spans="2:47" ht="19.149999999999999" customHeight="1" x14ac:dyDescent="0.2">
      <c r="B349" s="3709"/>
      <c r="C349" s="2298" t="s">
        <v>1080</v>
      </c>
      <c r="D349" s="1209" t="s">
        <v>1081</v>
      </c>
      <c r="E349" s="1255">
        <v>337093485751</v>
      </c>
      <c r="F349" s="1255">
        <f>-'يادداشت 8سرمايه گذاري در شركتها'!E147</f>
        <v>0</v>
      </c>
      <c r="G349" s="1255"/>
      <c r="H349" s="1255">
        <f t="shared" si="81"/>
        <v>337093485751</v>
      </c>
      <c r="I349" s="1779"/>
      <c r="J349" s="1780">
        <f t="shared" si="80"/>
        <v>2721086329</v>
      </c>
      <c r="K349" s="1779"/>
      <c r="L349" s="1779"/>
      <c r="M349" s="1779"/>
      <c r="N349" s="240"/>
      <c r="O349" s="240"/>
      <c r="P349" s="1779">
        <f>-'يادداشت 8سرمايه گذاري در شركتها'!G147</f>
        <v>-96335469264</v>
      </c>
      <c r="Q349" s="2259"/>
      <c r="R349" s="240"/>
      <c r="S349" s="1823"/>
      <c r="T349" s="240"/>
      <c r="U349" s="2297"/>
      <c r="V349" s="240"/>
      <c r="W349" s="240">
        <f>1269744192+2500000000+80342120-2937000000-6524190527-4905431153-6000000000-2597966478-5310000000-2425473617-8487367485-1595517516-695250955-5806000000-6032654770-4650000000-1869658844-41081507-2000000000-1000000000-6000000000-6965465288-7000000000-4850406631-7882323558-1869658844-3952920981-46188750-2775753921</f>
        <v>-100370224513</v>
      </c>
      <c r="X349" s="1740">
        <v>143108878303</v>
      </c>
      <c r="Y349" s="2240"/>
      <c r="Z349" s="2240"/>
      <c r="AA349" s="2240"/>
      <c r="AC349" s="2224"/>
      <c r="AF349" s="2224">
        <f t="shared" si="69"/>
        <v>480202364054</v>
      </c>
      <c r="AG349" s="2224">
        <f t="shared" si="70"/>
        <v>-337093485751</v>
      </c>
      <c r="AK349" s="2224">
        <f t="shared" si="71"/>
        <v>480202364054</v>
      </c>
      <c r="AL349" s="2224">
        <f t="shared" si="72"/>
        <v>-337093485751</v>
      </c>
      <c r="AP349" s="2224">
        <f t="shared" si="67"/>
        <v>0</v>
      </c>
      <c r="AR349" s="2224">
        <f t="shared" si="78"/>
        <v>143108878303</v>
      </c>
      <c r="AS349" s="2224">
        <f t="shared" si="68"/>
        <v>0</v>
      </c>
      <c r="AU349" s="235"/>
    </row>
    <row r="350" spans="2:47" ht="19.149999999999999" customHeight="1" x14ac:dyDescent="0.2">
      <c r="B350" s="3709"/>
      <c r="C350" s="1788" t="s">
        <v>1083</v>
      </c>
      <c r="D350" s="1210" t="s">
        <v>1082</v>
      </c>
      <c r="E350" s="1255">
        <v>113368602878</v>
      </c>
      <c r="F350" s="1255">
        <f>-'يادداشت 8سرمايه گذاري در شركتها'!E150</f>
        <v>0</v>
      </c>
      <c r="G350" s="1255"/>
      <c r="H350" s="1255">
        <f t="shared" si="81"/>
        <v>113368602878</v>
      </c>
      <c r="I350" s="1779"/>
      <c r="J350" s="1780">
        <f t="shared" si="80"/>
        <v>173393830971</v>
      </c>
      <c r="K350" s="1779"/>
      <c r="L350" s="1779"/>
      <c r="M350" s="1779"/>
      <c r="N350" s="240">
        <f>-'يادداشت_-5موجودی_جنسی__(2)'!K57</f>
        <v>25160175868</v>
      </c>
      <c r="O350" s="240">
        <f>-'پيش پرداخت سرمايه اي يادداشت 6'!I87</f>
        <v>8203241790</v>
      </c>
      <c r="P350" s="1779">
        <f>-'يادداشت 8سرمايه گذاري در شركتها'!G150</f>
        <v>-18967006498</v>
      </c>
      <c r="Q350" s="2259"/>
      <c r="R350" s="240"/>
      <c r="S350" s="1823"/>
      <c r="T350" s="240"/>
      <c r="U350" s="2297"/>
      <c r="V350" s="240"/>
      <c r="W350" s="240">
        <f>5000000000+3406654770+4202662+5151990004+1430041506+245000000+110796178</f>
        <v>15348685120</v>
      </c>
      <c r="X350" s="1740">
        <f>412872684743-X419</f>
        <v>316507530129</v>
      </c>
      <c r="Y350" s="2240"/>
      <c r="Z350" s="2240"/>
      <c r="AA350" s="2240"/>
      <c r="AC350" s="2224"/>
      <c r="AF350" s="2224">
        <f t="shared" si="69"/>
        <v>429876133007</v>
      </c>
      <c r="AG350" s="2224">
        <f t="shared" si="70"/>
        <v>-113368602878</v>
      </c>
      <c r="AK350" s="2224">
        <f t="shared" si="71"/>
        <v>429876133007</v>
      </c>
      <c r="AL350" s="2224">
        <f t="shared" si="72"/>
        <v>-113368602878</v>
      </c>
      <c r="AP350" s="2224">
        <f t="shared" si="67"/>
        <v>0</v>
      </c>
      <c r="AR350" s="2224">
        <f t="shared" si="78"/>
        <v>316507530129</v>
      </c>
      <c r="AS350" s="2224">
        <f t="shared" si="68"/>
        <v>0</v>
      </c>
      <c r="AU350" s="235"/>
    </row>
    <row r="351" spans="2:47" ht="19.149999999999999" customHeight="1" x14ac:dyDescent="0.2">
      <c r="B351" s="3709"/>
      <c r="C351" s="2298" t="s">
        <v>1078</v>
      </c>
      <c r="D351" s="1210" t="s">
        <v>1077</v>
      </c>
      <c r="E351" s="1255">
        <v>136514524046</v>
      </c>
      <c r="F351" s="1255">
        <f>-'يادداشت 8سرمايه گذاري در شركتها'!E148</f>
        <v>0</v>
      </c>
      <c r="G351" s="1255"/>
      <c r="H351" s="1255">
        <f t="shared" si="81"/>
        <v>136514524046</v>
      </c>
      <c r="I351" s="1779"/>
      <c r="J351" s="1780">
        <f t="shared" si="80"/>
        <v>28978669768</v>
      </c>
      <c r="K351" s="1779"/>
      <c r="L351" s="1779"/>
      <c r="M351" s="1779"/>
      <c r="N351" s="240">
        <f>-'يادداشت_-5موجودی_جنسی__(2)'!K58</f>
        <v>2208994000</v>
      </c>
      <c r="O351" s="240">
        <f>-'پيش پرداخت سرمايه اي يادداشت 6'!I96</f>
        <v>2317132928</v>
      </c>
      <c r="P351" s="1779">
        <f>-'يادداشت 8سرمايه گذاري در شركتها'!G148</f>
        <v>-36188758121</v>
      </c>
      <c r="Q351" s="2299"/>
      <c r="R351" s="848"/>
      <c r="S351" s="2300"/>
      <c r="T351" s="848"/>
      <c r="U351" s="2300"/>
      <c r="V351" s="848"/>
      <c r="W351" s="848">
        <f>2937000000+2044758803+2626000000+385000000+385000000</f>
        <v>8377758803</v>
      </c>
      <c r="X351" s="1782">
        <f>142208321424</f>
        <v>142208321424</v>
      </c>
      <c r="Y351" s="2240"/>
      <c r="Z351" s="2240"/>
      <c r="AA351" s="2240"/>
      <c r="AC351" s="2224"/>
      <c r="AF351" s="2224">
        <f t="shared" si="69"/>
        <v>278722845470</v>
      </c>
      <c r="AG351" s="2224">
        <f t="shared" si="70"/>
        <v>-136514524046</v>
      </c>
      <c r="AK351" s="2224">
        <f t="shared" si="71"/>
        <v>278722845470</v>
      </c>
      <c r="AL351" s="2224">
        <f t="shared" si="72"/>
        <v>-136514524046</v>
      </c>
      <c r="AP351" s="2224">
        <f t="shared" si="67"/>
        <v>0</v>
      </c>
      <c r="AR351" s="2224">
        <f t="shared" si="78"/>
        <v>142208321424</v>
      </c>
      <c r="AS351" s="2224">
        <f t="shared" si="68"/>
        <v>0</v>
      </c>
      <c r="AU351" s="317"/>
    </row>
    <row r="352" spans="2:47" ht="19.149999999999999" customHeight="1" x14ac:dyDescent="0.2">
      <c r="B352" s="3709"/>
      <c r="C352" s="625" t="s">
        <v>301</v>
      </c>
      <c r="D352" s="1210" t="s">
        <v>302</v>
      </c>
      <c r="E352" s="1255">
        <v>28484305</v>
      </c>
      <c r="F352" s="1255"/>
      <c r="G352" s="1255"/>
      <c r="H352" s="1255">
        <f t="shared" si="81"/>
        <v>28484305</v>
      </c>
      <c r="I352" s="1779"/>
      <c r="J352" s="1780">
        <f t="shared" si="80"/>
        <v>0</v>
      </c>
      <c r="K352" s="1779"/>
      <c r="L352" s="1779"/>
      <c r="M352" s="1779"/>
      <c r="N352" s="240"/>
      <c r="O352" s="240"/>
      <c r="P352" s="1779"/>
      <c r="Q352" s="2259"/>
      <c r="R352" s="240"/>
      <c r="S352" s="1823"/>
      <c r="T352" s="240"/>
      <c r="U352" s="1823"/>
      <c r="V352" s="240"/>
      <c r="W352" s="240"/>
      <c r="X352" s="1255">
        <v>28484305</v>
      </c>
      <c r="Y352" s="2240"/>
      <c r="Z352" s="2240"/>
      <c r="AA352" s="2240"/>
      <c r="AC352" s="2224"/>
      <c r="AF352" s="2224">
        <f t="shared" si="69"/>
        <v>56968610</v>
      </c>
      <c r="AG352" s="2224">
        <f t="shared" si="70"/>
        <v>-28484305</v>
      </c>
      <c r="AK352" s="2224">
        <f t="shared" si="71"/>
        <v>56968610</v>
      </c>
      <c r="AL352" s="2224">
        <f t="shared" si="72"/>
        <v>-28484305</v>
      </c>
      <c r="AP352" s="2224">
        <f t="shared" ref="AP352:AP357" si="82">X352-AR352</f>
        <v>0</v>
      </c>
      <c r="AR352" s="2224">
        <f t="shared" si="78"/>
        <v>28484305</v>
      </c>
      <c r="AS352" s="2224">
        <f t="shared" ref="AS352:AS457" si="83">X352-AR352</f>
        <v>0</v>
      </c>
      <c r="AU352" s="235"/>
    </row>
    <row r="353" spans="2:48" ht="19.149999999999999" customHeight="1" x14ac:dyDescent="0.2">
      <c r="B353" s="3709"/>
      <c r="C353" s="625" t="s">
        <v>1179</v>
      </c>
      <c r="D353" s="1704" t="s">
        <v>1178</v>
      </c>
      <c r="E353" s="1255"/>
      <c r="F353" s="1255"/>
      <c r="G353" s="1255"/>
      <c r="H353" s="1255">
        <f t="shared" si="81"/>
        <v>0</v>
      </c>
      <c r="I353" s="1779"/>
      <c r="J353" s="1780">
        <f t="shared" si="80"/>
        <v>0</v>
      </c>
      <c r="K353" s="1779"/>
      <c r="L353" s="1779"/>
      <c r="M353" s="1779"/>
      <c r="N353" s="240"/>
      <c r="O353" s="240"/>
      <c r="P353" s="1779"/>
      <c r="Q353" s="2259"/>
      <c r="R353" s="240"/>
      <c r="S353" s="1823"/>
      <c r="T353" s="240"/>
      <c r="U353" s="1823"/>
      <c r="V353" s="240"/>
      <c r="W353" s="240"/>
      <c r="X353" s="1740"/>
      <c r="Y353" s="2240"/>
      <c r="Z353" s="2240"/>
      <c r="AA353" s="2240"/>
      <c r="AC353" s="2224"/>
      <c r="AF353" s="2224"/>
      <c r="AG353" s="2224"/>
      <c r="AK353" s="2224"/>
      <c r="AL353" s="2224"/>
      <c r="AP353" s="2224">
        <f t="shared" si="82"/>
        <v>0</v>
      </c>
      <c r="AR353" s="2224">
        <f t="shared" si="78"/>
        <v>0</v>
      </c>
      <c r="AS353" s="2224">
        <f t="shared" si="83"/>
        <v>0</v>
      </c>
      <c r="AU353" s="235"/>
    </row>
    <row r="354" spans="2:48" ht="21" hidden="1" customHeight="1" x14ac:dyDescent="0.2">
      <c r="B354" s="3709"/>
      <c r="C354" s="625" t="s">
        <v>1181</v>
      </c>
      <c r="D354" s="1704"/>
      <c r="E354" s="1255"/>
      <c r="F354" s="1255"/>
      <c r="G354" s="1255"/>
      <c r="H354" s="1255">
        <f t="shared" si="81"/>
        <v>0</v>
      </c>
      <c r="I354" s="1779"/>
      <c r="J354" s="1780">
        <f t="shared" si="80"/>
        <v>0</v>
      </c>
      <c r="K354" s="1779"/>
      <c r="L354" s="1779"/>
      <c r="M354" s="1779"/>
      <c r="N354" s="240"/>
      <c r="O354" s="240"/>
      <c r="P354" s="1779"/>
      <c r="Q354" s="2302"/>
      <c r="R354" s="1298"/>
      <c r="S354" s="2303"/>
      <c r="T354" s="1298"/>
      <c r="U354" s="2303"/>
      <c r="V354" s="1298"/>
      <c r="W354" s="1298"/>
      <c r="X354" s="1740"/>
      <c r="Y354" s="2240"/>
      <c r="Z354" s="2240"/>
      <c r="AA354" s="2240"/>
      <c r="AC354" s="2224"/>
      <c r="AF354" s="2224"/>
      <c r="AG354" s="2224"/>
      <c r="AK354" s="2224"/>
      <c r="AL354" s="2224"/>
      <c r="AP354" s="2224">
        <f t="shared" si="82"/>
        <v>0</v>
      </c>
      <c r="AR354" s="2224">
        <f t="shared" si="78"/>
        <v>0</v>
      </c>
      <c r="AS354" s="2224">
        <f t="shared" si="83"/>
        <v>0</v>
      </c>
      <c r="AU354" s="503"/>
    </row>
    <row r="355" spans="2:48" ht="21" hidden="1" customHeight="1" x14ac:dyDescent="0.2">
      <c r="B355" s="3709"/>
      <c r="C355" s="625" t="s">
        <v>1182</v>
      </c>
      <c r="D355" s="1704"/>
      <c r="E355" s="1255"/>
      <c r="F355" s="1255"/>
      <c r="G355" s="1255"/>
      <c r="H355" s="1255">
        <f t="shared" si="81"/>
        <v>0</v>
      </c>
      <c r="I355" s="1779"/>
      <c r="J355" s="1780">
        <f t="shared" si="80"/>
        <v>0</v>
      </c>
      <c r="K355" s="1779"/>
      <c r="L355" s="1779"/>
      <c r="M355" s="1779"/>
      <c r="N355" s="240"/>
      <c r="O355" s="240"/>
      <c r="P355" s="1779"/>
      <c r="Q355" s="2302"/>
      <c r="R355" s="1298"/>
      <c r="S355" s="2303"/>
      <c r="T355" s="1298"/>
      <c r="U355" s="2303"/>
      <c r="V355" s="1298"/>
      <c r="W355" s="1298"/>
      <c r="X355" s="1740"/>
      <c r="Y355" s="2240"/>
      <c r="Z355" s="2240"/>
      <c r="AA355" s="2240"/>
      <c r="AC355" s="2224"/>
      <c r="AF355" s="2224"/>
      <c r="AG355" s="2224"/>
      <c r="AK355" s="2224"/>
      <c r="AL355" s="2224"/>
      <c r="AP355" s="2224">
        <f t="shared" si="82"/>
        <v>0</v>
      </c>
      <c r="AR355" s="2224">
        <f t="shared" si="78"/>
        <v>0</v>
      </c>
      <c r="AS355" s="2224">
        <f t="shared" si="83"/>
        <v>0</v>
      </c>
      <c r="AU355" s="503"/>
    </row>
    <row r="356" spans="2:48" ht="21" customHeight="1" x14ac:dyDescent="0.2">
      <c r="B356" s="3709"/>
      <c r="C356" s="1692" t="s">
        <v>1330</v>
      </c>
      <c r="D356" s="1705" t="s">
        <v>1329</v>
      </c>
      <c r="E356" s="1255">
        <v>2217854469446</v>
      </c>
      <c r="F356" s="1255">
        <f>-'يادداشت 8سرمايه گذاري در شركتها'!E151</f>
        <v>0</v>
      </c>
      <c r="G356" s="1255"/>
      <c r="H356" s="1255">
        <f t="shared" si="81"/>
        <v>2217854469446</v>
      </c>
      <c r="I356" s="1779"/>
      <c r="J356" s="1780">
        <f t="shared" si="80"/>
        <v>658896863513</v>
      </c>
      <c r="K356" s="1779"/>
      <c r="L356" s="1779"/>
      <c r="M356" s="1779"/>
      <c r="N356" s="240">
        <f>-'يادداشت_-5موجودی_جنسی__(2)'!K61</f>
        <v>345752476271</v>
      </c>
      <c r="O356" s="240">
        <f>-'پيش پرداخت سرمايه اي يادداشت 6'!I98</f>
        <v>46528808373</v>
      </c>
      <c r="P356" s="1779">
        <f>-'يادداشت 8سرمايه گذاري در شركتها'!G151</f>
        <v>-42735847214</v>
      </c>
      <c r="Q356" s="2302"/>
      <c r="R356" s="1298"/>
      <c r="S356" s="2303"/>
      <c r="T356" s="1298"/>
      <c r="U356" s="2303"/>
      <c r="V356" s="1298"/>
      <c r="W356" s="1298"/>
      <c r="X356" s="1782">
        <f>3226296770389</f>
        <v>3226296770389</v>
      </c>
      <c r="Y356" s="2240"/>
      <c r="Z356" s="2240"/>
      <c r="AA356" s="2240"/>
      <c r="AC356" s="2224"/>
      <c r="AF356" s="2224"/>
      <c r="AG356" s="2224"/>
      <c r="AK356" s="2224"/>
      <c r="AL356" s="2224"/>
      <c r="AP356" s="2224">
        <f t="shared" si="82"/>
        <v>0</v>
      </c>
      <c r="AR356" s="2224">
        <f t="shared" si="78"/>
        <v>3226296770389</v>
      </c>
      <c r="AS356" s="2224"/>
      <c r="AU356" s="503"/>
    </row>
    <row r="357" spans="2:48" ht="18" customHeight="1" x14ac:dyDescent="0.2">
      <c r="B357" s="3709"/>
      <c r="C357" s="1791" t="s">
        <v>1402</v>
      </c>
      <c r="D357" s="1200" t="s">
        <v>1403</v>
      </c>
      <c r="E357" s="1255">
        <v>9142650000</v>
      </c>
      <c r="F357" s="1255"/>
      <c r="G357" s="1255"/>
      <c r="H357" s="1255">
        <f t="shared" si="81"/>
        <v>9142650000</v>
      </c>
      <c r="I357" s="1779"/>
      <c r="J357" s="1780">
        <f t="shared" si="80"/>
        <v>857350000</v>
      </c>
      <c r="K357" s="1779"/>
      <c r="L357" s="1779"/>
      <c r="M357" s="1779"/>
      <c r="N357" s="240"/>
      <c r="O357" s="240"/>
      <c r="P357" s="1779"/>
      <c r="Q357" s="1779"/>
      <c r="R357" s="240"/>
      <c r="S357" s="1823"/>
      <c r="T357" s="240"/>
      <c r="U357" s="1823"/>
      <c r="V357" s="240"/>
      <c r="W357" s="240">
        <f>200000000-200000000</f>
        <v>0</v>
      </c>
      <c r="X357" s="1740">
        <v>10000000000</v>
      </c>
      <c r="Y357" s="2240"/>
      <c r="Z357" s="2240"/>
      <c r="AA357" s="2240"/>
      <c r="AC357" s="2224"/>
      <c r="AF357" s="2224"/>
      <c r="AG357" s="2224"/>
      <c r="AK357" s="2224"/>
      <c r="AL357" s="2224"/>
      <c r="AP357" s="2224">
        <f t="shared" si="82"/>
        <v>0</v>
      </c>
      <c r="AR357" s="2224">
        <f t="shared" si="78"/>
        <v>10000000000</v>
      </c>
      <c r="AS357" s="2224"/>
      <c r="AU357" s="503"/>
    </row>
    <row r="358" spans="2:48" ht="18" hidden="1" customHeight="1" x14ac:dyDescent="0.2">
      <c r="B358" s="3709"/>
      <c r="D358" s="1083"/>
      <c r="H358" s="1255">
        <f t="shared" si="81"/>
        <v>0</v>
      </c>
      <c r="J358" s="1780">
        <f t="shared" si="80"/>
        <v>0</v>
      </c>
      <c r="Y358" s="2240"/>
      <c r="Z358" s="2240"/>
      <c r="AA358" s="2240"/>
      <c r="AC358" s="2224"/>
      <c r="AF358" s="2224"/>
      <c r="AG358" s="2224"/>
      <c r="AK358" s="2224"/>
      <c r="AL358" s="2224"/>
      <c r="AP358" s="2224">
        <f>X455-AR358</f>
        <v>3000000000</v>
      </c>
      <c r="AR358" s="2224">
        <f t="shared" si="78"/>
        <v>0</v>
      </c>
      <c r="AS358" s="2224"/>
      <c r="AU358" s="503"/>
    </row>
    <row r="359" spans="2:48" ht="18" customHeight="1" x14ac:dyDescent="0.2">
      <c r="B359" s="3709"/>
      <c r="C359" s="1792" t="s">
        <v>558</v>
      </c>
      <c r="D359" s="1702" t="s">
        <v>1000</v>
      </c>
      <c r="E359" s="1255">
        <v>250000000</v>
      </c>
      <c r="F359" s="1255"/>
      <c r="G359" s="1255"/>
      <c r="H359" s="1255">
        <f t="shared" si="81"/>
        <v>250000000</v>
      </c>
      <c r="I359" s="1779"/>
      <c r="J359" s="1780">
        <f t="shared" si="80"/>
        <v>0</v>
      </c>
      <c r="K359" s="1779"/>
      <c r="L359" s="1779"/>
      <c r="M359" s="1779"/>
      <c r="N359" s="240"/>
      <c r="O359" s="240"/>
      <c r="P359" s="1779"/>
      <c r="Q359" s="1779"/>
      <c r="R359" s="240"/>
      <c r="S359" s="1823"/>
      <c r="T359" s="240"/>
      <c r="U359" s="1823"/>
      <c r="V359" s="240"/>
      <c r="W359" s="240"/>
      <c r="X359" s="1740">
        <v>250000000</v>
      </c>
      <c r="Y359" s="2240"/>
      <c r="Z359" s="2240"/>
      <c r="AA359" s="2240"/>
      <c r="AC359" s="2224"/>
      <c r="AF359" s="2224"/>
      <c r="AG359" s="2224"/>
      <c r="AK359" s="2224"/>
      <c r="AL359" s="2224"/>
      <c r="AP359" s="2224">
        <f>X359-AR359</f>
        <v>0</v>
      </c>
      <c r="AR359" s="2224">
        <f t="shared" si="78"/>
        <v>250000000</v>
      </c>
      <c r="AS359" s="2224"/>
      <c r="AU359" s="503"/>
    </row>
    <row r="360" spans="2:48" ht="18" customHeight="1" x14ac:dyDescent="0.2">
      <c r="B360" s="3709"/>
      <c r="C360" s="1794" t="s">
        <v>269</v>
      </c>
      <c r="D360" s="1703" t="s">
        <v>270</v>
      </c>
      <c r="E360" s="1255">
        <v>110000000</v>
      </c>
      <c r="F360" s="1255"/>
      <c r="G360" s="1255"/>
      <c r="H360" s="1255">
        <f t="shared" si="81"/>
        <v>110000000</v>
      </c>
      <c r="I360" s="1779"/>
      <c r="J360" s="1780">
        <f t="shared" si="80"/>
        <v>0</v>
      </c>
      <c r="K360" s="1779"/>
      <c r="L360" s="1779"/>
      <c r="M360" s="1779"/>
      <c r="N360" s="240"/>
      <c r="O360" s="240"/>
      <c r="P360" s="1779"/>
      <c r="Q360" s="1779"/>
      <c r="R360" s="240"/>
      <c r="S360" s="1823"/>
      <c r="T360" s="240"/>
      <c r="U360" s="1823"/>
      <c r="V360" s="240"/>
      <c r="W360" s="240"/>
      <c r="X360" s="1255">
        <v>110000000</v>
      </c>
      <c r="Y360" s="2240"/>
      <c r="Z360" s="2240"/>
      <c r="AA360" s="2240"/>
      <c r="AC360" s="2224"/>
      <c r="AF360" s="2224"/>
      <c r="AG360" s="2224"/>
      <c r="AK360" s="2224"/>
      <c r="AL360" s="2224"/>
      <c r="AP360" s="2224">
        <f>X360-AR360</f>
        <v>0</v>
      </c>
      <c r="AR360" s="2224">
        <f t="shared" si="78"/>
        <v>110000000</v>
      </c>
      <c r="AS360" s="2224"/>
      <c r="AU360" s="503"/>
    </row>
    <row r="361" spans="2:48" ht="18" customHeight="1" x14ac:dyDescent="0.4">
      <c r="B361" s="3709"/>
      <c r="C361" s="1795" t="s">
        <v>2143</v>
      </c>
      <c r="D361" s="1796" t="s">
        <v>2142</v>
      </c>
      <c r="E361" s="1255"/>
      <c r="F361" s="1255"/>
      <c r="G361" s="1255"/>
      <c r="H361" s="1255"/>
      <c r="I361" s="1779"/>
      <c r="J361" s="1780">
        <f t="shared" si="80"/>
        <v>69333000000</v>
      </c>
      <c r="K361" s="1779"/>
      <c r="L361" s="1779"/>
      <c r="M361" s="1779"/>
      <c r="N361" s="240"/>
      <c r="O361" s="240"/>
      <c r="P361" s="1779">
        <f>-'يادداشت 8سرمايه گذاري در شركتها'!G161</f>
        <v>-6330754133</v>
      </c>
      <c r="Q361" s="1779"/>
      <c r="R361" s="240"/>
      <c r="S361" s="1823"/>
      <c r="T361" s="240"/>
      <c r="U361" s="1823"/>
      <c r="V361" s="240"/>
      <c r="W361" s="240"/>
      <c r="X361" s="1740">
        <v>63002245867</v>
      </c>
      <c r="Y361" s="2240"/>
      <c r="Z361" s="2240"/>
      <c r="AA361" s="2240"/>
      <c r="AC361" s="2224"/>
      <c r="AF361" s="2224"/>
      <c r="AG361" s="2224"/>
      <c r="AK361" s="2224"/>
      <c r="AL361" s="2224"/>
      <c r="AP361" s="2224"/>
      <c r="AR361" s="2224"/>
      <c r="AS361" s="2224"/>
      <c r="AU361" s="503"/>
    </row>
    <row r="362" spans="2:48" ht="18" customHeight="1" x14ac:dyDescent="0.2">
      <c r="B362" s="3709"/>
      <c r="C362" s="1914" t="s">
        <v>292</v>
      </c>
      <c r="D362" s="1798" t="s">
        <v>1079</v>
      </c>
      <c r="E362" s="1255"/>
      <c r="F362" s="1255"/>
      <c r="G362" s="1255"/>
      <c r="H362" s="1255"/>
      <c r="I362" s="1779"/>
      <c r="J362" s="1780">
        <f t="shared" si="80"/>
        <v>40790873099</v>
      </c>
      <c r="K362" s="1779"/>
      <c r="L362" s="1779"/>
      <c r="M362" s="1779"/>
      <c r="N362" s="240"/>
      <c r="O362" s="240"/>
      <c r="P362" s="1779"/>
      <c r="Q362" s="1779"/>
      <c r="R362" s="240"/>
      <c r="S362" s="1823"/>
      <c r="T362" s="240"/>
      <c r="U362" s="1823"/>
      <c r="V362" s="240"/>
      <c r="W362" s="240">
        <f>-14284074232</f>
        <v>-14284074232</v>
      </c>
      <c r="X362" s="1740">
        <v>26506798867</v>
      </c>
      <c r="Y362" s="2240"/>
      <c r="Z362" s="2240"/>
      <c r="AA362" s="2240"/>
      <c r="AC362" s="2224"/>
      <c r="AF362" s="2224"/>
      <c r="AG362" s="2224"/>
      <c r="AK362" s="2224"/>
      <c r="AL362" s="2224"/>
      <c r="AP362" s="2224"/>
      <c r="AR362" s="2224"/>
      <c r="AS362" s="2224"/>
      <c r="AU362" s="503"/>
    </row>
    <row r="363" spans="2:48" ht="18" customHeight="1" x14ac:dyDescent="0.4">
      <c r="B363" s="3709"/>
      <c r="C363" s="1800" t="s">
        <v>2049</v>
      </c>
      <c r="D363" s="1801" t="s">
        <v>2025</v>
      </c>
      <c r="E363" s="1255"/>
      <c r="F363" s="1255"/>
      <c r="G363" s="1255"/>
      <c r="H363" s="1255"/>
      <c r="I363" s="1779"/>
      <c r="J363" s="1780">
        <f t="shared" si="80"/>
        <v>385018931985</v>
      </c>
      <c r="K363" s="1779"/>
      <c r="L363" s="1779"/>
      <c r="M363" s="1779"/>
      <c r="N363" s="240"/>
      <c r="O363" s="240"/>
      <c r="P363" s="1779">
        <f>-'يادداشت 8سرمايه گذاري در شركتها'!G125</f>
        <v>-1183722785</v>
      </c>
      <c r="Q363" s="1779"/>
      <c r="R363" s="240"/>
      <c r="S363" s="1823"/>
      <c r="T363" s="240"/>
      <c r="U363" s="1823"/>
      <c r="V363" s="240"/>
      <c r="W363" s="240">
        <f>12922642469+44228715528</f>
        <v>57151357997</v>
      </c>
      <c r="X363" s="1740">
        <v>440986567197</v>
      </c>
      <c r="Y363" s="2240"/>
      <c r="Z363" s="2240"/>
      <c r="AA363" s="2240"/>
      <c r="AC363" s="2224"/>
      <c r="AF363" s="2224"/>
      <c r="AG363" s="2224"/>
      <c r="AK363" s="2224"/>
      <c r="AL363" s="2224"/>
      <c r="AP363" s="2224"/>
      <c r="AR363" s="2224"/>
      <c r="AS363" s="2224"/>
      <c r="AU363" s="503"/>
    </row>
    <row r="364" spans="2:48" ht="18" customHeight="1" x14ac:dyDescent="0.4">
      <c r="B364" s="3709"/>
      <c r="C364" s="1800" t="s">
        <v>2057</v>
      </c>
      <c r="D364" s="1801" t="s">
        <v>2034</v>
      </c>
      <c r="E364" s="1255"/>
      <c r="F364" s="1255"/>
      <c r="G364" s="1255"/>
      <c r="H364" s="1255"/>
      <c r="I364" s="1779"/>
      <c r="J364" s="1780">
        <f t="shared" si="80"/>
        <v>156777850617</v>
      </c>
      <c r="K364" s="1779"/>
      <c r="L364" s="1779"/>
      <c r="M364" s="1779"/>
      <c r="N364" s="240"/>
      <c r="O364" s="240"/>
      <c r="P364" s="1779">
        <f>-'يادداشت 8سرمايه گذاري در شركتها'!G162</f>
        <v>-8457578018</v>
      </c>
      <c r="Q364" s="1779"/>
      <c r="R364" s="240"/>
      <c r="S364" s="1823"/>
      <c r="T364" s="240"/>
      <c r="U364" s="1823"/>
      <c r="V364" s="240"/>
      <c r="W364" s="240"/>
      <c r="X364" s="1740">
        <v>148320272599</v>
      </c>
      <c r="Y364" s="2240"/>
      <c r="Z364" s="2240"/>
      <c r="AA364" s="2240"/>
      <c r="AC364" s="2224"/>
      <c r="AF364" s="2224"/>
      <c r="AG364" s="2224"/>
      <c r="AK364" s="2224"/>
      <c r="AL364" s="2224"/>
      <c r="AP364" s="2224"/>
      <c r="AR364" s="2224"/>
      <c r="AS364" s="2224"/>
      <c r="AU364" s="503"/>
    </row>
    <row r="365" spans="2:48" ht="18" customHeight="1" x14ac:dyDescent="0.4">
      <c r="B365" s="3709"/>
      <c r="C365" s="1800" t="s">
        <v>2056</v>
      </c>
      <c r="D365" s="1801" t="s">
        <v>2197</v>
      </c>
      <c r="E365" s="1255"/>
      <c r="F365" s="1255"/>
      <c r="G365" s="1255"/>
      <c r="H365" s="1255"/>
      <c r="I365" s="1779"/>
      <c r="J365" s="1780">
        <f t="shared" si="80"/>
        <v>439873994462</v>
      </c>
      <c r="K365" s="1779"/>
      <c r="L365" s="1779"/>
      <c r="M365" s="1779"/>
      <c r="N365" s="240">
        <f>-'يادداشت_-5موجودی_جنسی__(2)'!K69</f>
        <v>22773212791</v>
      </c>
      <c r="O365" s="240"/>
      <c r="P365" s="1779">
        <f>-'يادداشت 8سرمايه گذاري در شركتها'!G163</f>
        <v>-20514798380</v>
      </c>
      <c r="Q365" s="1779"/>
      <c r="R365" s="240"/>
      <c r="S365" s="1823"/>
      <c r="T365" s="240"/>
      <c r="U365" s="1823"/>
      <c r="V365" s="240"/>
      <c r="W365" s="240"/>
      <c r="X365" s="1740">
        <v>442132408873</v>
      </c>
      <c r="Y365" s="2240"/>
      <c r="Z365" s="2240"/>
      <c r="AA365" s="2240"/>
      <c r="AC365" s="2224"/>
      <c r="AF365" s="2224"/>
      <c r="AG365" s="2224"/>
      <c r="AK365" s="2224"/>
      <c r="AL365" s="2224"/>
      <c r="AP365" s="2224"/>
      <c r="AR365" s="2224"/>
      <c r="AS365" s="2224"/>
      <c r="AU365" s="503"/>
    </row>
    <row r="366" spans="2:48" ht="18" customHeight="1" x14ac:dyDescent="0.4">
      <c r="B366" s="3709"/>
      <c r="C366" s="1800" t="s">
        <v>2062</v>
      </c>
      <c r="D366" s="1801" t="s">
        <v>2144</v>
      </c>
      <c r="E366" s="1255"/>
      <c r="F366" s="1255"/>
      <c r="G366" s="1255"/>
      <c r="H366" s="1255"/>
      <c r="I366" s="1779"/>
      <c r="J366" s="1780">
        <f t="shared" si="80"/>
        <v>95372406184</v>
      </c>
      <c r="K366" s="1779"/>
      <c r="L366" s="1779"/>
      <c r="M366" s="1779"/>
      <c r="N366" s="240"/>
      <c r="O366" s="240"/>
      <c r="P366" s="1779">
        <f>-'يادداشت 8سرمايه گذاري در شركتها'!G164</f>
        <v>-4029150283</v>
      </c>
      <c r="Q366" s="1779"/>
      <c r="R366" s="240"/>
      <c r="S366" s="1823"/>
      <c r="T366" s="240"/>
      <c r="U366" s="1823"/>
      <c r="V366" s="240"/>
      <c r="W366" s="240">
        <f>2812691956+204038937</f>
        <v>3016730893</v>
      </c>
      <c r="X366" s="1740">
        <v>94359986794</v>
      </c>
      <c r="Y366" s="2240"/>
      <c r="Z366" s="2240"/>
      <c r="AA366" s="2240"/>
      <c r="AC366" s="2224"/>
      <c r="AF366" s="2224"/>
      <c r="AG366" s="2224"/>
      <c r="AK366" s="2224"/>
      <c r="AL366" s="2224"/>
      <c r="AP366" s="2224"/>
      <c r="AR366" s="2224"/>
      <c r="AS366" s="2224"/>
      <c r="AU366" s="503"/>
    </row>
    <row r="367" spans="2:48" ht="18" customHeight="1" x14ac:dyDescent="0.4">
      <c r="B367" s="3709"/>
      <c r="C367" s="1802" t="s">
        <v>2067</v>
      </c>
      <c r="D367" s="1803" t="s">
        <v>2045</v>
      </c>
      <c r="E367" s="1255"/>
      <c r="F367" s="1255"/>
      <c r="G367" s="1255"/>
      <c r="H367" s="1255"/>
      <c r="I367" s="1779"/>
      <c r="J367" s="1780">
        <f t="shared" si="80"/>
        <v>138865375683</v>
      </c>
      <c r="K367" s="1779"/>
      <c r="L367" s="1779"/>
      <c r="M367" s="1779"/>
      <c r="N367" s="240"/>
      <c r="O367" s="240"/>
      <c r="P367" s="1779"/>
      <c r="Q367" s="1779"/>
      <c r="R367" s="240"/>
      <c r="S367" s="1823"/>
      <c r="T367" s="240"/>
      <c r="U367" s="1823"/>
      <c r="V367" s="240"/>
      <c r="W367" s="240"/>
      <c r="X367" s="1740">
        <v>138865375683</v>
      </c>
      <c r="Y367" s="2240"/>
      <c r="Z367" s="2240"/>
      <c r="AA367" s="2240"/>
      <c r="AC367" s="2224"/>
      <c r="AF367" s="2224"/>
      <c r="AG367" s="2224"/>
      <c r="AK367" s="2224"/>
      <c r="AL367" s="2224"/>
      <c r="AR367" s="2018"/>
      <c r="AS367" s="2018"/>
      <c r="AT367" s="2018"/>
      <c r="AU367" s="2018"/>
      <c r="AV367" s="2019"/>
    </row>
    <row r="368" spans="2:48" ht="18" customHeight="1" x14ac:dyDescent="0.4">
      <c r="B368" s="3663" t="s">
        <v>786</v>
      </c>
      <c r="C368" s="3663"/>
      <c r="D368" s="3663"/>
      <c r="E368" s="1289">
        <f>SUM(E340:E367)</f>
        <v>35818816192153</v>
      </c>
      <c r="F368" s="1289">
        <f t="shared" ref="F368:X368" si="84">SUM(F340:F367)</f>
        <v>0</v>
      </c>
      <c r="G368" s="1289">
        <f t="shared" si="84"/>
        <v>0</v>
      </c>
      <c r="H368" s="1289">
        <f t="shared" si="84"/>
        <v>35818816192153</v>
      </c>
      <c r="I368" s="1289">
        <f t="shared" si="84"/>
        <v>0</v>
      </c>
      <c r="J368" s="1289">
        <f t="shared" si="84"/>
        <v>14289041699994</v>
      </c>
      <c r="K368" s="1289">
        <f t="shared" si="84"/>
        <v>0</v>
      </c>
      <c r="L368" s="1289">
        <f t="shared" si="84"/>
        <v>0</v>
      </c>
      <c r="M368" s="1289">
        <f t="shared" si="84"/>
        <v>0</v>
      </c>
      <c r="N368" s="1289">
        <f t="shared" si="84"/>
        <v>893261986335</v>
      </c>
      <c r="O368" s="1289">
        <f t="shared" si="84"/>
        <v>701799171229</v>
      </c>
      <c r="P368" s="1289">
        <f t="shared" si="84"/>
        <v>-1580268488202</v>
      </c>
      <c r="Q368" s="1289">
        <f t="shared" si="84"/>
        <v>-1315023704478</v>
      </c>
      <c r="R368" s="1289">
        <f t="shared" si="84"/>
        <v>0</v>
      </c>
      <c r="S368" s="1289">
        <f t="shared" si="84"/>
        <v>0</v>
      </c>
      <c r="T368" s="1289">
        <f t="shared" si="84"/>
        <v>0</v>
      </c>
      <c r="U368" s="1289">
        <f t="shared" si="84"/>
        <v>0</v>
      </c>
      <c r="V368" s="1289">
        <f t="shared" si="84"/>
        <v>-46208983180</v>
      </c>
      <c r="W368" s="1289">
        <f t="shared" si="84"/>
        <v>1018846040019</v>
      </c>
      <c r="X368" s="1289">
        <f t="shared" si="84"/>
        <v>49780263913870</v>
      </c>
      <c r="Y368" s="259" t="e">
        <f>SUM(Y323:Y358)</f>
        <v>#N/A</v>
      </c>
      <c r="Z368" s="259" t="e">
        <f>SUM(Z323:Z358)</f>
        <v>#N/A</v>
      </c>
      <c r="AA368" s="259" t="e">
        <f>SUM(AA323:AA358)</f>
        <v>#N/A</v>
      </c>
      <c r="AC368" s="2224"/>
      <c r="AF368" s="2224"/>
      <c r="AG368" s="2224"/>
      <c r="AK368" s="2224"/>
      <c r="AL368" s="2224"/>
      <c r="AR368" s="2018"/>
      <c r="AS368" s="2018"/>
      <c r="AT368" s="2018"/>
      <c r="AU368" s="2018"/>
      <c r="AV368" s="2019"/>
    </row>
    <row r="369" spans="2:49" ht="18" customHeight="1" x14ac:dyDescent="0.4">
      <c r="B369" s="2273"/>
      <c r="C369" s="3660" t="s">
        <v>1190</v>
      </c>
      <c r="D369" s="3660"/>
      <c r="E369" s="3660"/>
      <c r="F369" s="3660"/>
      <c r="G369" s="3660"/>
      <c r="H369" s="3660"/>
      <c r="I369" s="3660"/>
      <c r="J369" s="3660"/>
      <c r="K369" s="3660"/>
      <c r="L369" s="3660"/>
      <c r="M369" s="3660"/>
      <c r="N369" s="3660"/>
      <c r="O369" s="3660"/>
      <c r="P369" s="3660"/>
      <c r="Q369" s="3660"/>
      <c r="R369" s="3660"/>
      <c r="S369" s="3660"/>
      <c r="T369" s="3660"/>
      <c r="U369" s="3660"/>
      <c r="V369" s="3660"/>
      <c r="W369" s="3660"/>
      <c r="X369" s="3660"/>
      <c r="Y369" s="3660"/>
      <c r="Z369" s="2274"/>
      <c r="AC369" s="2224"/>
      <c r="AF369" s="2224"/>
      <c r="AG369" s="2224"/>
      <c r="AK369" s="2224"/>
      <c r="AL369" s="2224"/>
      <c r="AR369" s="2018"/>
      <c r="AS369" s="2018"/>
      <c r="AT369" s="2018"/>
      <c r="AU369" s="2018"/>
      <c r="AV369" s="2019"/>
    </row>
    <row r="370" spans="2:49" ht="23.45" customHeight="1" x14ac:dyDescent="0.4">
      <c r="B370" s="3574" t="s">
        <v>32</v>
      </c>
      <c r="C370" s="3574"/>
      <c r="D370" s="3574"/>
      <c r="E370" s="3574"/>
      <c r="F370" s="3574"/>
      <c r="G370" s="3574"/>
      <c r="H370" s="3574"/>
      <c r="I370" s="3574"/>
      <c r="J370" s="3574"/>
      <c r="K370" s="3574"/>
      <c r="L370" s="3574"/>
      <c r="M370" s="3574"/>
      <c r="N370" s="3574"/>
      <c r="O370" s="3574"/>
      <c r="P370" s="3574"/>
      <c r="Q370" s="3574"/>
      <c r="R370" s="3574"/>
      <c r="S370" s="3574"/>
      <c r="T370" s="3574"/>
      <c r="U370" s="3574"/>
      <c r="V370" s="3574"/>
      <c r="W370" s="3574"/>
      <c r="X370" s="3574"/>
      <c r="Y370" s="3574"/>
      <c r="Z370" s="3574"/>
      <c r="AA370" s="3574"/>
      <c r="AC370" s="2224"/>
      <c r="AF370" s="2224"/>
      <c r="AG370" s="2224"/>
      <c r="AK370" s="2224"/>
      <c r="AL370" s="2224"/>
      <c r="AR370" s="2018"/>
      <c r="AS370" s="2018"/>
      <c r="AT370" s="2018"/>
      <c r="AU370" s="2018"/>
      <c r="AV370" s="2019"/>
    </row>
    <row r="371" spans="2:49" ht="23.45" customHeight="1" x14ac:dyDescent="0.4">
      <c r="B371" s="3574" t="s">
        <v>45</v>
      </c>
      <c r="C371" s="3574"/>
      <c r="D371" s="3574"/>
      <c r="E371" s="3574"/>
      <c r="F371" s="3574"/>
      <c r="G371" s="3574"/>
      <c r="H371" s="3574"/>
      <c r="I371" s="3574"/>
      <c r="J371" s="3574"/>
      <c r="K371" s="3574"/>
      <c r="L371" s="3574"/>
      <c r="M371" s="3574"/>
      <c r="N371" s="3574"/>
      <c r="O371" s="3574"/>
      <c r="P371" s="3574"/>
      <c r="Q371" s="3574"/>
      <c r="R371" s="3574"/>
      <c r="S371" s="3574"/>
      <c r="T371" s="3574"/>
      <c r="U371" s="3574"/>
      <c r="V371" s="3574"/>
      <c r="W371" s="3574"/>
      <c r="X371" s="3574"/>
      <c r="Y371" s="3574"/>
      <c r="Z371" s="3574"/>
      <c r="AA371" s="3574"/>
      <c r="AC371" s="2224"/>
      <c r="AF371" s="2224"/>
      <c r="AG371" s="2224"/>
      <c r="AK371" s="2224"/>
      <c r="AL371" s="2224"/>
      <c r="AR371" s="2018"/>
      <c r="AS371" s="2018"/>
      <c r="AT371" s="2018"/>
      <c r="AU371" s="2018"/>
      <c r="AV371" s="2019"/>
    </row>
    <row r="372" spans="2:49" ht="23.45" customHeight="1" x14ac:dyDescent="0.4">
      <c r="B372" s="3574" t="s">
        <v>46</v>
      </c>
      <c r="C372" s="3574"/>
      <c r="D372" s="3574"/>
      <c r="E372" s="3574"/>
      <c r="F372" s="3574"/>
      <c r="G372" s="3574"/>
      <c r="H372" s="3574"/>
      <c r="I372" s="3574"/>
      <c r="J372" s="3574"/>
      <c r="K372" s="3574"/>
      <c r="L372" s="3574"/>
      <c r="M372" s="3574"/>
      <c r="N372" s="3574"/>
      <c r="O372" s="3574"/>
      <c r="P372" s="3574"/>
      <c r="Q372" s="3574"/>
      <c r="R372" s="3574"/>
      <c r="S372" s="3574"/>
      <c r="T372" s="3574"/>
      <c r="U372" s="3574"/>
      <c r="V372" s="3574"/>
      <c r="W372" s="3574"/>
      <c r="X372" s="3574"/>
      <c r="Y372" s="3574"/>
      <c r="Z372" s="3574"/>
      <c r="AA372" s="3574"/>
      <c r="AC372" s="2224"/>
      <c r="AF372" s="2224"/>
      <c r="AG372" s="2224"/>
      <c r="AK372" s="2224"/>
      <c r="AL372" s="2224"/>
      <c r="AR372" s="2018"/>
      <c r="AS372" s="2018"/>
      <c r="AT372" s="2018"/>
      <c r="AU372" s="2018"/>
      <c r="AV372" s="2019"/>
    </row>
    <row r="373" spans="2:49" ht="23.45" customHeight="1" x14ac:dyDescent="0.4">
      <c r="B373" s="3572" t="s">
        <v>1992</v>
      </c>
      <c r="C373" s="3572"/>
      <c r="D373" s="3572"/>
      <c r="E373" s="3572"/>
      <c r="F373" s="3572"/>
      <c r="G373" s="3572"/>
      <c r="H373" s="3572"/>
      <c r="I373" s="3572"/>
      <c r="J373" s="3572"/>
      <c r="K373" s="3572"/>
      <c r="L373" s="3572"/>
      <c r="M373" s="3572"/>
      <c r="N373" s="3572"/>
      <c r="O373" s="3572"/>
      <c r="P373" s="3572"/>
      <c r="Q373" s="3572"/>
      <c r="R373" s="3572"/>
      <c r="S373" s="3572"/>
      <c r="T373" s="3572"/>
      <c r="U373" s="3572"/>
      <c r="V373" s="3572"/>
      <c r="W373" s="3572"/>
      <c r="X373" s="3572"/>
      <c r="Y373" s="3572"/>
      <c r="Z373" s="3572"/>
      <c r="AA373" s="3572"/>
      <c r="AC373" s="2224"/>
      <c r="AF373" s="2224"/>
      <c r="AG373" s="2224"/>
      <c r="AK373" s="2224"/>
      <c r="AL373" s="2224"/>
      <c r="AR373" s="2018"/>
      <c r="AS373" s="2018"/>
      <c r="AT373" s="2018"/>
      <c r="AU373" s="2018"/>
      <c r="AV373" s="2019"/>
    </row>
    <row r="374" spans="2:49" ht="18" customHeight="1" x14ac:dyDescent="0.4">
      <c r="B374" s="2185"/>
      <c r="C374" s="2185"/>
      <c r="D374" s="1212"/>
      <c r="E374" s="1262"/>
      <c r="F374" s="1262"/>
      <c r="G374" s="1262"/>
      <c r="H374" s="1262"/>
      <c r="I374" s="2245"/>
      <c r="J374" s="2245"/>
      <c r="K374" s="2245"/>
      <c r="L374" s="2245"/>
      <c r="M374" s="2245"/>
      <c r="N374" s="2245"/>
      <c r="O374" s="2245"/>
      <c r="P374" s="2245"/>
      <c r="Q374" s="2245"/>
      <c r="R374" s="2245"/>
      <c r="S374" s="2245"/>
      <c r="T374" s="2245"/>
      <c r="U374" s="2245"/>
      <c r="V374" s="2245"/>
      <c r="W374" s="2245"/>
      <c r="X374" s="2246"/>
      <c r="Y374" s="2185"/>
      <c r="Z374" s="2185"/>
      <c r="AA374" s="2185"/>
      <c r="AC374" s="2224"/>
      <c r="AF374" s="2224"/>
      <c r="AG374" s="2224"/>
      <c r="AK374" s="2224"/>
      <c r="AL374" s="2224"/>
      <c r="AR374" s="2018"/>
      <c r="AS374" s="2018"/>
      <c r="AT374" s="2018"/>
      <c r="AU374" s="2018"/>
      <c r="AV374" s="2019"/>
    </row>
    <row r="375" spans="2:49" ht="18" customHeight="1" x14ac:dyDescent="0.4">
      <c r="B375" s="3664" t="s">
        <v>894</v>
      </c>
      <c r="C375" s="3664"/>
      <c r="D375" s="3664"/>
      <c r="E375" s="1252"/>
      <c r="F375" s="1252"/>
      <c r="G375" s="1252"/>
      <c r="H375" s="1252"/>
      <c r="I375" s="2239"/>
      <c r="J375" s="2239"/>
      <c r="K375" s="2239"/>
      <c r="L375" s="2239"/>
      <c r="M375" s="2239"/>
      <c r="N375" s="2239"/>
      <c r="O375" s="2239"/>
      <c r="P375" s="2239"/>
      <c r="Q375" s="2239"/>
      <c r="R375" s="2239"/>
      <c r="S375" s="2239"/>
      <c r="T375" s="2239"/>
      <c r="U375" s="2239"/>
      <c r="V375" s="2239"/>
      <c r="W375" s="3674" t="s">
        <v>338</v>
      </c>
      <c r="X375" s="3674"/>
      <c r="Y375" s="2240"/>
      <c r="Z375" s="2240"/>
      <c r="AA375" s="2240"/>
      <c r="AC375" s="2224"/>
      <c r="AF375" s="2224"/>
      <c r="AG375" s="2224"/>
      <c r="AK375" s="2224"/>
      <c r="AL375" s="2224"/>
      <c r="AR375" s="2018"/>
      <c r="AS375" s="2018"/>
      <c r="AT375" s="2018"/>
      <c r="AU375" s="2018"/>
      <c r="AV375" s="2019"/>
    </row>
    <row r="376" spans="2:49" ht="18" customHeight="1" x14ac:dyDescent="0.4">
      <c r="B376" s="3666" t="s">
        <v>419</v>
      </c>
      <c r="C376" s="3659" t="s">
        <v>196</v>
      </c>
      <c r="D376" s="3677" t="s">
        <v>197</v>
      </c>
      <c r="E376" s="3647" t="s">
        <v>1391</v>
      </c>
      <c r="F376" s="3682" t="s">
        <v>1116</v>
      </c>
      <c r="G376" s="3682"/>
      <c r="H376" s="3662" t="s">
        <v>1993</v>
      </c>
      <c r="I376" s="3650" t="s">
        <v>1244</v>
      </c>
      <c r="J376" s="3650"/>
      <c r="K376" s="2216" t="s">
        <v>340</v>
      </c>
      <c r="L376" s="2216"/>
      <c r="M376" s="2216"/>
      <c r="N376" s="3661" t="s">
        <v>341</v>
      </c>
      <c r="O376" s="3661"/>
      <c r="P376" s="3651" t="s">
        <v>1012</v>
      </c>
      <c r="Q376" s="3652"/>
      <c r="R376" s="3652"/>
      <c r="S376" s="3652"/>
      <c r="T376" s="3653"/>
      <c r="U376" s="2217"/>
      <c r="V376" s="3650" t="s">
        <v>1334</v>
      </c>
      <c r="W376" s="3649" t="s">
        <v>898</v>
      </c>
      <c r="X376" s="3648" t="s">
        <v>1986</v>
      </c>
      <c r="Y376" s="2240"/>
      <c r="Z376" s="2240"/>
      <c r="AA376" s="2240"/>
      <c r="AC376" s="2224"/>
      <c r="AF376" s="2224"/>
      <c r="AG376" s="2224"/>
      <c r="AK376" s="2224"/>
      <c r="AL376" s="2224"/>
      <c r="AR376" s="2018"/>
      <c r="AS376" s="2018"/>
      <c r="AT376" s="2018"/>
      <c r="AU376" s="2018"/>
      <c r="AV376" s="2019"/>
    </row>
    <row r="377" spans="2:49" ht="43.9" customHeight="1" x14ac:dyDescent="0.4">
      <c r="B377" s="3666"/>
      <c r="C377" s="3659"/>
      <c r="D377" s="3677"/>
      <c r="E377" s="3647"/>
      <c r="F377" s="1409" t="s">
        <v>1955</v>
      </c>
      <c r="G377" s="1409" t="s">
        <v>1956</v>
      </c>
      <c r="H377" s="3662"/>
      <c r="I377" s="3650"/>
      <c r="J377" s="3650"/>
      <c r="K377" s="2220" t="s">
        <v>315</v>
      </c>
      <c r="L377" s="2220" t="s">
        <v>891</v>
      </c>
      <c r="M377" s="2216" t="s">
        <v>314</v>
      </c>
      <c r="N377" s="2216" t="s">
        <v>1076</v>
      </c>
      <c r="O377" s="2216" t="s">
        <v>18</v>
      </c>
      <c r="P377" s="2220" t="s">
        <v>892</v>
      </c>
      <c r="Q377" s="2220" t="s">
        <v>826</v>
      </c>
      <c r="R377" s="2220" t="s">
        <v>315</v>
      </c>
      <c r="S377" s="2216"/>
      <c r="T377" s="2216" t="s">
        <v>1180</v>
      </c>
      <c r="U377" s="2216"/>
      <c r="V377" s="3650"/>
      <c r="W377" s="3649"/>
      <c r="X377" s="3648"/>
      <c r="Y377" s="2240"/>
      <c r="Z377" s="2240"/>
      <c r="AA377" s="2240"/>
      <c r="AC377" s="2224"/>
      <c r="AF377" s="2224"/>
      <c r="AG377" s="2224"/>
      <c r="AK377" s="2224"/>
      <c r="AL377" s="2224"/>
      <c r="AR377" s="2018"/>
      <c r="AS377" s="2018"/>
      <c r="AT377" s="2018"/>
      <c r="AU377" s="2018"/>
      <c r="AV377" s="2019"/>
    </row>
    <row r="378" spans="2:49" ht="25.15" customHeight="1" x14ac:dyDescent="0.4">
      <c r="B378" s="3709" t="s">
        <v>420</v>
      </c>
      <c r="C378" s="3683" t="s">
        <v>181</v>
      </c>
      <c r="D378" s="3683"/>
      <c r="E378" s="1280">
        <f t="shared" ref="E378:X378" si="85">E368</f>
        <v>35818816192153</v>
      </c>
      <c r="F378" s="1280">
        <f t="shared" si="85"/>
        <v>0</v>
      </c>
      <c r="G378" s="1280">
        <f t="shared" si="85"/>
        <v>0</v>
      </c>
      <c r="H378" s="1280">
        <f t="shared" si="85"/>
        <v>35818816192153</v>
      </c>
      <c r="I378" s="1780">
        <f t="shared" si="85"/>
        <v>0</v>
      </c>
      <c r="J378" s="1780">
        <f t="shared" si="85"/>
        <v>14289041699994</v>
      </c>
      <c r="K378" s="1780">
        <f t="shared" si="85"/>
        <v>0</v>
      </c>
      <c r="L378" s="1780">
        <f t="shared" si="85"/>
        <v>0</v>
      </c>
      <c r="M378" s="1780">
        <f t="shared" si="85"/>
        <v>0</v>
      </c>
      <c r="N378" s="1780">
        <f t="shared" si="85"/>
        <v>893261986335</v>
      </c>
      <c r="O378" s="1780">
        <f t="shared" si="85"/>
        <v>701799171229</v>
      </c>
      <c r="P378" s="1780">
        <f t="shared" si="85"/>
        <v>-1580268488202</v>
      </c>
      <c r="Q378" s="2275">
        <f t="shared" si="85"/>
        <v>-1315023704478</v>
      </c>
      <c r="R378" s="2275">
        <f t="shared" si="85"/>
        <v>0</v>
      </c>
      <c r="S378" s="2275">
        <f t="shared" si="85"/>
        <v>0</v>
      </c>
      <c r="T378" s="2275">
        <f t="shared" si="85"/>
        <v>0</v>
      </c>
      <c r="U378" s="2275">
        <f t="shared" si="85"/>
        <v>0</v>
      </c>
      <c r="V378" s="2275">
        <f t="shared" si="85"/>
        <v>-46208983180</v>
      </c>
      <c r="W378" s="2275">
        <f t="shared" si="85"/>
        <v>1018846040019</v>
      </c>
      <c r="X378" s="2276">
        <f t="shared" si="85"/>
        <v>49780263913870</v>
      </c>
      <c r="Y378" s="2240"/>
      <c r="Z378" s="2240"/>
      <c r="AA378" s="2240"/>
      <c r="AC378" s="2224"/>
      <c r="AF378" s="2224"/>
      <c r="AG378" s="2224"/>
      <c r="AK378" s="2224"/>
      <c r="AL378" s="2224"/>
      <c r="AR378" s="2018"/>
      <c r="AS378" s="2018"/>
      <c r="AT378" s="2018"/>
      <c r="AU378" s="2018"/>
      <c r="AV378" s="2019"/>
    </row>
    <row r="379" spans="2:49" ht="23.45" customHeight="1" x14ac:dyDescent="0.4">
      <c r="B379" s="3709"/>
      <c r="C379" s="1800" t="s">
        <v>2053</v>
      </c>
      <c r="D379" s="1801" t="s">
        <v>2031</v>
      </c>
      <c r="E379" s="1255"/>
      <c r="F379" s="1255"/>
      <c r="G379" s="1255"/>
      <c r="H379" s="1255"/>
      <c r="I379" s="1779"/>
      <c r="J379" s="1780">
        <f t="shared" si="80"/>
        <v>162013135308</v>
      </c>
      <c r="K379" s="1779"/>
      <c r="L379" s="1779"/>
      <c r="M379" s="1779"/>
      <c r="N379" s="240"/>
      <c r="O379" s="240"/>
      <c r="P379" s="1779">
        <f>-'يادداشت 8سرمايه گذاري در شركتها'!G144</f>
        <v>-6257769663</v>
      </c>
      <c r="Q379" s="1779"/>
      <c r="R379" s="240"/>
      <c r="S379" s="1823"/>
      <c r="T379" s="240"/>
      <c r="U379" s="1823"/>
      <c r="V379" s="240"/>
      <c r="W379" s="240"/>
      <c r="X379" s="1740">
        <v>155755365645</v>
      </c>
      <c r="Y379" s="2240"/>
      <c r="Z379" s="2240"/>
      <c r="AA379" s="2240"/>
      <c r="AC379" s="2224"/>
      <c r="AF379" s="2224"/>
      <c r="AG379" s="2224"/>
      <c r="AK379" s="2224"/>
      <c r="AL379" s="2224"/>
      <c r="AR379" s="2018"/>
      <c r="AS379" s="2018"/>
      <c r="AT379" s="2018"/>
      <c r="AU379" s="2018"/>
      <c r="AV379" s="2019"/>
    </row>
    <row r="380" spans="2:49" ht="23.45" customHeight="1" x14ac:dyDescent="0.4">
      <c r="B380" s="3709"/>
      <c r="C380" s="1800" t="s">
        <v>2058</v>
      </c>
      <c r="D380" s="1801" t="s">
        <v>2035</v>
      </c>
      <c r="E380" s="1255"/>
      <c r="F380" s="1255"/>
      <c r="G380" s="1255"/>
      <c r="H380" s="1255"/>
      <c r="I380" s="1779"/>
      <c r="J380" s="1780">
        <f t="shared" si="80"/>
        <v>114416454625</v>
      </c>
      <c r="K380" s="1779"/>
      <c r="L380" s="1779"/>
      <c r="M380" s="1779"/>
      <c r="N380" s="240"/>
      <c r="O380" s="240"/>
      <c r="P380" s="1779">
        <f>-'يادداشت 8سرمايه گذاري در شركتها'!G128</f>
        <v>-10214216382</v>
      </c>
      <c r="Q380" s="1779"/>
      <c r="R380" s="240"/>
      <c r="S380" s="1823"/>
      <c r="T380" s="240"/>
      <c r="U380" s="1823"/>
      <c r="V380" s="240"/>
      <c r="W380" s="240">
        <f>-8516387472+576490458+300000000+4650000000</f>
        <v>-2989897014</v>
      </c>
      <c r="X380" s="1740">
        <v>101212341229</v>
      </c>
      <c r="Y380" s="2240"/>
      <c r="Z380" s="2240"/>
      <c r="AA380" s="2240"/>
      <c r="AC380" s="2224"/>
      <c r="AF380" s="2224"/>
      <c r="AG380" s="2224"/>
      <c r="AK380" s="2224"/>
      <c r="AL380" s="2224"/>
      <c r="AR380" s="2018"/>
      <c r="AS380" s="2018"/>
      <c r="AT380" s="2018"/>
      <c r="AU380" s="2018"/>
      <c r="AV380" s="2019"/>
    </row>
    <row r="381" spans="2:49" ht="23.45" customHeight="1" x14ac:dyDescent="0.4">
      <c r="B381" s="3709"/>
      <c r="C381" s="1762" t="s">
        <v>2051</v>
      </c>
      <c r="D381" s="1804" t="s">
        <v>2029</v>
      </c>
      <c r="E381" s="1255"/>
      <c r="F381" s="1255"/>
      <c r="G381" s="1255"/>
      <c r="H381" s="1255"/>
      <c r="I381" s="1779"/>
      <c r="J381" s="1780">
        <f t="shared" si="80"/>
        <v>89281022069</v>
      </c>
      <c r="K381" s="1779"/>
      <c r="L381" s="1779"/>
      <c r="M381" s="1779"/>
      <c r="N381" s="240"/>
      <c r="O381" s="240"/>
      <c r="P381" s="1779"/>
      <c r="Q381" s="1779"/>
      <c r="R381" s="240"/>
      <c r="S381" s="1823"/>
      <c r="T381" s="240"/>
      <c r="U381" s="1823"/>
      <c r="V381" s="240"/>
      <c r="W381" s="240">
        <f>5000000000+1458695195</f>
        <v>6458695195</v>
      </c>
      <c r="X381" s="1740">
        <v>95739717264</v>
      </c>
      <c r="Y381" s="2240"/>
      <c r="Z381" s="2240"/>
      <c r="AA381" s="2240"/>
      <c r="AC381" s="2224"/>
      <c r="AF381" s="2224"/>
      <c r="AG381" s="2224"/>
      <c r="AK381" s="2224"/>
      <c r="AL381" s="2224"/>
      <c r="AS381" s="2018"/>
      <c r="AT381" s="2018"/>
      <c r="AU381" s="2018"/>
      <c r="AV381" s="2304"/>
    </row>
    <row r="382" spans="2:49" ht="23.45" customHeight="1" x14ac:dyDescent="0.4">
      <c r="B382" s="3709"/>
      <c r="C382" s="1800" t="s">
        <v>2050</v>
      </c>
      <c r="D382" s="1805" t="s">
        <v>2028</v>
      </c>
      <c r="E382" s="1255"/>
      <c r="F382" s="1255"/>
      <c r="G382" s="1255"/>
      <c r="H382" s="1255"/>
      <c r="I382" s="1779"/>
      <c r="J382" s="1780">
        <f t="shared" si="80"/>
        <v>251212905527</v>
      </c>
      <c r="K382" s="1779"/>
      <c r="L382" s="1779"/>
      <c r="M382" s="1779"/>
      <c r="N382" s="240"/>
      <c r="O382" s="240"/>
      <c r="P382" s="1779">
        <f>-'يادداشت 8سرمايه گذاري در شركتها'!G131</f>
        <v>-1457870914</v>
      </c>
      <c r="Q382" s="1779"/>
      <c r="R382" s="240"/>
      <c r="S382" s="1823"/>
      <c r="T382" s="240"/>
      <c r="U382" s="1823"/>
      <c r="V382" s="240">
        <f>-'پيش پرداخت سرمايه اي يادداشت 6'!O105</f>
        <v>-410227908</v>
      </c>
      <c r="W382" s="240">
        <f>660000000+6500000000+3883596040+869682139</f>
        <v>11913278179</v>
      </c>
      <c r="X382" s="1740">
        <v>261258084884</v>
      </c>
      <c r="Y382" s="2240"/>
      <c r="Z382" s="2240"/>
      <c r="AA382" s="2240"/>
      <c r="AC382" s="2224"/>
      <c r="AF382" s="2224"/>
      <c r="AG382" s="2224"/>
      <c r="AK382" s="2224"/>
      <c r="AL382" s="2224"/>
      <c r="AQ382" s="2018"/>
      <c r="AR382" s="2018"/>
      <c r="AS382" s="2018"/>
      <c r="AT382" s="2018"/>
      <c r="AU382" s="2019"/>
    </row>
    <row r="383" spans="2:49" ht="23.45" customHeight="1" x14ac:dyDescent="0.4">
      <c r="B383" s="3709"/>
      <c r="C383" s="1806" t="s">
        <v>2071</v>
      </c>
      <c r="D383" s="2305" t="s">
        <v>2048</v>
      </c>
      <c r="E383" s="1255"/>
      <c r="F383" s="1255"/>
      <c r="G383" s="1255"/>
      <c r="H383" s="1255"/>
      <c r="I383" s="1779"/>
      <c r="J383" s="1780">
        <f t="shared" si="80"/>
        <v>19435166668</v>
      </c>
      <c r="K383" s="1779"/>
      <c r="L383" s="1779"/>
      <c r="M383" s="1779"/>
      <c r="N383" s="240"/>
      <c r="O383" s="240"/>
      <c r="P383" s="1779"/>
      <c r="Q383" s="1779"/>
      <c r="R383" s="240"/>
      <c r="S383" s="1823"/>
      <c r="T383" s="240"/>
      <c r="U383" s="1823"/>
      <c r="V383" s="240"/>
      <c r="W383" s="240"/>
      <c r="X383" s="1740">
        <v>19435166668</v>
      </c>
      <c r="Y383" s="2240"/>
      <c r="Z383" s="2240"/>
      <c r="AA383" s="2240"/>
      <c r="AC383" s="2224"/>
      <c r="AF383" s="2224"/>
      <c r="AG383" s="2224"/>
      <c r="AK383" s="2224"/>
      <c r="AL383" s="2224"/>
      <c r="AS383" s="2018"/>
      <c r="AT383" s="2018"/>
      <c r="AU383" s="2018"/>
      <c r="AV383" s="2018"/>
      <c r="AW383" s="2019"/>
    </row>
    <row r="384" spans="2:49" ht="23.45" customHeight="1" x14ac:dyDescent="0.4">
      <c r="B384" s="3709"/>
      <c r="C384" s="1762" t="s">
        <v>2055</v>
      </c>
      <c r="D384" s="1804" t="s">
        <v>2033</v>
      </c>
      <c r="E384" s="1255"/>
      <c r="F384" s="1255"/>
      <c r="G384" s="1255"/>
      <c r="H384" s="1255"/>
      <c r="I384" s="1779"/>
      <c r="J384" s="1780">
        <f t="shared" si="80"/>
        <v>59179240787</v>
      </c>
      <c r="K384" s="1779"/>
      <c r="L384" s="1779"/>
      <c r="M384" s="1779"/>
      <c r="N384" s="240"/>
      <c r="O384" s="240"/>
      <c r="P384" s="1779"/>
      <c r="Q384" s="1779"/>
      <c r="R384" s="240"/>
      <c r="S384" s="1823"/>
      <c r="T384" s="240"/>
      <c r="U384" s="1823"/>
      <c r="V384" s="240"/>
      <c r="W384" s="240"/>
      <c r="X384" s="1740">
        <v>59179240787</v>
      </c>
      <c r="Y384" s="2240"/>
      <c r="Z384" s="2240"/>
      <c r="AA384" s="2240"/>
      <c r="AC384" s="2224"/>
      <c r="AF384" s="2224"/>
      <c r="AG384" s="2224"/>
      <c r="AK384" s="2224"/>
      <c r="AL384" s="2224"/>
      <c r="AS384" s="2304"/>
      <c r="AT384" s="2304"/>
      <c r="AU384" s="2306"/>
    </row>
    <row r="385" spans="2:47" ht="23.45" customHeight="1" x14ac:dyDescent="0.4">
      <c r="B385" s="3709"/>
      <c r="C385" s="1800" t="s">
        <v>2061</v>
      </c>
      <c r="D385" s="1805" t="s">
        <v>2038</v>
      </c>
      <c r="E385" s="1255"/>
      <c r="F385" s="1255"/>
      <c r="G385" s="1255"/>
      <c r="H385" s="1255"/>
      <c r="I385" s="1779"/>
      <c r="J385" s="1780">
        <f t="shared" si="80"/>
        <v>74184301315</v>
      </c>
      <c r="K385" s="1779"/>
      <c r="L385" s="1779"/>
      <c r="M385" s="1779"/>
      <c r="N385" s="240"/>
      <c r="O385" s="240"/>
      <c r="P385" s="1779">
        <f>-'يادداشت 8سرمايه گذاري در شركتها'!G136</f>
        <v>-5186731900</v>
      </c>
      <c r="Q385" s="1779"/>
      <c r="R385" s="240"/>
      <c r="S385" s="1823"/>
      <c r="T385" s="240"/>
      <c r="U385" s="1823"/>
      <c r="V385" s="240"/>
      <c r="W385" s="240"/>
      <c r="X385" s="1740">
        <f>80743315591-X454</f>
        <v>68997569415</v>
      </c>
      <c r="Y385" s="2240"/>
      <c r="Z385" s="2240"/>
      <c r="AA385" s="2240"/>
      <c r="AC385" s="2224"/>
      <c r="AF385" s="2224"/>
      <c r="AG385" s="2224"/>
      <c r="AK385" s="2224"/>
      <c r="AL385" s="2224"/>
      <c r="AP385" s="2224"/>
      <c r="AS385" s="2224"/>
      <c r="AU385" s="503"/>
    </row>
    <row r="386" spans="2:47" ht="23.45" customHeight="1" x14ac:dyDescent="0.4">
      <c r="B386" s="3709"/>
      <c r="C386" s="1800" t="s">
        <v>2052</v>
      </c>
      <c r="D386" s="1808" t="s">
        <v>2030</v>
      </c>
      <c r="E386" s="1255"/>
      <c r="F386" s="1255"/>
      <c r="G386" s="1255"/>
      <c r="H386" s="1255"/>
      <c r="I386" s="1779"/>
      <c r="J386" s="1780">
        <f t="shared" si="80"/>
        <v>104671338693</v>
      </c>
      <c r="K386" s="1779"/>
      <c r="L386" s="1779"/>
      <c r="M386" s="1779"/>
      <c r="N386" s="240">
        <f>-'يادداشت_-5موجودی_جنسی__(2)'!K67</f>
        <v>5499648000</v>
      </c>
      <c r="O386" s="240"/>
      <c r="P386" s="1779">
        <f>-'يادداشت 8سرمايه گذاري در شركتها'!G138</f>
        <v>-18460427557</v>
      </c>
      <c r="Q386" s="1779"/>
      <c r="R386" s="240"/>
      <c r="S386" s="1823"/>
      <c r="T386" s="240"/>
      <c r="U386" s="1823"/>
      <c r="V386" s="240"/>
      <c r="W386" s="240">
        <f>833102082</f>
        <v>833102082</v>
      </c>
      <c r="X386" s="1740">
        <v>92543661218</v>
      </c>
      <c r="Y386" s="2240"/>
      <c r="Z386" s="2240"/>
      <c r="AA386" s="2240"/>
      <c r="AC386" s="2224"/>
      <c r="AF386" s="2224"/>
      <c r="AG386" s="2224"/>
      <c r="AK386" s="2224"/>
      <c r="AL386" s="2224"/>
      <c r="AP386" s="2224"/>
      <c r="AR386" s="2224"/>
      <c r="AS386" s="2224"/>
      <c r="AU386" s="503"/>
    </row>
    <row r="387" spans="2:47" ht="23.45" customHeight="1" x14ac:dyDescent="0.4">
      <c r="B387" s="3709"/>
      <c r="C387" s="1762" t="s">
        <v>2054</v>
      </c>
      <c r="D387" s="1809" t="s">
        <v>2032</v>
      </c>
      <c r="E387" s="1255"/>
      <c r="F387" s="1255"/>
      <c r="G387" s="1255"/>
      <c r="H387" s="1255"/>
      <c r="I387" s="1779"/>
      <c r="J387" s="1780">
        <f t="shared" si="80"/>
        <v>4533162787</v>
      </c>
      <c r="K387" s="1779"/>
      <c r="L387" s="1779"/>
      <c r="M387" s="1779"/>
      <c r="N387" s="240"/>
      <c r="O387" s="240"/>
      <c r="P387" s="1779"/>
      <c r="Q387" s="1779"/>
      <c r="R387" s="240"/>
      <c r="S387" s="1823"/>
      <c r="T387" s="240"/>
      <c r="U387" s="1823"/>
      <c r="V387" s="240"/>
      <c r="W387" s="240"/>
      <c r="X387" s="1740">
        <v>4533162787</v>
      </c>
      <c r="Y387" s="2240"/>
      <c r="Z387" s="2240"/>
      <c r="AA387" s="2240"/>
      <c r="AC387" s="2224"/>
      <c r="AF387" s="2224"/>
      <c r="AG387" s="2224"/>
      <c r="AK387" s="2224"/>
      <c r="AL387" s="2224"/>
      <c r="AP387" s="2224"/>
      <c r="AR387" s="2224"/>
      <c r="AS387" s="2224"/>
      <c r="AU387" s="503"/>
    </row>
    <row r="388" spans="2:47" ht="23.45" customHeight="1" x14ac:dyDescent="0.4">
      <c r="B388" s="3709"/>
      <c r="C388" s="1762" t="s">
        <v>2065</v>
      </c>
      <c r="D388" s="1809" t="s">
        <v>2043</v>
      </c>
      <c r="E388" s="2307"/>
      <c r="F388" s="1255"/>
      <c r="G388" s="1255"/>
      <c r="H388" s="1255"/>
      <c r="I388" s="1779"/>
      <c r="J388" s="1780">
        <f t="shared" si="80"/>
        <v>49203302935</v>
      </c>
      <c r="K388" s="1779"/>
      <c r="L388" s="1779"/>
      <c r="M388" s="1779"/>
      <c r="N388" s="240"/>
      <c r="O388" s="240"/>
      <c r="P388" s="1779"/>
      <c r="Q388" s="1779"/>
      <c r="R388" s="240"/>
      <c r="S388" s="1823"/>
      <c r="T388" s="240"/>
      <c r="U388" s="1823"/>
      <c r="V388" s="240"/>
      <c r="W388" s="240">
        <f>14284074232</f>
        <v>14284074232</v>
      </c>
      <c r="X388" s="1740">
        <v>63487377167</v>
      </c>
      <c r="Y388" s="2240"/>
      <c r="Z388" s="2240"/>
      <c r="AA388" s="2240"/>
      <c r="AC388" s="2224"/>
      <c r="AF388" s="2224"/>
      <c r="AG388" s="2224"/>
      <c r="AK388" s="2224"/>
      <c r="AL388" s="2224"/>
      <c r="AP388" s="2224"/>
      <c r="AR388" s="2224"/>
      <c r="AS388" s="2224"/>
      <c r="AU388" s="503"/>
    </row>
    <row r="389" spans="2:47" ht="23.45" customHeight="1" x14ac:dyDescent="0.4">
      <c r="B389" s="3709"/>
      <c r="C389" s="1800" t="s">
        <v>2060</v>
      </c>
      <c r="D389" s="1808" t="s">
        <v>2037</v>
      </c>
      <c r="E389" s="1255"/>
      <c r="F389" s="1255"/>
      <c r="G389" s="1255"/>
      <c r="H389" s="1255"/>
      <c r="I389" s="1779"/>
      <c r="J389" s="1780">
        <f t="shared" si="80"/>
        <v>273030597751</v>
      </c>
      <c r="K389" s="1779"/>
      <c r="L389" s="1779"/>
      <c r="M389" s="1779"/>
      <c r="N389" s="240"/>
      <c r="O389" s="240"/>
      <c r="P389" s="1779">
        <f>-'يادداشت 8سرمايه گذاري در شركتها'!G165</f>
        <v>-28096233461</v>
      </c>
      <c r="Q389" s="1779"/>
      <c r="R389" s="240"/>
      <c r="S389" s="1823"/>
      <c r="T389" s="240"/>
      <c r="U389" s="1823"/>
      <c r="V389" s="240"/>
      <c r="W389" s="240">
        <f>1484658844+1142323558+7000000000+6965465288+6000000000+1000000000+2000000000+1484658844</f>
        <v>27077106534</v>
      </c>
      <c r="X389" s="1740">
        <v>272011470824</v>
      </c>
      <c r="Y389" s="2240"/>
      <c r="Z389" s="2240"/>
      <c r="AA389" s="2240"/>
      <c r="AC389" s="2224"/>
      <c r="AF389" s="2224"/>
      <c r="AG389" s="2224"/>
      <c r="AK389" s="2224"/>
      <c r="AL389" s="2224"/>
      <c r="AP389" s="2224"/>
      <c r="AR389" s="2224"/>
      <c r="AS389" s="2224"/>
      <c r="AU389" s="503"/>
    </row>
    <row r="390" spans="2:47" ht="23.45" customHeight="1" x14ac:dyDescent="0.4">
      <c r="B390" s="3709"/>
      <c r="C390" s="1800" t="s">
        <v>2064</v>
      </c>
      <c r="D390" s="1808" t="s">
        <v>2042</v>
      </c>
      <c r="E390" s="1255"/>
      <c r="F390" s="1255"/>
      <c r="G390" s="1255"/>
      <c r="H390" s="1255"/>
      <c r="I390" s="1779"/>
      <c r="J390" s="1780">
        <f t="shared" si="80"/>
        <v>2348155774</v>
      </c>
      <c r="K390" s="1779"/>
      <c r="L390" s="1779"/>
      <c r="M390" s="1779"/>
      <c r="N390" s="240"/>
      <c r="O390" s="240"/>
      <c r="P390" s="1779">
        <f>-'يادداشت 8سرمايه گذاري در شركتها'!G166</f>
        <v>-1888203640</v>
      </c>
      <c r="Q390" s="1779"/>
      <c r="R390" s="240"/>
      <c r="S390" s="1823"/>
      <c r="T390" s="240"/>
      <c r="U390" s="1823"/>
      <c r="V390" s="240"/>
      <c r="W390" s="240"/>
      <c r="X390" s="1740">
        <v>459952134</v>
      </c>
      <c r="Y390" s="2240"/>
      <c r="Z390" s="2240"/>
      <c r="AA390" s="2240"/>
      <c r="AC390" s="2224"/>
      <c r="AF390" s="2224"/>
      <c r="AG390" s="2224"/>
      <c r="AK390" s="2224"/>
      <c r="AL390" s="2224"/>
      <c r="AP390" s="2224"/>
      <c r="AR390" s="2224"/>
      <c r="AS390" s="2224"/>
      <c r="AU390" s="503"/>
    </row>
    <row r="391" spans="2:47" ht="23.45" customHeight="1" x14ac:dyDescent="0.4">
      <c r="B391" s="3709"/>
      <c r="C391" s="1810" t="s">
        <v>2063</v>
      </c>
      <c r="D391" s="1809" t="s">
        <v>2039</v>
      </c>
      <c r="E391" s="1255"/>
      <c r="F391" s="1255"/>
      <c r="G391" s="1255"/>
      <c r="H391" s="1255"/>
      <c r="I391" s="1779"/>
      <c r="J391" s="1780">
        <f t="shared" si="80"/>
        <v>16100906742</v>
      </c>
      <c r="K391" s="1779"/>
      <c r="L391" s="1779"/>
      <c r="M391" s="1779"/>
      <c r="N391" s="240"/>
      <c r="O391" s="240"/>
      <c r="P391" s="1779"/>
      <c r="Q391" s="1779"/>
      <c r="R391" s="240"/>
      <c r="S391" s="1823"/>
      <c r="T391" s="240"/>
      <c r="U391" s="1823"/>
      <c r="V391" s="240"/>
      <c r="W391" s="240"/>
      <c r="X391" s="1740">
        <v>16100906742</v>
      </c>
      <c r="Y391" s="2240"/>
      <c r="Z391" s="2240"/>
      <c r="AA391" s="2240"/>
      <c r="AC391" s="2224"/>
      <c r="AF391" s="2224"/>
      <c r="AG391" s="2224"/>
      <c r="AK391" s="2224"/>
      <c r="AL391" s="2224"/>
      <c r="AP391" s="2224"/>
      <c r="AR391" s="2224"/>
      <c r="AS391" s="2224"/>
      <c r="AU391" s="503"/>
    </row>
    <row r="392" spans="2:47" ht="23.45" customHeight="1" x14ac:dyDescent="0.4">
      <c r="B392" s="3709"/>
      <c r="C392" s="1795" t="s">
        <v>2041</v>
      </c>
      <c r="D392" s="1808" t="s">
        <v>2040</v>
      </c>
      <c r="E392" s="1255"/>
      <c r="F392" s="1255"/>
      <c r="G392" s="1255"/>
      <c r="H392" s="1255"/>
      <c r="I392" s="1779"/>
      <c r="J392" s="1780">
        <f t="shared" si="80"/>
        <v>1129994964064</v>
      </c>
      <c r="K392" s="1779"/>
      <c r="L392" s="1779"/>
      <c r="M392" s="1779"/>
      <c r="N392" s="240"/>
      <c r="O392" s="240"/>
      <c r="P392" s="1779">
        <f>-'يادداشت 8سرمايه گذاري در شركتها'!G167</f>
        <v>-54253876980</v>
      </c>
      <c r="Q392" s="1779"/>
      <c r="R392" s="240"/>
      <c r="S392" s="1823"/>
      <c r="T392" s="240"/>
      <c r="U392" s="1823"/>
      <c r="V392" s="240"/>
      <c r="W392" s="240">
        <f>27849891807+7000000000</f>
        <v>34849891807</v>
      </c>
      <c r="X392" s="1740">
        <v>1110590978891</v>
      </c>
      <c r="Y392" s="2240"/>
      <c r="Z392" s="2240"/>
      <c r="AA392" s="2240"/>
      <c r="AC392" s="2224"/>
      <c r="AF392" s="2224"/>
      <c r="AG392" s="2224"/>
      <c r="AK392" s="2224"/>
      <c r="AL392" s="2224"/>
      <c r="AP392" s="2224"/>
      <c r="AR392" s="2224"/>
      <c r="AS392" s="2224"/>
      <c r="AU392" s="503"/>
    </row>
    <row r="393" spans="2:47" ht="23.45" customHeight="1" x14ac:dyDescent="0.2">
      <c r="B393" s="3709"/>
      <c r="C393" s="1530" t="s">
        <v>2066</v>
      </c>
      <c r="D393" s="1811" t="s">
        <v>2044</v>
      </c>
      <c r="E393" s="1255"/>
      <c r="F393" s="1255"/>
      <c r="G393" s="1255"/>
      <c r="H393" s="1255"/>
      <c r="I393" s="1779"/>
      <c r="J393" s="1780">
        <f t="shared" si="80"/>
        <v>17085281265</v>
      </c>
      <c r="K393" s="1779"/>
      <c r="L393" s="1779"/>
      <c r="M393" s="1779"/>
      <c r="N393" s="240"/>
      <c r="O393" s="240"/>
      <c r="P393" s="1779"/>
      <c r="Q393" s="1779"/>
      <c r="R393" s="240"/>
      <c r="S393" s="1823"/>
      <c r="T393" s="240"/>
      <c r="U393" s="1823"/>
      <c r="V393" s="240"/>
      <c r="W393" s="240"/>
      <c r="X393" s="1740">
        <v>17085281265</v>
      </c>
      <c r="Y393" s="2240"/>
      <c r="Z393" s="2240"/>
      <c r="AA393" s="2240"/>
      <c r="AC393" s="2224"/>
      <c r="AF393" s="2224"/>
      <c r="AG393" s="2224"/>
      <c r="AK393" s="2224"/>
      <c r="AL393" s="2224"/>
      <c r="AP393" s="2224"/>
      <c r="AR393" s="2224"/>
      <c r="AS393" s="2224"/>
      <c r="AU393" s="503"/>
    </row>
    <row r="394" spans="2:47" ht="23.45" customHeight="1" x14ac:dyDescent="0.4">
      <c r="B394" s="3709"/>
      <c r="C394" s="1802" t="s">
        <v>2153</v>
      </c>
      <c r="D394" s="1803" t="s">
        <v>2036</v>
      </c>
      <c r="E394" s="1255"/>
      <c r="F394" s="1255"/>
      <c r="G394" s="1255"/>
      <c r="H394" s="1255"/>
      <c r="I394" s="1779"/>
      <c r="J394" s="1780">
        <f t="shared" si="80"/>
        <v>275593699418</v>
      </c>
      <c r="K394" s="1779"/>
      <c r="L394" s="1779"/>
      <c r="M394" s="1779"/>
      <c r="N394" s="240">
        <f>-'يادداشت_-5موجودی_جنسی__(2)'!K68</f>
        <v>48989496913</v>
      </c>
      <c r="O394" s="240"/>
      <c r="P394" s="1779"/>
      <c r="Q394" s="1779"/>
      <c r="R394" s="240"/>
      <c r="S394" s="1823"/>
      <c r="T394" s="240"/>
      <c r="U394" s="1823"/>
      <c r="V394" s="240"/>
      <c r="W394" s="240"/>
      <c r="X394" s="1740">
        <f>361065012501-X411</f>
        <v>324583196331</v>
      </c>
      <c r="Y394" s="2240"/>
      <c r="Z394" s="2240"/>
      <c r="AA394" s="2240"/>
      <c r="AC394" s="2224"/>
      <c r="AF394" s="2224"/>
      <c r="AG394" s="2224"/>
      <c r="AK394" s="2224"/>
      <c r="AL394" s="2224"/>
      <c r="AP394" s="2224"/>
      <c r="AR394" s="2224"/>
      <c r="AS394" s="2224"/>
      <c r="AU394" s="503"/>
    </row>
    <row r="395" spans="2:47" ht="23.45" customHeight="1" x14ac:dyDescent="0.4">
      <c r="B395" s="3709"/>
      <c r="C395" s="1812" t="s">
        <v>2069</v>
      </c>
      <c r="D395" s="2305" t="s">
        <v>2047</v>
      </c>
      <c r="E395" s="1294"/>
      <c r="F395" s="1294"/>
      <c r="G395" s="1294"/>
      <c r="H395" s="1294"/>
      <c r="I395" s="1815"/>
      <c r="J395" s="1780">
        <f t="shared" si="80"/>
        <v>112260500</v>
      </c>
      <c r="K395" s="1815"/>
      <c r="L395" s="1815"/>
      <c r="M395" s="1815"/>
      <c r="N395" s="848"/>
      <c r="O395" s="848"/>
      <c r="P395" s="1815"/>
      <c r="Q395" s="1815"/>
      <c r="R395" s="848"/>
      <c r="S395" s="2300"/>
      <c r="T395" s="848"/>
      <c r="U395" s="2300"/>
      <c r="V395" s="848"/>
      <c r="W395" s="848"/>
      <c r="X395" s="1782">
        <v>112260500</v>
      </c>
      <c r="Y395" s="2240"/>
      <c r="Z395" s="2240"/>
      <c r="AA395" s="2240"/>
      <c r="AC395" s="2224"/>
      <c r="AF395" s="2224"/>
      <c r="AG395" s="2224"/>
      <c r="AK395" s="2224"/>
      <c r="AL395" s="2224"/>
      <c r="AP395" s="2224"/>
      <c r="AR395" s="2224"/>
      <c r="AS395" s="2224"/>
      <c r="AU395" s="503"/>
    </row>
    <row r="396" spans="2:47" ht="23.45" customHeight="1" thickBot="1" x14ac:dyDescent="0.45">
      <c r="B396" s="3709"/>
      <c r="C396" s="1813" t="s">
        <v>2068</v>
      </c>
      <c r="D396" s="1814" t="s">
        <v>2070</v>
      </c>
      <c r="E396" s="1294"/>
      <c r="F396" s="1294"/>
      <c r="G396" s="1294"/>
      <c r="H396" s="1294"/>
      <c r="I396" s="1815"/>
      <c r="J396" s="1780">
        <f t="shared" si="80"/>
        <v>5466080190</v>
      </c>
      <c r="K396" s="1815"/>
      <c r="L396" s="1815"/>
      <c r="M396" s="1815"/>
      <c r="N396" s="848"/>
      <c r="O396" s="848">
        <f>-'پيش پرداخت سرمايه اي يادداشت 6'!I99</f>
        <v>1823338411</v>
      </c>
      <c r="P396" s="1815"/>
      <c r="Q396" s="1815"/>
      <c r="R396" s="848"/>
      <c r="S396" s="2300"/>
      <c r="T396" s="848"/>
      <c r="U396" s="2300"/>
      <c r="V396" s="848"/>
      <c r="W396" s="848">
        <f>1000001239-77323364+15053995706+15390000000</f>
        <v>31366673581</v>
      </c>
      <c r="X396" s="1782">
        <v>38656092182</v>
      </c>
      <c r="Y396" s="2240"/>
      <c r="Z396" s="2240"/>
      <c r="AA396" s="2240"/>
      <c r="AC396" s="2224"/>
      <c r="AF396" s="2224"/>
      <c r="AG396" s="2224"/>
      <c r="AK396" s="2224"/>
      <c r="AL396" s="2224"/>
      <c r="AP396" s="2224"/>
      <c r="AR396" s="2224"/>
      <c r="AS396" s="2224"/>
      <c r="AU396" s="503"/>
    </row>
    <row r="397" spans="2:47" ht="21" customHeight="1" thickBot="1" x14ac:dyDescent="0.25">
      <c r="B397" s="3691" t="s">
        <v>2229</v>
      </c>
      <c r="C397" s="3692"/>
      <c r="D397" s="3692"/>
      <c r="E397" s="1299">
        <f>SUM(E378:E396)</f>
        <v>35818816192153</v>
      </c>
      <c r="F397" s="1299">
        <f t="shared" ref="F397:X397" si="86">SUM(F378:F396)</f>
        <v>0</v>
      </c>
      <c r="G397" s="1299">
        <f t="shared" si="86"/>
        <v>0</v>
      </c>
      <c r="H397" s="1299">
        <f t="shared" si="86"/>
        <v>35818816192153</v>
      </c>
      <c r="I397" s="1299">
        <f t="shared" si="86"/>
        <v>0</v>
      </c>
      <c r="J397" s="1299">
        <f t="shared" si="86"/>
        <v>16936903676412</v>
      </c>
      <c r="K397" s="1299">
        <f t="shared" si="86"/>
        <v>0</v>
      </c>
      <c r="L397" s="1299">
        <f t="shared" si="86"/>
        <v>0</v>
      </c>
      <c r="M397" s="1299">
        <f t="shared" si="86"/>
        <v>0</v>
      </c>
      <c r="N397" s="1299">
        <f t="shared" si="86"/>
        <v>947751131248</v>
      </c>
      <c r="O397" s="1299">
        <f t="shared" si="86"/>
        <v>703622509640</v>
      </c>
      <c r="P397" s="1299">
        <f t="shared" si="86"/>
        <v>-1706083818699</v>
      </c>
      <c r="Q397" s="1299">
        <f t="shared" si="86"/>
        <v>-1315023704478</v>
      </c>
      <c r="R397" s="1299">
        <f t="shared" si="86"/>
        <v>0</v>
      </c>
      <c r="S397" s="1299">
        <f t="shared" si="86"/>
        <v>0</v>
      </c>
      <c r="T397" s="1299">
        <f t="shared" si="86"/>
        <v>0</v>
      </c>
      <c r="U397" s="1299">
        <f t="shared" si="86"/>
        <v>0</v>
      </c>
      <c r="V397" s="1299">
        <f t="shared" si="86"/>
        <v>-46619211088</v>
      </c>
      <c r="W397" s="1299">
        <f t="shared" si="86"/>
        <v>1142638964615</v>
      </c>
      <c r="X397" s="1299">
        <f t="shared" si="86"/>
        <v>52482005739803</v>
      </c>
      <c r="Y397" s="2240"/>
      <c r="Z397" s="2240"/>
      <c r="AA397" s="2240"/>
      <c r="AC397" s="2224"/>
      <c r="AF397" s="2224">
        <f t="shared" ref="AF397:AF458" si="87">SUM(E397:W397)</f>
        <v>88300821931956</v>
      </c>
      <c r="AG397" s="2224">
        <f t="shared" ref="AG397:AG457" si="88">X397-AF397</f>
        <v>-35818816192153</v>
      </c>
      <c r="AK397" s="2224">
        <f t="shared" ref="AK397:AK456" si="89">E397+H397+J397+N397+P397+Q397+R397+W397+O397</f>
        <v>88347441143044</v>
      </c>
      <c r="AL397" s="2224">
        <f t="shared" ref="AL397:AL458" si="90">X397-AK397</f>
        <v>-35865435403241</v>
      </c>
      <c r="AP397" s="2224">
        <f>AR397-X397</f>
        <v>0</v>
      </c>
      <c r="AR397" s="2224">
        <f t="shared" si="78"/>
        <v>52482005739803</v>
      </c>
      <c r="AS397" s="2224">
        <f>X397-AR397</f>
        <v>0</v>
      </c>
      <c r="AU397" s="2308">
        <f>SUM(AU340:AU355)</f>
        <v>-554938000000</v>
      </c>
    </row>
    <row r="398" spans="2:47" ht="21" customHeight="1" x14ac:dyDescent="0.2">
      <c r="B398" s="2273"/>
      <c r="C398" s="3660" t="s">
        <v>1189</v>
      </c>
      <c r="D398" s="3660"/>
      <c r="E398" s="3660"/>
      <c r="F398" s="3660"/>
      <c r="G398" s="3660"/>
      <c r="H398" s="3660"/>
      <c r="I398" s="3660"/>
      <c r="J398" s="3660"/>
      <c r="K398" s="3660"/>
      <c r="L398" s="3660"/>
      <c r="M398" s="3660"/>
      <c r="N398" s="3660"/>
      <c r="O398" s="3660"/>
      <c r="P398" s="3660"/>
      <c r="Q398" s="3660"/>
      <c r="R398" s="3660"/>
      <c r="S398" s="3660"/>
      <c r="T398" s="3660"/>
      <c r="U398" s="3660"/>
      <c r="V398" s="3660"/>
      <c r="W398" s="3660"/>
      <c r="X398" s="3660"/>
      <c r="Y398" s="3660"/>
      <c r="Z398" s="2274"/>
      <c r="AC398" s="2224"/>
      <c r="AF398" s="2224"/>
      <c r="AG398" s="2224"/>
      <c r="AK398" s="2224"/>
      <c r="AL398" s="2224"/>
      <c r="AP398" s="2224"/>
      <c r="AR398" s="2224"/>
      <c r="AS398" s="2224"/>
      <c r="AU398" s="2309"/>
    </row>
    <row r="399" spans="2:47" ht="21" customHeight="1" x14ac:dyDescent="0.2">
      <c r="B399" s="3574" t="s">
        <v>32</v>
      </c>
      <c r="C399" s="3574"/>
      <c r="D399" s="3574"/>
      <c r="E399" s="3574"/>
      <c r="F399" s="3574"/>
      <c r="G399" s="3574"/>
      <c r="H399" s="3574"/>
      <c r="I399" s="3574"/>
      <c r="J399" s="3574"/>
      <c r="K399" s="3574"/>
      <c r="L399" s="3574"/>
      <c r="M399" s="3574"/>
      <c r="N399" s="3574"/>
      <c r="O399" s="3574"/>
      <c r="P399" s="3574"/>
      <c r="Q399" s="3574"/>
      <c r="R399" s="3574"/>
      <c r="S399" s="3574"/>
      <c r="T399" s="3574"/>
      <c r="U399" s="3574"/>
      <c r="V399" s="3574"/>
      <c r="W399" s="3574"/>
      <c r="X399" s="3574"/>
      <c r="Y399" s="3574"/>
      <c r="Z399" s="3574"/>
      <c r="AA399" s="3574"/>
      <c r="AC399" s="2224"/>
      <c r="AF399" s="2224"/>
      <c r="AG399" s="2224"/>
      <c r="AK399" s="2224"/>
      <c r="AL399" s="2224"/>
      <c r="AP399" s="2224"/>
      <c r="AR399" s="2224"/>
      <c r="AS399" s="2224"/>
      <c r="AU399" s="2309"/>
    </row>
    <row r="400" spans="2:47" ht="21" customHeight="1" x14ac:dyDescent="0.2">
      <c r="B400" s="3574" t="s">
        <v>45</v>
      </c>
      <c r="C400" s="3574"/>
      <c r="D400" s="3574"/>
      <c r="E400" s="3574"/>
      <c r="F400" s="3574"/>
      <c r="G400" s="3574"/>
      <c r="H400" s="3574"/>
      <c r="I400" s="3574"/>
      <c r="J400" s="3574"/>
      <c r="K400" s="3574"/>
      <c r="L400" s="3574"/>
      <c r="M400" s="3574"/>
      <c r="N400" s="3574"/>
      <c r="O400" s="3574"/>
      <c r="P400" s="3574"/>
      <c r="Q400" s="3574"/>
      <c r="R400" s="3574"/>
      <c r="S400" s="3574"/>
      <c r="T400" s="3574"/>
      <c r="U400" s="3574"/>
      <c r="V400" s="3574"/>
      <c r="W400" s="3574"/>
      <c r="X400" s="3574"/>
      <c r="Y400" s="3574"/>
      <c r="Z400" s="3574"/>
      <c r="AA400" s="3574"/>
      <c r="AC400" s="2224"/>
      <c r="AF400" s="2224"/>
      <c r="AG400" s="2224"/>
      <c r="AK400" s="2224"/>
      <c r="AL400" s="2224"/>
      <c r="AP400" s="2224"/>
      <c r="AR400" s="2224"/>
      <c r="AS400" s="2224"/>
      <c r="AU400" s="2309"/>
    </row>
    <row r="401" spans="2:47" ht="21" customHeight="1" x14ac:dyDescent="0.2">
      <c r="B401" s="3574" t="s">
        <v>46</v>
      </c>
      <c r="C401" s="3574"/>
      <c r="D401" s="3574"/>
      <c r="E401" s="3574"/>
      <c r="F401" s="3574"/>
      <c r="G401" s="3574"/>
      <c r="H401" s="3574"/>
      <c r="I401" s="3574"/>
      <c r="J401" s="3574"/>
      <c r="K401" s="3574"/>
      <c r="L401" s="3574"/>
      <c r="M401" s="3574"/>
      <c r="N401" s="3574"/>
      <c r="O401" s="3574"/>
      <c r="P401" s="3574"/>
      <c r="Q401" s="3574"/>
      <c r="R401" s="3574"/>
      <c r="S401" s="3574"/>
      <c r="T401" s="3574"/>
      <c r="U401" s="3574"/>
      <c r="V401" s="3574"/>
      <c r="W401" s="3574"/>
      <c r="X401" s="3574"/>
      <c r="Y401" s="3574"/>
      <c r="Z401" s="3574"/>
      <c r="AA401" s="3574"/>
      <c r="AC401" s="2224"/>
      <c r="AF401" s="2224"/>
      <c r="AG401" s="2224"/>
      <c r="AK401" s="2224"/>
      <c r="AL401" s="2224"/>
      <c r="AP401" s="2224"/>
      <c r="AR401" s="2224"/>
      <c r="AS401" s="2224"/>
      <c r="AU401" s="2309"/>
    </row>
    <row r="402" spans="2:47" ht="21" customHeight="1" x14ac:dyDescent="0.2">
      <c r="B402" s="3572" t="s">
        <v>1992</v>
      </c>
      <c r="C402" s="3572"/>
      <c r="D402" s="3572"/>
      <c r="E402" s="3572"/>
      <c r="F402" s="3572"/>
      <c r="G402" s="3572"/>
      <c r="H402" s="3572"/>
      <c r="I402" s="3572"/>
      <c r="J402" s="3572"/>
      <c r="K402" s="3572"/>
      <c r="L402" s="3572"/>
      <c r="M402" s="3572"/>
      <c r="N402" s="3572"/>
      <c r="O402" s="3572"/>
      <c r="P402" s="3572"/>
      <c r="Q402" s="3572"/>
      <c r="R402" s="3572"/>
      <c r="S402" s="3572"/>
      <c r="T402" s="3572"/>
      <c r="U402" s="3572"/>
      <c r="V402" s="3572"/>
      <c r="W402" s="3572"/>
      <c r="X402" s="3572"/>
      <c r="Y402" s="3572"/>
      <c r="Z402" s="3572"/>
      <c r="AA402" s="3572"/>
      <c r="AC402" s="2224"/>
      <c r="AF402" s="2224"/>
      <c r="AG402" s="2224"/>
      <c r="AK402" s="2224"/>
      <c r="AL402" s="2224"/>
      <c r="AP402" s="2224"/>
      <c r="AR402" s="2224"/>
      <c r="AS402" s="2224"/>
      <c r="AU402" s="2309"/>
    </row>
    <row r="403" spans="2:47" ht="21" customHeight="1" x14ac:dyDescent="0.2">
      <c r="B403" s="2185"/>
      <c r="C403" s="2185"/>
      <c r="D403" s="1212"/>
      <c r="E403" s="1262"/>
      <c r="F403" s="1262"/>
      <c r="G403" s="1262"/>
      <c r="H403" s="1262"/>
      <c r="I403" s="2245"/>
      <c r="J403" s="2245"/>
      <c r="K403" s="2245"/>
      <c r="L403" s="2245"/>
      <c r="M403" s="2245"/>
      <c r="N403" s="2245"/>
      <c r="O403" s="2245"/>
      <c r="P403" s="2245"/>
      <c r="Q403" s="2245"/>
      <c r="R403" s="2245"/>
      <c r="S403" s="2245"/>
      <c r="T403" s="2245"/>
      <c r="U403" s="2245"/>
      <c r="V403" s="2245"/>
      <c r="W403" s="2245"/>
      <c r="X403" s="2246"/>
      <c r="Y403" s="2185"/>
      <c r="Z403" s="2185"/>
      <c r="AA403" s="2185"/>
      <c r="AC403" s="2224"/>
      <c r="AF403" s="2224"/>
      <c r="AG403" s="2224"/>
      <c r="AK403" s="2224"/>
      <c r="AL403" s="2224"/>
      <c r="AP403" s="2224"/>
      <c r="AR403" s="2224"/>
      <c r="AS403" s="2224"/>
      <c r="AU403" s="2309"/>
    </row>
    <row r="404" spans="2:47" ht="21" customHeight="1" x14ac:dyDescent="0.2">
      <c r="B404" s="3664" t="s">
        <v>894</v>
      </c>
      <c r="C404" s="3664"/>
      <c r="D404" s="3664"/>
      <c r="E404" s="1252"/>
      <c r="F404" s="1252"/>
      <c r="G404" s="1252"/>
      <c r="H404" s="1252"/>
      <c r="I404" s="2239"/>
      <c r="J404" s="2239"/>
      <c r="K404" s="2239"/>
      <c r="L404" s="2239"/>
      <c r="M404" s="2239"/>
      <c r="N404" s="2239"/>
      <c r="O404" s="2239"/>
      <c r="P404" s="2239"/>
      <c r="Q404" s="2239"/>
      <c r="R404" s="2239"/>
      <c r="S404" s="2239"/>
      <c r="T404" s="2239"/>
      <c r="U404" s="2239"/>
      <c r="V404" s="2239"/>
      <c r="W404" s="3674" t="s">
        <v>338</v>
      </c>
      <c r="X404" s="3674"/>
      <c r="Y404" s="2240"/>
      <c r="Z404" s="2240"/>
      <c r="AA404" s="2240"/>
      <c r="AC404" s="2224"/>
      <c r="AF404" s="2224"/>
      <c r="AG404" s="2224"/>
      <c r="AK404" s="2224"/>
      <c r="AL404" s="2224"/>
      <c r="AP404" s="2224"/>
      <c r="AR404" s="2224"/>
      <c r="AS404" s="2224"/>
      <c r="AU404" s="2309"/>
    </row>
    <row r="405" spans="2:47" ht="21" customHeight="1" x14ac:dyDescent="0.2">
      <c r="B405" s="3666" t="s">
        <v>419</v>
      </c>
      <c r="C405" s="3659" t="s">
        <v>196</v>
      </c>
      <c r="D405" s="3677" t="s">
        <v>197</v>
      </c>
      <c r="E405" s="3647" t="s">
        <v>1391</v>
      </c>
      <c r="F405" s="3682" t="s">
        <v>1116</v>
      </c>
      <c r="G405" s="3682"/>
      <c r="H405" s="3662" t="s">
        <v>1993</v>
      </c>
      <c r="I405" s="3650" t="s">
        <v>1244</v>
      </c>
      <c r="J405" s="3650"/>
      <c r="K405" s="2216" t="s">
        <v>340</v>
      </c>
      <c r="L405" s="2216"/>
      <c r="M405" s="2216"/>
      <c r="N405" s="3661" t="s">
        <v>341</v>
      </c>
      <c r="O405" s="3661"/>
      <c r="P405" s="3651" t="s">
        <v>1012</v>
      </c>
      <c r="Q405" s="3652"/>
      <c r="R405" s="3652"/>
      <c r="S405" s="3652"/>
      <c r="T405" s="3653"/>
      <c r="U405" s="2217"/>
      <c r="V405" s="3650" t="s">
        <v>1334</v>
      </c>
      <c r="W405" s="3649" t="s">
        <v>898</v>
      </c>
      <c r="X405" s="3648" t="s">
        <v>1986</v>
      </c>
      <c r="Y405" s="2240"/>
      <c r="Z405" s="2240"/>
      <c r="AA405" s="2240"/>
      <c r="AC405" s="2224"/>
      <c r="AF405" s="2224"/>
      <c r="AG405" s="2224"/>
      <c r="AK405" s="2224"/>
      <c r="AL405" s="2224"/>
      <c r="AP405" s="2224"/>
      <c r="AR405" s="2224"/>
      <c r="AS405" s="2224"/>
      <c r="AU405" s="2309"/>
    </row>
    <row r="406" spans="2:47" ht="42" customHeight="1" x14ac:dyDescent="0.2">
      <c r="B406" s="3666"/>
      <c r="C406" s="3659"/>
      <c r="D406" s="3677"/>
      <c r="E406" s="3647"/>
      <c r="F406" s="1409" t="s">
        <v>1955</v>
      </c>
      <c r="G406" s="1409" t="s">
        <v>1956</v>
      </c>
      <c r="H406" s="3662"/>
      <c r="I406" s="3650"/>
      <c r="J406" s="3650"/>
      <c r="K406" s="2220" t="s">
        <v>315</v>
      </c>
      <c r="L406" s="2220" t="s">
        <v>891</v>
      </c>
      <c r="M406" s="2216" t="s">
        <v>314</v>
      </c>
      <c r="N406" s="2216" t="s">
        <v>1076</v>
      </c>
      <c r="O406" s="2216" t="s">
        <v>18</v>
      </c>
      <c r="P406" s="2220" t="s">
        <v>892</v>
      </c>
      <c r="Q406" s="2220" t="s">
        <v>826</v>
      </c>
      <c r="R406" s="2220" t="s">
        <v>315</v>
      </c>
      <c r="S406" s="2216"/>
      <c r="T406" s="2216" t="s">
        <v>1180</v>
      </c>
      <c r="U406" s="2216"/>
      <c r="V406" s="3650"/>
      <c r="W406" s="3649"/>
      <c r="X406" s="3648"/>
      <c r="Y406" s="2240"/>
      <c r="Z406" s="2240"/>
      <c r="AA406" s="2240"/>
      <c r="AC406" s="2224"/>
      <c r="AF406" s="2224"/>
      <c r="AG406" s="2224"/>
      <c r="AK406" s="2224"/>
      <c r="AL406" s="2224"/>
      <c r="AP406" s="2224"/>
      <c r="AR406" s="2224"/>
      <c r="AS406" s="2224"/>
      <c r="AU406" s="2309"/>
    </row>
    <row r="407" spans="2:47" ht="21" customHeight="1" x14ac:dyDescent="0.2">
      <c r="B407" s="3709" t="s">
        <v>1102</v>
      </c>
      <c r="C407" s="3708" t="s">
        <v>962</v>
      </c>
      <c r="D407" s="3683"/>
      <c r="E407" s="1280">
        <f t="shared" ref="E407:X407" si="91">E397</f>
        <v>35818816192153</v>
      </c>
      <c r="F407" s="1280">
        <f t="shared" si="91"/>
        <v>0</v>
      </c>
      <c r="G407" s="1280">
        <f t="shared" si="91"/>
        <v>0</v>
      </c>
      <c r="H407" s="1280">
        <f t="shared" si="91"/>
        <v>35818816192153</v>
      </c>
      <c r="I407" s="1780">
        <f t="shared" si="91"/>
        <v>0</v>
      </c>
      <c r="J407" s="1780">
        <f t="shared" si="91"/>
        <v>16936903676412</v>
      </c>
      <c r="K407" s="1780">
        <f t="shared" si="91"/>
        <v>0</v>
      </c>
      <c r="L407" s="1780">
        <f t="shared" si="91"/>
        <v>0</v>
      </c>
      <c r="M407" s="1780">
        <f t="shared" si="91"/>
        <v>0</v>
      </c>
      <c r="N407" s="1780">
        <f t="shared" si="91"/>
        <v>947751131248</v>
      </c>
      <c r="O407" s="1780">
        <f t="shared" si="91"/>
        <v>703622509640</v>
      </c>
      <c r="P407" s="1780">
        <f t="shared" si="91"/>
        <v>-1706083818699</v>
      </c>
      <c r="Q407" s="2275">
        <f t="shared" si="91"/>
        <v>-1315023704478</v>
      </c>
      <c r="R407" s="2275">
        <f t="shared" si="91"/>
        <v>0</v>
      </c>
      <c r="S407" s="2275">
        <f t="shared" si="91"/>
        <v>0</v>
      </c>
      <c r="T407" s="2275">
        <f t="shared" si="91"/>
        <v>0</v>
      </c>
      <c r="U407" s="2275">
        <f t="shared" si="91"/>
        <v>0</v>
      </c>
      <c r="V407" s="2275">
        <f t="shared" si="91"/>
        <v>-46619211088</v>
      </c>
      <c r="W407" s="2275">
        <f t="shared" si="91"/>
        <v>1142638964615</v>
      </c>
      <c r="X407" s="2276">
        <f t="shared" si="91"/>
        <v>52482005739803</v>
      </c>
      <c r="Y407" s="2240"/>
      <c r="Z407" s="2240"/>
      <c r="AA407" s="2240"/>
      <c r="AC407" s="2224"/>
      <c r="AF407" s="2224"/>
      <c r="AG407" s="2224"/>
      <c r="AK407" s="2224"/>
      <c r="AL407" s="2224"/>
      <c r="AP407" s="2224"/>
      <c r="AR407" s="2224"/>
      <c r="AS407" s="2224"/>
      <c r="AU407" s="2309"/>
    </row>
    <row r="408" spans="2:47" ht="16.899999999999999" customHeight="1" x14ac:dyDescent="0.2">
      <c r="B408" s="3709"/>
      <c r="C408" s="2338">
        <v>1503002046</v>
      </c>
      <c r="D408" s="1215" t="s">
        <v>83</v>
      </c>
      <c r="E408" s="1268">
        <v>252015271543</v>
      </c>
      <c r="F408" s="1268"/>
      <c r="G408" s="1268"/>
      <c r="H408" s="1268">
        <f>E408+G408+F408</f>
        <v>252015271543</v>
      </c>
      <c r="I408" s="324"/>
      <c r="J408" s="324">
        <f t="shared" si="80"/>
        <v>0</v>
      </c>
      <c r="K408" s="324"/>
      <c r="L408" s="324"/>
      <c r="M408" s="324"/>
      <c r="N408" s="324"/>
      <c r="O408" s="2310"/>
      <c r="P408" s="324"/>
      <c r="Q408" s="324"/>
      <c r="R408" s="324"/>
      <c r="T408" s="324"/>
      <c r="V408" s="324"/>
      <c r="W408" s="324">
        <v>-98997695969</v>
      </c>
      <c r="X408" s="1819">
        <v>153017575574</v>
      </c>
      <c r="Y408" s="2240"/>
      <c r="Z408" s="2240"/>
      <c r="AA408" s="2240"/>
      <c r="AC408" s="2224"/>
      <c r="AF408" s="2224">
        <f t="shared" si="87"/>
        <v>405032847117</v>
      </c>
      <c r="AG408" s="2224">
        <f t="shared" si="88"/>
        <v>-252015271543</v>
      </c>
      <c r="AH408" s="2311"/>
      <c r="AK408" s="2224">
        <f t="shared" si="89"/>
        <v>405032847117</v>
      </c>
      <c r="AL408" s="2224">
        <f t="shared" si="90"/>
        <v>-252015271543</v>
      </c>
      <c r="AP408" s="2224">
        <f>X408-AR408</f>
        <v>0</v>
      </c>
      <c r="AR408" s="2224">
        <f t="shared" si="78"/>
        <v>153017575574</v>
      </c>
      <c r="AS408" s="2224">
        <f t="shared" si="83"/>
        <v>0</v>
      </c>
      <c r="AU408" s="324"/>
    </row>
    <row r="409" spans="2:47" ht="16.899999999999999" customHeight="1" x14ac:dyDescent="0.2">
      <c r="B409" s="3709"/>
      <c r="C409" s="2339" t="s">
        <v>608</v>
      </c>
      <c r="D409" s="1209" t="s">
        <v>1145</v>
      </c>
      <c r="E409" s="1268">
        <v>2214844006478</v>
      </c>
      <c r="F409" s="1268"/>
      <c r="G409" s="1268"/>
      <c r="H409" s="1268">
        <f>E409+G409+F409</f>
        <v>2214844006478</v>
      </c>
      <c r="I409" s="324"/>
      <c r="J409" s="324">
        <f t="shared" si="80"/>
        <v>0</v>
      </c>
      <c r="K409" s="324"/>
      <c r="L409" s="324"/>
      <c r="M409" s="324"/>
      <c r="N409" s="324"/>
      <c r="O409" s="2312">
        <f>-('پيش پرداخت سرمايه اي يادداشت 6'!I125+'پيش پرداخت يادداشت-6'!L33)</f>
        <v>83807630440</v>
      </c>
      <c r="P409" s="324"/>
      <c r="Q409" s="324"/>
      <c r="R409" s="324"/>
      <c r="T409" s="324"/>
      <c r="V409" s="324"/>
      <c r="W409" s="324">
        <v>-312251708176</v>
      </c>
      <c r="X409" s="550">
        <f>854297410+38375039884+75995911902+1871174679546</f>
        <v>1986399928742</v>
      </c>
      <c r="Y409" s="2240"/>
      <c r="Z409" s="2240"/>
      <c r="AA409" s="2240"/>
      <c r="AC409" s="2224"/>
      <c r="AF409" s="2224">
        <f t="shared" si="87"/>
        <v>4201243935220</v>
      </c>
      <c r="AG409" s="2224">
        <f t="shared" si="88"/>
        <v>-2214844006478</v>
      </c>
      <c r="AK409" s="2224">
        <f t="shared" si="89"/>
        <v>4201243935220</v>
      </c>
      <c r="AL409" s="2224">
        <f t="shared" si="90"/>
        <v>-2214844006478</v>
      </c>
      <c r="AP409" s="2224">
        <f>X409-AR409</f>
        <v>0</v>
      </c>
      <c r="AR409" s="2224">
        <f t="shared" si="78"/>
        <v>1986399928742</v>
      </c>
      <c r="AS409" s="2224">
        <f t="shared" si="83"/>
        <v>0</v>
      </c>
      <c r="AU409" s="324"/>
    </row>
    <row r="410" spans="2:47" ht="16.899999999999999" customHeight="1" x14ac:dyDescent="0.2">
      <c r="B410" s="3709"/>
      <c r="C410" s="2339" t="s">
        <v>346</v>
      </c>
      <c r="D410" s="1209" t="s">
        <v>323</v>
      </c>
      <c r="E410" s="1268">
        <v>2973105664154</v>
      </c>
      <c r="F410" s="1268"/>
      <c r="G410" s="1268"/>
      <c r="H410" s="1268">
        <f>E410+G410+F410</f>
        <v>2973105664154</v>
      </c>
      <c r="I410" s="324"/>
      <c r="J410" s="324">
        <f t="shared" si="80"/>
        <v>0</v>
      </c>
      <c r="K410" s="324"/>
      <c r="L410" s="324"/>
      <c r="M410" s="324"/>
      <c r="N410" s="324">
        <f>-'يادداشت_-5موجودی_جنسی__(2)'!K76</f>
        <v>60157994522</v>
      </c>
      <c r="O410" s="2313">
        <f>-'پيش پرداخت سرمايه اي يادداشت 6'!I130</f>
        <v>137515824774</v>
      </c>
      <c r="P410" s="324"/>
      <c r="Q410" s="324"/>
      <c r="R410" s="324"/>
      <c r="T410" s="324"/>
      <c r="V410" s="324"/>
      <c r="W410" s="324">
        <v>-394296838217</v>
      </c>
      <c r="X410" s="550">
        <f>27259373602+2749223271631</f>
        <v>2776482645233</v>
      </c>
      <c r="Y410" s="2240"/>
      <c r="Z410" s="2240"/>
      <c r="AA410" s="2240"/>
      <c r="AC410" s="2224"/>
      <c r="AF410" s="2224">
        <f t="shared" si="87"/>
        <v>5749588309387</v>
      </c>
      <c r="AG410" s="2224">
        <f t="shared" si="88"/>
        <v>-2973105664154</v>
      </c>
      <c r="AK410" s="2224">
        <f t="shared" si="89"/>
        <v>5749588309387</v>
      </c>
      <c r="AL410" s="2224">
        <f t="shared" si="90"/>
        <v>-2973105664154</v>
      </c>
      <c r="AP410" s="2224">
        <f>X410-AR410</f>
        <v>0</v>
      </c>
      <c r="AR410" s="2224">
        <f t="shared" si="78"/>
        <v>2776482645233</v>
      </c>
      <c r="AS410" s="2224">
        <f t="shared" si="83"/>
        <v>0</v>
      </c>
      <c r="AU410" s="324"/>
    </row>
    <row r="411" spans="2:47" ht="16.899999999999999" customHeight="1" x14ac:dyDescent="0.4">
      <c r="B411" s="3709"/>
      <c r="C411" s="2340" t="s">
        <v>2153</v>
      </c>
      <c r="D411" s="1803" t="s">
        <v>2036</v>
      </c>
      <c r="E411" s="1268"/>
      <c r="F411" s="1268"/>
      <c r="G411" s="1268"/>
      <c r="H411" s="1268"/>
      <c r="I411" s="324"/>
      <c r="J411" s="324">
        <f t="shared" si="80"/>
        <v>36481816170</v>
      </c>
      <c r="K411" s="324"/>
      <c r="L411" s="324"/>
      <c r="M411" s="324"/>
      <c r="N411" s="324"/>
      <c r="O411" s="2313"/>
      <c r="P411" s="324"/>
      <c r="Q411" s="324"/>
      <c r="R411" s="324"/>
      <c r="T411" s="324"/>
      <c r="V411" s="324"/>
      <c r="W411" s="324"/>
      <c r="X411" s="550">
        <v>36481816170</v>
      </c>
      <c r="Y411" s="2240"/>
      <c r="Z411" s="2240"/>
      <c r="AA411" s="2240"/>
      <c r="AC411" s="2224"/>
      <c r="AF411" s="2224"/>
      <c r="AG411" s="2224"/>
      <c r="AK411" s="2224"/>
      <c r="AL411" s="2224"/>
      <c r="AP411" s="2224"/>
      <c r="AR411" s="2224"/>
      <c r="AS411" s="2224"/>
      <c r="AU411" s="324"/>
    </row>
    <row r="412" spans="2:47" ht="16.899999999999999" customHeight="1" x14ac:dyDescent="0.2">
      <c r="B412" s="3709"/>
      <c r="C412" s="2339" t="s">
        <v>626</v>
      </c>
      <c r="D412" s="1209" t="s">
        <v>602</v>
      </c>
      <c r="E412" s="1300">
        <v>109352992442</v>
      </c>
      <c r="F412" s="1300"/>
      <c r="G412" s="1255"/>
      <c r="H412" s="1268">
        <f t="shared" ref="H412:H429" si="92">E412+G412+F412</f>
        <v>109352992442</v>
      </c>
      <c r="I412" s="240"/>
      <c r="J412" s="324">
        <f t="shared" si="80"/>
        <v>0</v>
      </c>
      <c r="K412" s="240"/>
      <c r="L412" s="240"/>
      <c r="M412" s="240"/>
      <c r="N412" s="240"/>
      <c r="O412" s="240"/>
      <c r="P412" s="240"/>
      <c r="Q412" s="240"/>
      <c r="R412" s="240"/>
      <c r="T412" s="240"/>
      <c r="V412" s="240"/>
      <c r="W412" s="240">
        <v>-63033977302</v>
      </c>
      <c r="X412" s="550">
        <v>46319015140</v>
      </c>
      <c r="Y412" s="2240"/>
      <c r="Z412" s="2240"/>
      <c r="AA412" s="2240"/>
      <c r="AC412" s="2224"/>
      <c r="AF412" s="2224">
        <f t="shared" si="87"/>
        <v>155672007582</v>
      </c>
      <c r="AG412" s="2224">
        <f t="shared" si="88"/>
        <v>-109352992442</v>
      </c>
      <c r="AK412" s="2224">
        <f t="shared" si="89"/>
        <v>155672007582</v>
      </c>
      <c r="AL412" s="2224">
        <f t="shared" si="90"/>
        <v>-109352992442</v>
      </c>
      <c r="AP412" s="2224">
        <f>X412-J412</f>
        <v>46319015140</v>
      </c>
      <c r="AR412" s="2224">
        <f t="shared" si="78"/>
        <v>46319015140</v>
      </c>
      <c r="AS412" s="2224">
        <f t="shared" si="83"/>
        <v>0</v>
      </c>
      <c r="AU412" s="240"/>
    </row>
    <row r="413" spans="2:47" ht="16.899999999999999" customHeight="1" x14ac:dyDescent="0.2">
      <c r="B413" s="3709"/>
      <c r="C413" s="2341" t="s">
        <v>206</v>
      </c>
      <c r="D413" s="1209" t="s">
        <v>377</v>
      </c>
      <c r="E413" s="1255">
        <v>10155500606</v>
      </c>
      <c r="F413" s="1255"/>
      <c r="G413" s="1300"/>
      <c r="H413" s="1255">
        <f t="shared" si="92"/>
        <v>10155500606</v>
      </c>
      <c r="I413" s="240"/>
      <c r="J413" s="240">
        <f t="shared" ref="J413:J429" si="93">X413-O413-N413-P413-Q413-K413-R413-W413-E413-T413-I413-V413-F413-G413</f>
        <v>0</v>
      </c>
      <c r="K413" s="240"/>
      <c r="L413" s="240"/>
      <c r="M413" s="240"/>
      <c r="N413" s="240"/>
      <c r="O413" s="240"/>
      <c r="P413" s="240"/>
      <c r="Q413" s="240"/>
      <c r="R413" s="240"/>
      <c r="S413" s="1823"/>
      <c r="T413" s="240"/>
      <c r="U413" s="1823"/>
      <c r="V413" s="240"/>
      <c r="W413" s="240"/>
      <c r="X413" s="550">
        <v>10155500606</v>
      </c>
      <c r="Y413" s="2240"/>
      <c r="Z413" s="2240"/>
      <c r="AA413" s="2240"/>
      <c r="AC413" s="2224"/>
      <c r="AF413" s="2224"/>
      <c r="AG413" s="2224"/>
      <c r="AK413" s="2224"/>
      <c r="AL413" s="2224"/>
      <c r="AP413" s="2224"/>
      <c r="AR413" s="2224"/>
      <c r="AS413" s="2224"/>
      <c r="AU413" s="240"/>
    </row>
    <row r="414" spans="2:47" ht="16.899999999999999" customHeight="1" x14ac:dyDescent="0.2">
      <c r="B414" s="3709"/>
      <c r="C414" s="2153">
        <v>1307002010</v>
      </c>
      <c r="D414" s="1211" t="s">
        <v>592</v>
      </c>
      <c r="E414" s="1268">
        <v>658433232428</v>
      </c>
      <c r="F414" s="1268"/>
      <c r="G414" s="1301"/>
      <c r="H414" s="1255">
        <f t="shared" si="92"/>
        <v>658433232428</v>
      </c>
      <c r="I414" s="324"/>
      <c r="J414" s="240">
        <f t="shared" si="93"/>
        <v>10306794977</v>
      </c>
      <c r="K414" s="324"/>
      <c r="L414" s="324"/>
      <c r="M414" s="324"/>
      <c r="N414" s="324"/>
      <c r="O414" s="324"/>
      <c r="P414" s="324"/>
      <c r="Q414" s="324"/>
      <c r="R414" s="324"/>
      <c r="S414" s="2254"/>
      <c r="T414" s="324"/>
      <c r="U414" s="2254"/>
      <c r="V414" s="324"/>
      <c r="W414" s="324"/>
      <c r="X414" s="552">
        <f>617465645927+51274381478</f>
        <v>668740027405</v>
      </c>
      <c r="Y414" s="2240"/>
      <c r="Z414" s="2240"/>
      <c r="AA414" s="2240"/>
      <c r="AC414" s="2224"/>
      <c r="AF414" s="2224"/>
      <c r="AG414" s="2224"/>
      <c r="AK414" s="2224"/>
      <c r="AL414" s="2224"/>
      <c r="AP414" s="2224"/>
      <c r="AR414" s="2224"/>
      <c r="AS414" s="2224"/>
      <c r="AU414" s="240"/>
    </row>
    <row r="415" spans="2:47" ht="16.899999999999999" customHeight="1" x14ac:dyDescent="0.2">
      <c r="B415" s="3709"/>
      <c r="C415" s="2192" t="s">
        <v>674</v>
      </c>
      <c r="D415" s="1210" t="s">
        <v>672</v>
      </c>
      <c r="E415" s="1268">
        <v>53357901</v>
      </c>
      <c r="F415" s="1268"/>
      <c r="G415" s="1301"/>
      <c r="H415" s="1255">
        <f t="shared" si="92"/>
        <v>53357901</v>
      </c>
      <c r="I415" s="324"/>
      <c r="J415" s="240">
        <f t="shared" si="93"/>
        <v>0</v>
      </c>
      <c r="K415" s="324"/>
      <c r="L415" s="324"/>
      <c r="M415" s="324"/>
      <c r="N415" s="324"/>
      <c r="O415" s="324"/>
      <c r="P415" s="324"/>
      <c r="Q415" s="324"/>
      <c r="R415" s="324"/>
      <c r="S415" s="2254"/>
      <c r="T415" s="324"/>
      <c r="U415" s="2254"/>
      <c r="V415" s="324"/>
      <c r="W415" s="324">
        <v>-53357901</v>
      </c>
      <c r="X415" s="552"/>
      <c r="Y415" s="2240"/>
      <c r="Z415" s="2240"/>
      <c r="AA415" s="2240"/>
      <c r="AC415" s="2224"/>
      <c r="AF415" s="2224"/>
      <c r="AG415" s="2224"/>
      <c r="AK415" s="2224"/>
      <c r="AL415" s="2224"/>
      <c r="AP415" s="2224"/>
      <c r="AR415" s="2224"/>
      <c r="AS415" s="2224"/>
      <c r="AU415" s="240"/>
    </row>
    <row r="416" spans="2:47" ht="16.899999999999999" customHeight="1" x14ac:dyDescent="0.2">
      <c r="B416" s="3709"/>
      <c r="C416" s="2342" t="s">
        <v>125</v>
      </c>
      <c r="D416" s="1215" t="s">
        <v>371</v>
      </c>
      <c r="E416" s="1268">
        <v>8654065107</v>
      </c>
      <c r="F416" s="1268"/>
      <c r="G416" s="1301"/>
      <c r="H416" s="1255">
        <f t="shared" si="92"/>
        <v>8654065107</v>
      </c>
      <c r="I416" s="324"/>
      <c r="J416" s="240">
        <f t="shared" si="93"/>
        <v>0</v>
      </c>
      <c r="K416" s="324"/>
      <c r="L416" s="324"/>
      <c r="M416" s="324"/>
      <c r="N416" s="324"/>
      <c r="O416" s="324"/>
      <c r="P416" s="324"/>
      <c r="Q416" s="324"/>
      <c r="R416" s="324"/>
      <c r="T416" s="324"/>
      <c r="V416" s="324"/>
      <c r="W416" s="324">
        <v>0</v>
      </c>
      <c r="X416" s="1770">
        <v>8654065107</v>
      </c>
      <c r="Y416" s="2240"/>
      <c r="Z416" s="2240"/>
      <c r="AA416" s="2240"/>
      <c r="AC416" s="2224"/>
      <c r="AF416" s="2224"/>
      <c r="AG416" s="2224"/>
      <c r="AK416" s="2224"/>
      <c r="AL416" s="2224"/>
      <c r="AP416" s="2224"/>
      <c r="AR416" s="2224"/>
      <c r="AS416" s="2224"/>
      <c r="AU416" s="240"/>
    </row>
    <row r="417" spans="2:47" ht="16.899999999999999" customHeight="1" x14ac:dyDescent="0.2">
      <c r="B417" s="3709"/>
      <c r="C417" s="2341">
        <v>1503002096</v>
      </c>
      <c r="D417" s="1209" t="s">
        <v>84</v>
      </c>
      <c r="E417" s="1255">
        <v>7171118321</v>
      </c>
      <c r="F417" s="1255"/>
      <c r="G417" s="1255"/>
      <c r="H417" s="1255">
        <f t="shared" si="92"/>
        <v>7171118321</v>
      </c>
      <c r="I417" s="240"/>
      <c r="J417" s="240">
        <f t="shared" si="93"/>
        <v>0</v>
      </c>
      <c r="K417" s="240"/>
      <c r="L417" s="240"/>
      <c r="M417" s="240"/>
      <c r="N417" s="240"/>
      <c r="O417" s="240"/>
      <c r="P417" s="240"/>
      <c r="Q417" s="240"/>
      <c r="R417" s="240"/>
      <c r="T417" s="240"/>
      <c r="V417" s="240"/>
      <c r="W417" s="240">
        <v>0</v>
      </c>
      <c r="X417" s="1746">
        <v>7171118321</v>
      </c>
      <c r="Y417" s="2240"/>
      <c r="Z417" s="2240"/>
      <c r="AA417" s="2240"/>
      <c r="AC417" s="2224"/>
      <c r="AF417" s="2224"/>
      <c r="AG417" s="2224"/>
      <c r="AK417" s="2224"/>
      <c r="AL417" s="2224"/>
      <c r="AP417" s="2224"/>
      <c r="AR417" s="2224"/>
      <c r="AS417" s="2224"/>
      <c r="AU417" s="240"/>
    </row>
    <row r="418" spans="2:47" ht="16.899999999999999" customHeight="1" x14ac:dyDescent="0.2">
      <c r="B418" s="3709"/>
      <c r="C418" s="2341" t="s">
        <v>105</v>
      </c>
      <c r="D418" s="1209" t="s">
        <v>106</v>
      </c>
      <c r="E418" s="1255"/>
      <c r="F418" s="1255"/>
      <c r="G418" s="1255"/>
      <c r="H418" s="1255">
        <f t="shared" si="92"/>
        <v>0</v>
      </c>
      <c r="I418" s="390"/>
      <c r="J418" s="240">
        <f t="shared" si="93"/>
        <v>0</v>
      </c>
      <c r="K418" s="240"/>
      <c r="L418" s="240"/>
      <c r="M418" s="240"/>
      <c r="N418" s="240"/>
      <c r="O418" s="240"/>
      <c r="P418" s="240"/>
      <c r="Q418" s="240"/>
      <c r="R418" s="240"/>
      <c r="T418" s="240"/>
      <c r="V418" s="240"/>
      <c r="W418" s="240">
        <v>0</v>
      </c>
      <c r="X418" s="550"/>
      <c r="Y418" s="2240"/>
      <c r="Z418" s="2240"/>
      <c r="AA418" s="2240"/>
      <c r="AC418" s="2224"/>
      <c r="AF418" s="2224"/>
      <c r="AG418" s="2224"/>
      <c r="AK418" s="2224"/>
      <c r="AL418" s="2224"/>
      <c r="AP418" s="2224"/>
      <c r="AR418" s="2224"/>
      <c r="AS418" s="2224"/>
      <c r="AU418" s="240"/>
    </row>
    <row r="419" spans="2:47" ht="16.899999999999999" customHeight="1" x14ac:dyDescent="0.2">
      <c r="B419" s="3709"/>
      <c r="C419" s="2339" t="s">
        <v>1083</v>
      </c>
      <c r="D419" s="1210" t="s">
        <v>1082</v>
      </c>
      <c r="E419" s="1300">
        <v>39865318450</v>
      </c>
      <c r="F419" s="1300"/>
      <c r="G419" s="1300"/>
      <c r="H419" s="1255">
        <f t="shared" si="92"/>
        <v>39865318450</v>
      </c>
      <c r="J419" s="240">
        <f t="shared" si="93"/>
        <v>52954819175</v>
      </c>
      <c r="K419" s="1823"/>
      <c r="L419" s="1823"/>
      <c r="M419" s="1823"/>
      <c r="N419" s="1823">
        <f>-'يادداشت_-5موجودی_جنسی__(2)'!K79</f>
        <v>0</v>
      </c>
      <c r="O419" s="1823">
        <f>-'پيش پرداخت سرمايه اي يادداشت 6'!I128</f>
        <v>3545016989</v>
      </c>
      <c r="P419" s="1823"/>
      <c r="Q419" s="1823"/>
      <c r="R419" s="1823"/>
      <c r="T419" s="1823"/>
      <c r="V419" s="1823"/>
      <c r="W419" s="1823"/>
      <c r="X419" s="1746">
        <v>96365154614</v>
      </c>
      <c r="Y419" s="2240"/>
      <c r="Z419" s="2240"/>
      <c r="AA419" s="2240"/>
      <c r="AC419" s="2224"/>
      <c r="AF419" s="2224"/>
      <c r="AG419" s="2224"/>
      <c r="AK419" s="2224"/>
      <c r="AL419" s="2224"/>
      <c r="AP419" s="2224"/>
      <c r="AR419" s="2224"/>
      <c r="AS419" s="2224"/>
      <c r="AU419" s="240"/>
    </row>
    <row r="420" spans="2:47" ht="16.899999999999999" customHeight="1" x14ac:dyDescent="0.2">
      <c r="B420" s="3709"/>
      <c r="C420" s="2192" t="s">
        <v>542</v>
      </c>
      <c r="D420" s="1209" t="s">
        <v>335</v>
      </c>
      <c r="E420" s="1255">
        <v>3768055093</v>
      </c>
      <c r="F420" s="1255"/>
      <c r="G420" s="1255"/>
      <c r="H420" s="1255">
        <f t="shared" si="92"/>
        <v>3768055093</v>
      </c>
      <c r="I420" s="240"/>
      <c r="J420" s="240">
        <f t="shared" si="93"/>
        <v>0</v>
      </c>
      <c r="K420" s="240"/>
      <c r="L420" s="240"/>
      <c r="M420" s="240"/>
      <c r="N420" s="240"/>
      <c r="O420" s="1779"/>
      <c r="P420" s="240"/>
      <c r="Q420" s="240"/>
      <c r="R420" s="240"/>
      <c r="T420" s="240"/>
      <c r="V420" s="1779"/>
      <c r="W420" s="240">
        <v>-204038937</v>
      </c>
      <c r="X420" s="550">
        <v>3564016156</v>
      </c>
      <c r="Y420" s="2240"/>
      <c r="Z420" s="2240"/>
      <c r="AA420" s="2240"/>
      <c r="AC420" s="2224"/>
      <c r="AF420" s="2224"/>
      <c r="AG420" s="2224"/>
      <c r="AK420" s="2224"/>
      <c r="AL420" s="2224"/>
      <c r="AP420" s="2224"/>
      <c r="AR420" s="2224"/>
      <c r="AS420" s="2224"/>
      <c r="AU420" s="240"/>
    </row>
    <row r="421" spans="2:47" ht="16.899999999999999" customHeight="1" x14ac:dyDescent="0.2">
      <c r="B421" s="3709"/>
      <c r="C421" s="2192" t="s">
        <v>546</v>
      </c>
      <c r="D421" s="1209" t="s">
        <v>545</v>
      </c>
      <c r="E421" s="1255">
        <v>3000000000</v>
      </c>
      <c r="F421" s="1255"/>
      <c r="G421" s="1255"/>
      <c r="H421" s="1255">
        <f t="shared" si="92"/>
        <v>3000000000</v>
      </c>
      <c r="I421" s="240"/>
      <c r="J421" s="240">
        <f t="shared" si="93"/>
        <v>0</v>
      </c>
      <c r="K421" s="240"/>
      <c r="L421" s="240"/>
      <c r="M421" s="240"/>
      <c r="N421" s="240"/>
      <c r="O421" s="1779"/>
      <c r="P421" s="240"/>
      <c r="Q421" s="240"/>
      <c r="R421" s="240"/>
      <c r="T421" s="240"/>
      <c r="V421" s="1779"/>
      <c r="W421" s="240">
        <v>0</v>
      </c>
      <c r="X421" s="550">
        <v>3000000000</v>
      </c>
      <c r="Y421" s="2240"/>
      <c r="Z421" s="2240"/>
      <c r="AA421" s="2240"/>
      <c r="AC421" s="2224"/>
      <c r="AF421" s="2224"/>
      <c r="AG421" s="2224"/>
      <c r="AK421" s="2224"/>
      <c r="AL421" s="2224"/>
      <c r="AP421" s="2224"/>
      <c r="AR421" s="2224"/>
      <c r="AS421" s="2224"/>
      <c r="AU421" s="240"/>
    </row>
    <row r="422" spans="2:47" ht="16.899999999999999" customHeight="1" x14ac:dyDescent="0.2">
      <c r="B422" s="3709"/>
      <c r="C422" s="2192" t="s">
        <v>609</v>
      </c>
      <c r="D422" s="1209" t="s">
        <v>607</v>
      </c>
      <c r="E422" s="1300">
        <v>32656812407</v>
      </c>
      <c r="F422" s="1300"/>
      <c r="G422" s="1300"/>
      <c r="H422" s="1255">
        <f t="shared" si="92"/>
        <v>32656812407</v>
      </c>
      <c r="I422" s="1823"/>
      <c r="J422" s="240">
        <f t="shared" si="93"/>
        <v>27330562746</v>
      </c>
      <c r="K422" s="1823"/>
      <c r="L422" s="1823"/>
      <c r="M422" s="1823"/>
      <c r="N422" s="1823"/>
      <c r="O422" s="1823"/>
      <c r="P422" s="1823"/>
      <c r="Q422" s="1823"/>
      <c r="R422" s="1823"/>
      <c r="T422" s="1823"/>
      <c r="V422" s="1823"/>
      <c r="W422" s="1823"/>
      <c r="X422" s="1746">
        <v>59987375153</v>
      </c>
      <c r="Y422" s="2240"/>
      <c r="Z422" s="2240"/>
      <c r="AA422" s="2240"/>
      <c r="AC422" s="2224"/>
      <c r="AF422" s="2224"/>
      <c r="AG422" s="2224"/>
      <c r="AK422" s="2224"/>
      <c r="AL422" s="2224"/>
      <c r="AP422" s="2224"/>
      <c r="AR422" s="2224"/>
      <c r="AS422" s="2224"/>
      <c r="AU422" s="240"/>
    </row>
    <row r="423" spans="2:47" ht="16.899999999999999" customHeight="1" x14ac:dyDescent="0.2">
      <c r="B423" s="3709"/>
      <c r="C423" s="547" t="s">
        <v>540</v>
      </c>
      <c r="D423" s="1209" t="s">
        <v>541</v>
      </c>
      <c r="E423" s="1255">
        <v>40373915451</v>
      </c>
      <c r="F423" s="1255"/>
      <c r="G423" s="1255"/>
      <c r="H423" s="1255">
        <f t="shared" si="92"/>
        <v>40373915451</v>
      </c>
      <c r="I423" s="240"/>
      <c r="J423" s="240">
        <f t="shared" si="93"/>
        <v>499907874</v>
      </c>
      <c r="K423" s="240"/>
      <c r="L423" s="240"/>
      <c r="M423" s="240"/>
      <c r="N423" s="240"/>
      <c r="O423" s="1779"/>
      <c r="P423" s="240"/>
      <c r="Q423" s="240"/>
      <c r="R423" s="1779"/>
      <c r="T423" s="240"/>
      <c r="V423" s="1779"/>
      <c r="W423" s="240"/>
      <c r="X423" s="1746">
        <f>40373915451+499907874</f>
        <v>40873823325</v>
      </c>
      <c r="Y423" s="2240"/>
      <c r="Z423" s="2240"/>
      <c r="AA423" s="2240"/>
      <c r="AC423" s="2224"/>
      <c r="AF423" s="2224"/>
      <c r="AG423" s="2224"/>
      <c r="AK423" s="2224"/>
      <c r="AL423" s="2224"/>
      <c r="AR423" s="2224"/>
      <c r="AS423" s="2224"/>
      <c r="AU423" s="240"/>
    </row>
    <row r="424" spans="2:47" ht="16.899999999999999" customHeight="1" x14ac:dyDescent="0.2">
      <c r="B424" s="3709"/>
      <c r="C424" s="2341" t="s">
        <v>182</v>
      </c>
      <c r="D424" s="1209" t="s">
        <v>335</v>
      </c>
      <c r="E424" s="1255">
        <v>2089203822</v>
      </c>
      <c r="F424" s="1255"/>
      <c r="G424" s="1255"/>
      <c r="H424" s="1255">
        <f t="shared" si="92"/>
        <v>2089203822</v>
      </c>
      <c r="I424" s="240"/>
      <c r="J424" s="240">
        <f t="shared" si="93"/>
        <v>0</v>
      </c>
      <c r="K424" s="240"/>
      <c r="L424" s="240"/>
      <c r="M424" s="240"/>
      <c r="N424" s="240"/>
      <c r="O424" s="240"/>
      <c r="P424" s="240"/>
      <c r="Q424" s="240"/>
      <c r="R424" s="240"/>
      <c r="T424" s="240"/>
      <c r="V424" s="240"/>
      <c r="W424" s="240">
        <v>-275532416</v>
      </c>
      <c r="X424" s="1746">
        <v>1813671406</v>
      </c>
      <c r="Y424" s="2240"/>
      <c r="Z424" s="2240"/>
      <c r="AA424" s="2240"/>
      <c r="AC424" s="2224"/>
      <c r="AF424" s="2224"/>
      <c r="AG424" s="2224"/>
      <c r="AK424" s="2224"/>
      <c r="AL424" s="2224"/>
      <c r="AP424" s="2224"/>
      <c r="AR424" s="2224"/>
      <c r="AS424" s="2224"/>
      <c r="AU424" s="240"/>
    </row>
    <row r="425" spans="2:47" ht="16.899999999999999" customHeight="1" x14ac:dyDescent="0.2">
      <c r="B425" s="3709"/>
      <c r="C425" s="2341" t="s">
        <v>68</v>
      </c>
      <c r="D425" s="1209" t="s">
        <v>70</v>
      </c>
      <c r="E425" s="1255">
        <v>2470527633</v>
      </c>
      <c r="F425" s="1255"/>
      <c r="G425" s="1255"/>
      <c r="H425" s="1255">
        <f t="shared" si="92"/>
        <v>2470527633</v>
      </c>
      <c r="I425" s="240"/>
      <c r="J425" s="240">
        <f t="shared" si="93"/>
        <v>0</v>
      </c>
      <c r="K425" s="240"/>
      <c r="L425" s="240"/>
      <c r="M425" s="240"/>
      <c r="N425" s="240"/>
      <c r="O425" s="240"/>
      <c r="P425" s="240"/>
      <c r="Q425" s="240"/>
      <c r="R425" s="240"/>
      <c r="T425" s="240"/>
      <c r="V425" s="240"/>
      <c r="W425" s="240">
        <v>0</v>
      </c>
      <c r="X425" s="550">
        <v>2470527633</v>
      </c>
      <c r="Y425" s="2240"/>
      <c r="Z425" s="2240"/>
      <c r="AA425" s="2240"/>
      <c r="AC425" s="2224"/>
      <c r="AF425" s="2224"/>
      <c r="AG425" s="2224"/>
      <c r="AK425" s="2224"/>
      <c r="AL425" s="2224"/>
      <c r="AP425" s="2224"/>
      <c r="AR425" s="2224"/>
      <c r="AS425" s="2224"/>
      <c r="AU425" s="240"/>
    </row>
    <row r="426" spans="2:47" ht="16.899999999999999" customHeight="1" x14ac:dyDescent="0.2">
      <c r="B426" s="3709"/>
      <c r="C426" s="2192" t="s">
        <v>634</v>
      </c>
      <c r="D426" s="1209" t="s">
        <v>598</v>
      </c>
      <c r="E426" s="1300">
        <v>2107376364</v>
      </c>
      <c r="F426" s="1300"/>
      <c r="G426" s="1300"/>
      <c r="H426" s="1255">
        <f t="shared" si="92"/>
        <v>2107376364</v>
      </c>
      <c r="I426" s="1823"/>
      <c r="J426" s="240">
        <f t="shared" si="93"/>
        <v>0</v>
      </c>
      <c r="K426" s="1823"/>
      <c r="L426" s="1823"/>
      <c r="M426" s="1823"/>
      <c r="N426" s="1823"/>
      <c r="O426" s="1823"/>
      <c r="P426" s="1823"/>
      <c r="Q426" s="1823"/>
      <c r="R426" s="1823"/>
      <c r="T426" s="1823"/>
      <c r="V426" s="1823"/>
      <c r="W426" s="1823">
        <v>-335000000</v>
      </c>
      <c r="X426" s="1746">
        <v>1772376364</v>
      </c>
      <c r="Y426" s="2240"/>
      <c r="Z426" s="2240"/>
      <c r="AA426" s="2240"/>
      <c r="AC426" s="2224"/>
      <c r="AF426" s="2224"/>
      <c r="AG426" s="2224"/>
      <c r="AK426" s="2224"/>
      <c r="AL426" s="2224"/>
      <c r="AP426" s="2224"/>
      <c r="AR426" s="2224"/>
      <c r="AS426" s="2224"/>
      <c r="AU426" s="240"/>
    </row>
    <row r="427" spans="2:47" ht="16.899999999999999" customHeight="1" x14ac:dyDescent="0.2">
      <c r="B427" s="3709"/>
      <c r="C427" s="2192" t="s">
        <v>548</v>
      </c>
      <c r="D427" s="1209" t="s">
        <v>547</v>
      </c>
      <c r="E427" s="1255">
        <v>377692124270</v>
      </c>
      <c r="F427" s="1255"/>
      <c r="G427" s="1255"/>
      <c r="H427" s="1255">
        <f t="shared" si="92"/>
        <v>377692124270</v>
      </c>
      <c r="I427" s="240"/>
      <c r="J427" s="240">
        <f t="shared" si="93"/>
        <v>0</v>
      </c>
      <c r="K427" s="240"/>
      <c r="L427" s="240"/>
      <c r="M427" s="240"/>
      <c r="N427" s="240"/>
      <c r="O427" s="1779"/>
      <c r="P427" s="240"/>
      <c r="Q427" s="240"/>
      <c r="R427" s="240"/>
      <c r="T427" s="240"/>
      <c r="V427" s="1779"/>
      <c r="W427" s="240">
        <v>-224499846726</v>
      </c>
      <c r="X427" s="552">
        <f>153192277544</f>
        <v>153192277544</v>
      </c>
      <c r="Y427" s="2240"/>
      <c r="Z427" s="2240"/>
      <c r="AA427" s="2240"/>
      <c r="AC427" s="2224"/>
      <c r="AF427" s="2224"/>
      <c r="AG427" s="2224"/>
      <c r="AK427" s="2224"/>
      <c r="AL427" s="2224"/>
      <c r="AN427" s="2224">
        <f>48769611138+4174967863</f>
        <v>52944579001</v>
      </c>
      <c r="AO427" s="2204" t="s">
        <v>2219</v>
      </c>
      <c r="AP427" s="2224"/>
      <c r="AR427" s="2224"/>
      <c r="AS427" s="2224"/>
      <c r="AU427" s="240"/>
    </row>
    <row r="428" spans="2:47" ht="16.899999999999999" customHeight="1" x14ac:dyDescent="0.2">
      <c r="B428" s="3709"/>
      <c r="C428" s="2341">
        <v>1503002173</v>
      </c>
      <c r="D428" s="1209" t="s">
        <v>376</v>
      </c>
      <c r="E428" s="1255">
        <v>101177731950</v>
      </c>
      <c r="F428" s="1255"/>
      <c r="G428" s="1255"/>
      <c r="H428" s="1255">
        <f t="shared" si="92"/>
        <v>101177731950</v>
      </c>
      <c r="I428" s="240"/>
      <c r="J428" s="240">
        <f t="shared" si="93"/>
        <v>0</v>
      </c>
      <c r="K428" s="240"/>
      <c r="L428" s="240"/>
      <c r="M428" s="240"/>
      <c r="N428" s="240"/>
      <c r="O428" s="240"/>
      <c r="P428" s="240"/>
      <c r="Q428" s="240"/>
      <c r="R428" s="240"/>
      <c r="T428" s="240"/>
      <c r="V428" s="240"/>
      <c r="W428" s="240">
        <v>-3779643048</v>
      </c>
      <c r="X428" s="550">
        <f>96220356952+1177731950</f>
        <v>97398088902</v>
      </c>
      <c r="Y428" s="2240"/>
      <c r="Z428" s="2240"/>
      <c r="AA428" s="2240"/>
      <c r="AC428" s="2224"/>
      <c r="AF428" s="2224"/>
      <c r="AG428" s="2224"/>
      <c r="AK428" s="2224"/>
      <c r="AL428" s="2224"/>
      <c r="AN428" s="2204">
        <f>E427+W427</f>
        <v>153192277544</v>
      </c>
      <c r="AP428" s="2224"/>
      <c r="AR428" s="2224"/>
      <c r="AS428" s="2224"/>
      <c r="AU428" s="240"/>
    </row>
    <row r="429" spans="2:47" ht="16.899999999999999" customHeight="1" x14ac:dyDescent="0.2">
      <c r="B429" s="3709"/>
      <c r="C429" s="2341">
        <v>1503002067</v>
      </c>
      <c r="D429" s="1209" t="s">
        <v>86</v>
      </c>
      <c r="E429" s="1255">
        <v>1000000000</v>
      </c>
      <c r="F429" s="1255"/>
      <c r="G429" s="1255"/>
      <c r="H429" s="1255">
        <f t="shared" si="92"/>
        <v>1000000000</v>
      </c>
      <c r="I429" s="240"/>
      <c r="J429" s="240">
        <f t="shared" si="93"/>
        <v>0</v>
      </c>
      <c r="K429" s="240"/>
      <c r="L429" s="240"/>
      <c r="M429" s="240"/>
      <c r="N429" s="240"/>
      <c r="O429" s="1779"/>
      <c r="P429" s="240"/>
      <c r="Q429" s="240"/>
      <c r="R429" s="240"/>
      <c r="T429" s="240"/>
      <c r="V429" s="1779"/>
      <c r="W429" s="240">
        <v>0</v>
      </c>
      <c r="X429" s="550">
        <v>1000000000</v>
      </c>
      <c r="Y429" s="2240"/>
      <c r="Z429" s="2240"/>
      <c r="AA429" s="2240"/>
      <c r="AC429" s="2224"/>
      <c r="AF429" s="2224"/>
      <c r="AG429" s="2224"/>
      <c r="AK429" s="2224"/>
      <c r="AL429" s="2224"/>
      <c r="AP429" s="2224"/>
      <c r="AR429" s="2224"/>
      <c r="AS429" s="2224"/>
      <c r="AU429" s="240"/>
    </row>
    <row r="430" spans="2:47" ht="16.899999999999999" customHeight="1" x14ac:dyDescent="0.2">
      <c r="B430" s="3655" t="s">
        <v>961</v>
      </c>
      <c r="C430" s="3656"/>
      <c r="D430" s="3657"/>
      <c r="E430" s="1289">
        <f>SUM(E408:E429)</f>
        <v>6839986274420</v>
      </c>
      <c r="F430" s="1289">
        <f t="shared" ref="F430:X430" si="94">SUM(F408:F429)</f>
        <v>0</v>
      </c>
      <c r="G430" s="1289">
        <f t="shared" si="94"/>
        <v>0</v>
      </c>
      <c r="H430" s="1289">
        <f t="shared" si="94"/>
        <v>6839986274420</v>
      </c>
      <c r="I430" s="1289">
        <f t="shared" si="94"/>
        <v>0</v>
      </c>
      <c r="J430" s="1289">
        <f t="shared" si="94"/>
        <v>127573900942</v>
      </c>
      <c r="K430" s="1289">
        <f t="shared" si="94"/>
        <v>0</v>
      </c>
      <c r="L430" s="1289">
        <f t="shared" si="94"/>
        <v>0</v>
      </c>
      <c r="M430" s="1289">
        <f t="shared" si="94"/>
        <v>0</v>
      </c>
      <c r="N430" s="1289">
        <f t="shared" si="94"/>
        <v>60157994522</v>
      </c>
      <c r="O430" s="1289">
        <f t="shared" si="94"/>
        <v>224868472203</v>
      </c>
      <c r="P430" s="1289">
        <f t="shared" si="94"/>
        <v>0</v>
      </c>
      <c r="Q430" s="1289">
        <f t="shared" si="94"/>
        <v>0</v>
      </c>
      <c r="R430" s="1289">
        <f t="shared" si="94"/>
        <v>0</v>
      </c>
      <c r="S430" s="1289">
        <f t="shared" si="94"/>
        <v>0</v>
      </c>
      <c r="T430" s="1289">
        <f t="shared" si="94"/>
        <v>0</v>
      </c>
      <c r="U430" s="1289">
        <f t="shared" si="94"/>
        <v>0</v>
      </c>
      <c r="V430" s="1289">
        <f t="shared" si="94"/>
        <v>0</v>
      </c>
      <c r="W430" s="1289">
        <f>SUM(W408:W429)</f>
        <v>-1097727638692</v>
      </c>
      <c r="X430" s="1289">
        <f t="shared" si="94"/>
        <v>6154859003395</v>
      </c>
      <c r="Y430" s="2240"/>
      <c r="Z430" s="2240"/>
      <c r="AA430" s="2240"/>
      <c r="AC430" s="2224"/>
      <c r="AF430" s="2224">
        <f t="shared" si="87"/>
        <v>12994845277815</v>
      </c>
      <c r="AG430" s="2224">
        <f t="shared" si="88"/>
        <v>-6839986274420</v>
      </c>
      <c r="AK430" s="2224">
        <f t="shared" si="89"/>
        <v>12994845277815</v>
      </c>
      <c r="AL430" s="2224">
        <f t="shared" si="90"/>
        <v>-6839986274420</v>
      </c>
      <c r="AP430" s="2224">
        <f>X430-AR430</f>
        <v>0</v>
      </c>
      <c r="AR430" s="2224">
        <f t="shared" si="78"/>
        <v>6154859003395</v>
      </c>
      <c r="AS430" s="2224">
        <f t="shared" si="83"/>
        <v>0</v>
      </c>
      <c r="AU430" s="259">
        <f>SUM(AU408:AU412)</f>
        <v>0</v>
      </c>
    </row>
    <row r="431" spans="2:47" ht="13.5" customHeight="1" x14ac:dyDescent="0.2">
      <c r="B431" s="2273"/>
      <c r="C431" s="3660" t="s">
        <v>1819</v>
      </c>
      <c r="D431" s="3660"/>
      <c r="E431" s="3660"/>
      <c r="F431" s="3660"/>
      <c r="G431" s="3660"/>
      <c r="H431" s="3660"/>
      <c r="I431" s="3660"/>
      <c r="J431" s="3660"/>
      <c r="K431" s="3660"/>
      <c r="L431" s="3660"/>
      <c r="M431" s="3660"/>
      <c r="N431" s="3660"/>
      <c r="O431" s="3660"/>
      <c r="P431" s="3660"/>
      <c r="Q431" s="3660"/>
      <c r="R431" s="3660"/>
      <c r="S431" s="3660"/>
      <c r="T431" s="3660"/>
      <c r="U431" s="3660"/>
      <c r="V431" s="3660"/>
      <c r="W431" s="3660"/>
      <c r="X431" s="3660"/>
      <c r="Y431" s="3660"/>
      <c r="Z431" s="2274"/>
      <c r="AC431" s="2224"/>
      <c r="AF431" s="2224">
        <f t="shared" si="87"/>
        <v>0</v>
      </c>
      <c r="AG431" s="2224">
        <f t="shared" si="88"/>
        <v>0</v>
      </c>
      <c r="AK431" s="2224">
        <f t="shared" si="89"/>
        <v>0</v>
      </c>
      <c r="AL431" s="2224">
        <f t="shared" si="90"/>
        <v>0</v>
      </c>
      <c r="AP431" s="2224">
        <f>X431-AR431</f>
        <v>0</v>
      </c>
      <c r="AR431" s="2224">
        <f t="shared" si="78"/>
        <v>0</v>
      </c>
      <c r="AS431" s="2224">
        <f t="shared" si="83"/>
        <v>0</v>
      </c>
    </row>
    <row r="432" spans="2:47" ht="22.15" customHeight="1" x14ac:dyDescent="0.2">
      <c r="B432" s="3565" t="s">
        <v>32</v>
      </c>
      <c r="C432" s="3565"/>
      <c r="D432" s="3565"/>
      <c r="E432" s="3565"/>
      <c r="F432" s="3565"/>
      <c r="G432" s="3565"/>
      <c r="H432" s="3565"/>
      <c r="I432" s="3565"/>
      <c r="J432" s="3565"/>
      <c r="K432" s="3565"/>
      <c r="L432" s="3565"/>
      <c r="M432" s="3565"/>
      <c r="N432" s="3565"/>
      <c r="O432" s="3565"/>
      <c r="P432" s="3565"/>
      <c r="Q432" s="3565"/>
      <c r="R432" s="3565"/>
      <c r="S432" s="3565"/>
      <c r="T432" s="3565"/>
      <c r="U432" s="3565"/>
      <c r="V432" s="3565"/>
      <c r="W432" s="3565"/>
      <c r="X432" s="3565"/>
      <c r="Y432" s="3565"/>
      <c r="Z432" s="3565"/>
      <c r="AA432" s="3565"/>
      <c r="AC432" s="2224"/>
      <c r="AF432" s="2224">
        <f t="shared" si="87"/>
        <v>0</v>
      </c>
      <c r="AG432" s="2224">
        <f t="shared" si="88"/>
        <v>0</v>
      </c>
      <c r="AK432" s="2224">
        <f t="shared" si="89"/>
        <v>0</v>
      </c>
      <c r="AL432" s="2224">
        <f t="shared" si="90"/>
        <v>0</v>
      </c>
      <c r="AP432" s="2224">
        <f>X432-AR432</f>
        <v>0</v>
      </c>
      <c r="AR432" s="2224">
        <f t="shared" si="78"/>
        <v>0</v>
      </c>
      <c r="AS432" s="2224">
        <f t="shared" si="83"/>
        <v>0</v>
      </c>
    </row>
    <row r="433" spans="2:47" ht="22.15" customHeight="1" x14ac:dyDescent="0.2">
      <c r="B433" s="3565" t="s">
        <v>45</v>
      </c>
      <c r="C433" s="3565"/>
      <c r="D433" s="3565"/>
      <c r="E433" s="3565"/>
      <c r="F433" s="3565"/>
      <c r="G433" s="3565"/>
      <c r="H433" s="3565"/>
      <c r="I433" s="3565"/>
      <c r="J433" s="3565"/>
      <c r="K433" s="3565"/>
      <c r="L433" s="3565"/>
      <c r="M433" s="3565"/>
      <c r="N433" s="3565"/>
      <c r="O433" s="3565"/>
      <c r="P433" s="3565"/>
      <c r="Q433" s="3565"/>
      <c r="R433" s="3565"/>
      <c r="S433" s="3565"/>
      <c r="T433" s="3565"/>
      <c r="U433" s="3565"/>
      <c r="V433" s="3565"/>
      <c r="W433" s="3565"/>
      <c r="X433" s="3565"/>
      <c r="Y433" s="3565"/>
      <c r="Z433" s="3565"/>
      <c r="AA433" s="3565"/>
      <c r="AC433" s="2224"/>
      <c r="AF433" s="2224">
        <f t="shared" si="87"/>
        <v>0</v>
      </c>
      <c r="AG433" s="2224">
        <f t="shared" si="88"/>
        <v>0</v>
      </c>
      <c r="AK433" s="2224">
        <f t="shared" si="89"/>
        <v>0</v>
      </c>
      <c r="AL433" s="2224">
        <f t="shared" si="90"/>
        <v>0</v>
      </c>
      <c r="AP433" s="2224">
        <f>E397+F397+G397</f>
        <v>35818816192153</v>
      </c>
      <c r="AR433" s="2224">
        <f t="shared" si="78"/>
        <v>0</v>
      </c>
      <c r="AS433" s="2224">
        <f t="shared" si="83"/>
        <v>0</v>
      </c>
    </row>
    <row r="434" spans="2:47" ht="22.15" customHeight="1" x14ac:dyDescent="0.2">
      <c r="B434" s="3565" t="s">
        <v>46</v>
      </c>
      <c r="C434" s="3565"/>
      <c r="D434" s="3565"/>
      <c r="E434" s="3565"/>
      <c r="F434" s="3565"/>
      <c r="G434" s="3565"/>
      <c r="H434" s="3565"/>
      <c r="I434" s="3565"/>
      <c r="J434" s="3565"/>
      <c r="K434" s="3565"/>
      <c r="L434" s="3565"/>
      <c r="M434" s="3565"/>
      <c r="N434" s="3565"/>
      <c r="O434" s="3565"/>
      <c r="P434" s="3565"/>
      <c r="Q434" s="3565"/>
      <c r="R434" s="3565"/>
      <c r="S434" s="3565"/>
      <c r="T434" s="3565"/>
      <c r="U434" s="3565"/>
      <c r="V434" s="3565"/>
      <c r="W434" s="3565"/>
      <c r="X434" s="3565"/>
      <c r="Y434" s="3565"/>
      <c r="Z434" s="3565"/>
      <c r="AA434" s="3565"/>
      <c r="AC434" s="2224"/>
      <c r="AF434" s="2224">
        <f t="shared" si="87"/>
        <v>0</v>
      </c>
      <c r="AG434" s="2224">
        <f t="shared" si="88"/>
        <v>0</v>
      </c>
      <c r="AK434" s="2224">
        <f t="shared" si="89"/>
        <v>0</v>
      </c>
      <c r="AL434" s="2224">
        <f t="shared" si="90"/>
        <v>0</v>
      </c>
      <c r="AP434" s="2224">
        <f>X434-AR434</f>
        <v>0</v>
      </c>
      <c r="AR434" s="2224">
        <f t="shared" si="78"/>
        <v>0</v>
      </c>
      <c r="AS434" s="2224">
        <f t="shared" si="83"/>
        <v>0</v>
      </c>
    </row>
    <row r="435" spans="2:47" ht="22.15" customHeight="1" x14ac:dyDescent="0.2">
      <c r="B435" s="3685" t="s">
        <v>1992</v>
      </c>
      <c r="C435" s="3685"/>
      <c r="D435" s="3685"/>
      <c r="E435" s="3685"/>
      <c r="F435" s="3685"/>
      <c r="G435" s="3685"/>
      <c r="H435" s="3685"/>
      <c r="I435" s="3685"/>
      <c r="J435" s="3685"/>
      <c r="K435" s="3685"/>
      <c r="L435" s="3685"/>
      <c r="M435" s="3685"/>
      <c r="N435" s="3685"/>
      <c r="O435" s="3685"/>
      <c r="P435" s="3685"/>
      <c r="Q435" s="3685"/>
      <c r="R435" s="3685"/>
      <c r="S435" s="3685"/>
      <c r="T435" s="3685"/>
      <c r="U435" s="3685"/>
      <c r="V435" s="3685"/>
      <c r="W435" s="3685"/>
      <c r="X435" s="3685"/>
      <c r="Y435" s="3685"/>
      <c r="Z435" s="3685"/>
      <c r="AA435" s="3685"/>
      <c r="AC435" s="2224"/>
      <c r="AF435" s="2224">
        <f t="shared" si="87"/>
        <v>0</v>
      </c>
      <c r="AG435" s="2224">
        <f t="shared" si="88"/>
        <v>0</v>
      </c>
      <c r="AK435" s="2224">
        <f t="shared" si="89"/>
        <v>0</v>
      </c>
      <c r="AL435" s="2224">
        <f t="shared" si="90"/>
        <v>0</v>
      </c>
      <c r="AP435" s="2224">
        <f>X435-AR435</f>
        <v>0</v>
      </c>
      <c r="AR435" s="2224">
        <f t="shared" si="78"/>
        <v>0</v>
      </c>
      <c r="AS435" s="2224">
        <f t="shared" si="83"/>
        <v>0</v>
      </c>
    </row>
    <row r="436" spans="2:47" ht="13.9" customHeight="1" x14ac:dyDescent="0.2">
      <c r="B436" s="3664" t="s">
        <v>894</v>
      </c>
      <c r="C436" s="3664"/>
      <c r="D436" s="3664"/>
      <c r="E436" s="1252"/>
      <c r="F436" s="1252"/>
      <c r="G436" s="1252"/>
      <c r="H436" s="1252"/>
      <c r="I436" s="2239"/>
      <c r="J436" s="2239"/>
      <c r="K436" s="2239"/>
      <c r="L436" s="2239"/>
      <c r="M436" s="2239"/>
      <c r="N436" s="2239"/>
      <c r="O436" s="2239"/>
      <c r="P436" s="2239"/>
      <c r="Q436" s="2239"/>
      <c r="R436" s="2239"/>
      <c r="S436" s="2239"/>
      <c r="T436" s="2239"/>
      <c r="U436" s="2239"/>
      <c r="V436" s="2239"/>
      <c r="W436" s="3665" t="s">
        <v>338</v>
      </c>
      <c r="X436" s="3665"/>
      <c r="Y436" s="2240"/>
      <c r="Z436" s="2240"/>
      <c r="AA436" s="2240"/>
      <c r="AC436" s="2224"/>
      <c r="AF436" s="2224">
        <f t="shared" si="87"/>
        <v>0</v>
      </c>
      <c r="AG436" s="2224">
        <f t="shared" si="88"/>
        <v>0</v>
      </c>
      <c r="AK436" s="2224" t="e">
        <f t="shared" si="89"/>
        <v>#VALUE!</v>
      </c>
      <c r="AL436" s="2224" t="e">
        <f t="shared" si="90"/>
        <v>#VALUE!</v>
      </c>
      <c r="AP436" s="2224" t="e">
        <f>X436-AR436</f>
        <v>#VALUE!</v>
      </c>
      <c r="AR436" s="2224" t="e">
        <f t="shared" si="78"/>
        <v>#VALUE!</v>
      </c>
      <c r="AS436" s="2224" t="e">
        <f t="shared" si="83"/>
        <v>#VALUE!</v>
      </c>
      <c r="AU436" s="2240"/>
    </row>
    <row r="437" spans="2:47" ht="13.15" customHeight="1" x14ac:dyDescent="0.2">
      <c r="B437" s="3666" t="s">
        <v>419</v>
      </c>
      <c r="C437" s="3659" t="s">
        <v>196</v>
      </c>
      <c r="D437" s="3677" t="s">
        <v>197</v>
      </c>
      <c r="E437" s="3647" t="s">
        <v>1391</v>
      </c>
      <c r="F437" s="3682" t="s">
        <v>1116</v>
      </c>
      <c r="G437" s="3682"/>
      <c r="H437" s="3662" t="s">
        <v>1993</v>
      </c>
      <c r="I437" s="3650" t="s">
        <v>1244</v>
      </c>
      <c r="J437" s="3650"/>
      <c r="K437" s="2216" t="s">
        <v>340</v>
      </c>
      <c r="L437" s="2216"/>
      <c r="M437" s="2216"/>
      <c r="N437" s="3661" t="s">
        <v>341</v>
      </c>
      <c r="O437" s="3661"/>
      <c r="P437" s="3651" t="s">
        <v>1012</v>
      </c>
      <c r="Q437" s="3652"/>
      <c r="R437" s="3652"/>
      <c r="S437" s="3652"/>
      <c r="T437" s="3653"/>
      <c r="U437" s="2217"/>
      <c r="V437" s="3650" t="s">
        <v>1334</v>
      </c>
      <c r="W437" s="3649" t="s">
        <v>898</v>
      </c>
      <c r="X437" s="3648" t="s">
        <v>1986</v>
      </c>
      <c r="Y437" s="2240"/>
      <c r="Z437" s="2240"/>
      <c r="AA437" s="2240"/>
      <c r="AC437" s="2224"/>
      <c r="AF437" s="2224">
        <f t="shared" si="87"/>
        <v>0</v>
      </c>
      <c r="AG437" s="2224" t="e">
        <f t="shared" si="88"/>
        <v>#VALUE!</v>
      </c>
      <c r="AK437" s="2224" t="e">
        <f t="shared" si="89"/>
        <v>#VALUE!</v>
      </c>
      <c r="AL437" s="2224" t="e">
        <f t="shared" si="90"/>
        <v>#VALUE!</v>
      </c>
      <c r="AP437" s="2224" t="e">
        <f>X437-AR437</f>
        <v>#VALUE!</v>
      </c>
      <c r="AR437" s="2224" t="e">
        <f t="shared" si="78"/>
        <v>#VALUE!</v>
      </c>
      <c r="AS437" s="2224" t="e">
        <f t="shared" si="83"/>
        <v>#VALUE!</v>
      </c>
    </row>
    <row r="438" spans="2:47" ht="49.15" customHeight="1" x14ac:dyDescent="0.2">
      <c r="B438" s="3666"/>
      <c r="C438" s="3659"/>
      <c r="D438" s="3677"/>
      <c r="E438" s="3647"/>
      <c r="F438" s="1409" t="s">
        <v>1955</v>
      </c>
      <c r="G438" s="1409" t="s">
        <v>1956</v>
      </c>
      <c r="H438" s="3662"/>
      <c r="I438" s="3650"/>
      <c r="J438" s="3650"/>
      <c r="K438" s="2220" t="s">
        <v>315</v>
      </c>
      <c r="L438" s="2220" t="s">
        <v>891</v>
      </c>
      <c r="M438" s="2216" t="s">
        <v>314</v>
      </c>
      <c r="N438" s="2216" t="s">
        <v>1076</v>
      </c>
      <c r="O438" s="2216" t="s">
        <v>18</v>
      </c>
      <c r="P438" s="2220" t="s">
        <v>892</v>
      </c>
      <c r="Q438" s="2220" t="s">
        <v>826</v>
      </c>
      <c r="R438" s="2220" t="s">
        <v>315</v>
      </c>
      <c r="S438" s="2216"/>
      <c r="T438" s="2216" t="s">
        <v>1180</v>
      </c>
      <c r="U438" s="2216"/>
      <c r="V438" s="3650"/>
      <c r="W438" s="3649"/>
      <c r="X438" s="3648"/>
      <c r="Y438" s="2240"/>
      <c r="Z438" s="2240"/>
      <c r="AA438" s="2240"/>
      <c r="AC438" s="2224"/>
      <c r="AF438" s="2224">
        <f t="shared" si="87"/>
        <v>0</v>
      </c>
      <c r="AG438" s="2224">
        <f t="shared" si="88"/>
        <v>0</v>
      </c>
      <c r="AK438" s="2224" t="e">
        <f t="shared" si="89"/>
        <v>#VALUE!</v>
      </c>
      <c r="AL438" s="2224" t="e">
        <f t="shared" si="90"/>
        <v>#VALUE!</v>
      </c>
      <c r="AP438" s="2224" t="e">
        <f>X438-AR438</f>
        <v>#VALUE!</v>
      </c>
      <c r="AR438" s="2224" t="e">
        <f t="shared" si="78"/>
        <v>#VALUE!</v>
      </c>
      <c r="AS438" s="2224" t="e">
        <f t="shared" si="83"/>
        <v>#VALUE!</v>
      </c>
      <c r="AU438" s="2221" t="s">
        <v>1180</v>
      </c>
    </row>
    <row r="439" spans="2:47" ht="22.15" customHeight="1" x14ac:dyDescent="0.2">
      <c r="B439" s="3654" t="s">
        <v>960</v>
      </c>
      <c r="C439" s="3684" t="s">
        <v>2230</v>
      </c>
      <c r="D439" s="3684"/>
      <c r="E439" s="1280">
        <f>E430</f>
        <v>6839986274420</v>
      </c>
      <c r="F439" s="1280">
        <f>F430</f>
        <v>0</v>
      </c>
      <c r="G439" s="1280">
        <f>G430</f>
        <v>0</v>
      </c>
      <c r="H439" s="1280">
        <f t="shared" ref="H439:X439" si="95">H430</f>
        <v>6839986274420</v>
      </c>
      <c r="I439" s="1780">
        <f t="shared" si="95"/>
        <v>0</v>
      </c>
      <c r="J439" s="1780">
        <f t="shared" si="95"/>
        <v>127573900942</v>
      </c>
      <c r="K439" s="1780">
        <f t="shared" si="95"/>
        <v>0</v>
      </c>
      <c r="L439" s="1780">
        <f t="shared" si="95"/>
        <v>0</v>
      </c>
      <c r="M439" s="1780">
        <f t="shared" si="95"/>
        <v>0</v>
      </c>
      <c r="N439" s="1780">
        <f t="shared" si="95"/>
        <v>60157994522</v>
      </c>
      <c r="O439" s="1780">
        <f t="shared" si="95"/>
        <v>224868472203</v>
      </c>
      <c r="P439" s="1780">
        <f t="shared" si="95"/>
        <v>0</v>
      </c>
      <c r="Q439" s="1780">
        <f t="shared" si="95"/>
        <v>0</v>
      </c>
      <c r="R439" s="1780">
        <f t="shared" si="95"/>
        <v>0</v>
      </c>
      <c r="S439" s="1780">
        <f t="shared" si="95"/>
        <v>0</v>
      </c>
      <c r="T439" s="1780">
        <f t="shared" si="95"/>
        <v>0</v>
      </c>
      <c r="U439" s="1780">
        <f t="shared" si="95"/>
        <v>0</v>
      </c>
      <c r="V439" s="1780">
        <f t="shared" si="95"/>
        <v>0</v>
      </c>
      <c r="W439" s="1780">
        <f t="shared" si="95"/>
        <v>-1097727638692</v>
      </c>
      <c r="X439" s="1774">
        <f t="shared" si="95"/>
        <v>6154859003395</v>
      </c>
      <c r="Y439" s="378" t="e">
        <f>#N/A</f>
        <v>#N/A</v>
      </c>
      <c r="Z439" s="2240"/>
      <c r="AA439" s="2240"/>
      <c r="AC439" s="2224"/>
      <c r="AF439" s="2224">
        <f t="shared" si="87"/>
        <v>12994845277815</v>
      </c>
      <c r="AG439" s="2224">
        <f t="shared" si="88"/>
        <v>-6839986274420</v>
      </c>
      <c r="AK439" s="2224">
        <f t="shared" si="89"/>
        <v>12994845277815</v>
      </c>
      <c r="AL439" s="2224">
        <f t="shared" si="90"/>
        <v>-6839986274420</v>
      </c>
      <c r="AP439" s="2224"/>
      <c r="AR439" s="2224">
        <f t="shared" si="78"/>
        <v>6154859003395</v>
      </c>
      <c r="AS439" s="2224">
        <f t="shared" si="83"/>
        <v>0</v>
      </c>
      <c r="AU439" s="1771">
        <f>AU430</f>
        <v>0</v>
      </c>
    </row>
    <row r="440" spans="2:47" ht="17.45" customHeight="1" x14ac:dyDescent="0.2">
      <c r="B440" s="3654"/>
      <c r="C440" s="1784" t="s">
        <v>104</v>
      </c>
      <c r="D440" s="1209" t="s">
        <v>198</v>
      </c>
      <c r="E440" s="1255">
        <v>500000000</v>
      </c>
      <c r="F440" s="1255"/>
      <c r="G440" s="1255"/>
      <c r="H440" s="1255">
        <f t="shared" ref="H440:H455" si="96">E440+G440+F440</f>
        <v>500000000</v>
      </c>
      <c r="I440" s="240"/>
      <c r="J440" s="240">
        <f t="shared" ref="J440:J455" si="97">X440-O440-N440-P440-Q440-K440-R440-W440-E440-T440-I440-V440-F440-G440</f>
        <v>0</v>
      </c>
      <c r="K440" s="240"/>
      <c r="L440" s="240"/>
      <c r="M440" s="240"/>
      <c r="N440" s="240"/>
      <c r="O440" s="1779"/>
      <c r="P440" s="240"/>
      <c r="Q440" s="240"/>
      <c r="R440" s="240"/>
      <c r="T440" s="240"/>
      <c r="V440" s="1779"/>
      <c r="W440" s="240">
        <v>0</v>
      </c>
      <c r="X440" s="550">
        <v>500000000</v>
      </c>
      <c r="Y440" s="2240"/>
      <c r="Z440" s="2240"/>
      <c r="AA440" s="2240"/>
      <c r="AC440" s="2224"/>
      <c r="AF440" s="2224">
        <f t="shared" si="87"/>
        <v>1000000000</v>
      </c>
      <c r="AG440" s="2224">
        <f t="shared" si="88"/>
        <v>-500000000</v>
      </c>
      <c r="AH440" s="2204">
        <v>42641773376</v>
      </c>
      <c r="AK440" s="2224">
        <f t="shared" si="89"/>
        <v>1000000000</v>
      </c>
      <c r="AL440" s="2224">
        <f t="shared" si="90"/>
        <v>-500000000</v>
      </c>
      <c r="AP440" s="2224"/>
      <c r="AR440" s="2224">
        <f t="shared" si="78"/>
        <v>500000000</v>
      </c>
      <c r="AS440" s="2224">
        <f t="shared" si="83"/>
        <v>0</v>
      </c>
      <c r="AU440" s="240"/>
    </row>
    <row r="441" spans="2:47" ht="17.45" customHeight="1" x14ac:dyDescent="0.2">
      <c r="B441" s="3654"/>
      <c r="C441" s="1784" t="s">
        <v>98</v>
      </c>
      <c r="D441" s="1209" t="s">
        <v>219</v>
      </c>
      <c r="E441" s="1255">
        <v>40398689</v>
      </c>
      <c r="F441" s="1255"/>
      <c r="G441" s="1255"/>
      <c r="H441" s="1255">
        <f t="shared" si="96"/>
        <v>40398689</v>
      </c>
      <c r="I441" s="240"/>
      <c r="J441" s="240">
        <f t="shared" si="97"/>
        <v>0</v>
      </c>
      <c r="K441" s="240"/>
      <c r="L441" s="240"/>
      <c r="M441" s="240"/>
      <c r="N441" s="240"/>
      <c r="O441" s="240"/>
      <c r="P441" s="240"/>
      <c r="Q441" s="240"/>
      <c r="R441" s="240"/>
      <c r="T441" s="240"/>
      <c r="V441" s="240"/>
      <c r="W441" s="240"/>
      <c r="X441" s="550">
        <v>40398689</v>
      </c>
      <c r="Y441" s="2240"/>
      <c r="Z441" s="2240"/>
      <c r="AA441" s="2240"/>
      <c r="AC441" s="2224"/>
      <c r="AF441" s="2224">
        <f t="shared" si="87"/>
        <v>80797378</v>
      </c>
      <c r="AG441" s="2224">
        <f t="shared" si="88"/>
        <v>-40398689</v>
      </c>
      <c r="AK441" s="2224">
        <f t="shared" si="89"/>
        <v>80797378</v>
      </c>
      <c r="AL441" s="2224">
        <f t="shared" si="90"/>
        <v>-40398689</v>
      </c>
      <c r="AP441" s="2224"/>
      <c r="AR441" s="2224">
        <f t="shared" si="78"/>
        <v>40398689</v>
      </c>
      <c r="AS441" s="2224">
        <f t="shared" si="83"/>
        <v>0</v>
      </c>
      <c r="AU441" s="240"/>
    </row>
    <row r="442" spans="2:47" ht="17.45" customHeight="1" x14ac:dyDescent="0.2">
      <c r="B442" s="3654"/>
      <c r="C442" s="1762" t="s">
        <v>622</v>
      </c>
      <c r="D442" s="1209" t="s">
        <v>620</v>
      </c>
      <c r="E442" s="1300">
        <v>53679763364</v>
      </c>
      <c r="F442" s="1300"/>
      <c r="G442" s="1300"/>
      <c r="H442" s="1255">
        <f t="shared" si="96"/>
        <v>53679763364</v>
      </c>
      <c r="I442" s="1823"/>
      <c r="J442" s="240">
        <f t="shared" si="97"/>
        <v>0</v>
      </c>
      <c r="K442" s="1823"/>
      <c r="L442" s="1823"/>
      <c r="M442" s="1823"/>
      <c r="N442" s="1823">
        <f>-'يادداشت_-5موجودی_جنسی__(2)'!K78</f>
        <v>10171007000</v>
      </c>
      <c r="O442" s="1823"/>
      <c r="P442" s="1823"/>
      <c r="Q442" s="1823"/>
      <c r="R442" s="1823"/>
      <c r="T442" s="1823"/>
      <c r="V442" s="1823"/>
      <c r="W442" s="1823">
        <v>-10241155917</v>
      </c>
      <c r="X442" s="550">
        <f>16061770829+37347843618+200000000</f>
        <v>53609614447</v>
      </c>
      <c r="Y442" s="2240"/>
      <c r="Z442" s="2240"/>
      <c r="AA442" s="2240"/>
      <c r="AC442" s="2224"/>
      <c r="AF442" s="2224">
        <f>SUM(E442:W442)</f>
        <v>107289377811</v>
      </c>
      <c r="AG442" s="2224">
        <f t="shared" si="88"/>
        <v>-53679763364</v>
      </c>
      <c r="AK442" s="2224">
        <f t="shared" si="89"/>
        <v>107289377811</v>
      </c>
      <c r="AL442" s="2224">
        <f t="shared" si="90"/>
        <v>-53679763364</v>
      </c>
      <c r="AP442" s="2224"/>
      <c r="AR442" s="2224">
        <f t="shared" si="78"/>
        <v>53609614447</v>
      </c>
      <c r="AS442" s="2224">
        <f t="shared" si="83"/>
        <v>0</v>
      </c>
      <c r="AU442" s="1530"/>
    </row>
    <row r="443" spans="2:47" ht="17.45" customHeight="1" x14ac:dyDescent="0.2">
      <c r="B443" s="3654"/>
      <c r="C443" s="1762" t="s">
        <v>81</v>
      </c>
      <c r="D443" s="1209" t="s">
        <v>82</v>
      </c>
      <c r="E443" s="1255">
        <v>131520000</v>
      </c>
      <c r="F443" s="1255"/>
      <c r="G443" s="1255"/>
      <c r="H443" s="1255">
        <f t="shared" si="96"/>
        <v>131520000</v>
      </c>
      <c r="I443" s="240"/>
      <c r="J443" s="240">
        <f t="shared" si="97"/>
        <v>0</v>
      </c>
      <c r="K443" s="240"/>
      <c r="L443" s="240"/>
      <c r="M443" s="240"/>
      <c r="N443" s="240"/>
      <c r="O443" s="1779"/>
      <c r="P443" s="240"/>
      <c r="Q443" s="240"/>
      <c r="R443" s="240"/>
      <c r="T443" s="240"/>
      <c r="V443" s="1779"/>
      <c r="W443" s="240">
        <v>0</v>
      </c>
      <c r="X443" s="550">
        <v>131520000</v>
      </c>
      <c r="Y443" s="2240"/>
      <c r="Z443" s="2240"/>
      <c r="AA443" s="2240"/>
      <c r="AC443" s="2224"/>
      <c r="AF443" s="2224">
        <f t="shared" si="87"/>
        <v>263040000</v>
      </c>
      <c r="AG443" s="2224">
        <f t="shared" si="88"/>
        <v>-131520000</v>
      </c>
      <c r="AK443" s="2224">
        <f t="shared" si="89"/>
        <v>263040000</v>
      </c>
      <c r="AL443" s="2224">
        <f t="shared" si="90"/>
        <v>-131520000</v>
      </c>
      <c r="AP443" s="2224"/>
      <c r="AR443" s="2224">
        <f t="shared" si="78"/>
        <v>131520000</v>
      </c>
      <c r="AS443" s="2224">
        <f t="shared" si="83"/>
        <v>0</v>
      </c>
      <c r="AU443" s="240"/>
    </row>
    <row r="444" spans="2:47" ht="17.45" customHeight="1" x14ac:dyDescent="0.2">
      <c r="B444" s="3654"/>
      <c r="C444" s="1765" t="s">
        <v>77</v>
      </c>
      <c r="D444" s="1209" t="s">
        <v>143</v>
      </c>
      <c r="E444" s="1300">
        <v>22415805</v>
      </c>
      <c r="F444" s="1300"/>
      <c r="G444" s="1300"/>
      <c r="H444" s="1255">
        <f t="shared" si="96"/>
        <v>22415805</v>
      </c>
      <c r="I444" s="1823"/>
      <c r="J444" s="240">
        <f t="shared" si="97"/>
        <v>0</v>
      </c>
      <c r="K444" s="1823"/>
      <c r="L444" s="1823"/>
      <c r="M444" s="1823"/>
      <c r="N444" s="1823"/>
      <c r="O444" s="1823"/>
      <c r="P444" s="1823"/>
      <c r="Q444" s="1823"/>
      <c r="R444" s="1823"/>
      <c r="T444" s="1823"/>
      <c r="V444" s="1823"/>
      <c r="W444" s="1823">
        <v>0</v>
      </c>
      <c r="X444" s="1746">
        <v>22415805</v>
      </c>
      <c r="Y444" s="2240"/>
      <c r="Z444" s="2240"/>
      <c r="AA444" s="2240"/>
      <c r="AC444" s="2224"/>
      <c r="AF444" s="2224">
        <f t="shared" si="87"/>
        <v>44831610</v>
      </c>
      <c r="AG444" s="2224">
        <f t="shared" si="88"/>
        <v>-22415805</v>
      </c>
      <c r="AK444" s="2224">
        <f t="shared" si="89"/>
        <v>44831610</v>
      </c>
      <c r="AL444" s="2224">
        <f t="shared" si="90"/>
        <v>-22415805</v>
      </c>
      <c r="AP444" s="2224"/>
      <c r="AR444" s="2224">
        <f t="shared" ref="AR444:AR479" si="98">W444+V444+T444+R444+Q444+P444+O444+N444+J444+E444+F444+G444</f>
        <v>22415805</v>
      </c>
      <c r="AS444" s="2224">
        <f t="shared" si="83"/>
        <v>0</v>
      </c>
      <c r="AU444" s="1530"/>
    </row>
    <row r="445" spans="2:47" ht="17.45" customHeight="1" x14ac:dyDescent="0.2">
      <c r="B445" s="3654"/>
      <c r="C445" s="1822" t="s">
        <v>637</v>
      </c>
      <c r="D445" s="1216" t="s">
        <v>613</v>
      </c>
      <c r="E445" s="1300">
        <v>6408149755</v>
      </c>
      <c r="F445" s="1300"/>
      <c r="G445" s="1300"/>
      <c r="H445" s="1255">
        <f t="shared" si="96"/>
        <v>6408149755</v>
      </c>
      <c r="I445" s="1823"/>
      <c r="J445" s="240">
        <f t="shared" si="97"/>
        <v>0</v>
      </c>
      <c r="K445" s="1823"/>
      <c r="L445" s="1823"/>
      <c r="M445" s="1823"/>
      <c r="N445" s="1823"/>
      <c r="O445" s="1823"/>
      <c r="P445" s="1823"/>
      <c r="Q445" s="1823"/>
      <c r="R445" s="1823"/>
      <c r="T445" s="1823"/>
      <c r="V445" s="1823"/>
      <c r="W445" s="1823">
        <v>0</v>
      </c>
      <c r="X445" s="1823">
        <v>6408149755</v>
      </c>
      <c r="Y445" s="2240"/>
      <c r="Z445" s="2240"/>
      <c r="AA445" s="2240"/>
      <c r="AC445" s="2224"/>
      <c r="AF445" s="2224">
        <f t="shared" si="87"/>
        <v>12816299510</v>
      </c>
      <c r="AG445" s="2224">
        <f t="shared" si="88"/>
        <v>-6408149755</v>
      </c>
      <c r="AK445" s="2224">
        <f t="shared" si="89"/>
        <v>12816299510</v>
      </c>
      <c r="AL445" s="2224">
        <f t="shared" si="90"/>
        <v>-6408149755</v>
      </c>
      <c r="AP445" s="2224"/>
      <c r="AR445" s="2224">
        <f t="shared" si="98"/>
        <v>6408149755</v>
      </c>
      <c r="AS445" s="2224">
        <f t="shared" si="83"/>
        <v>0</v>
      </c>
      <c r="AU445" s="1530"/>
    </row>
    <row r="446" spans="2:47" ht="17.45" customHeight="1" x14ac:dyDescent="0.2">
      <c r="B446" s="3654"/>
      <c r="C446" s="1762" t="s">
        <v>628</v>
      </c>
      <c r="D446" s="1209" t="s">
        <v>604</v>
      </c>
      <c r="E446" s="1300">
        <v>1922001000</v>
      </c>
      <c r="F446" s="1300"/>
      <c r="G446" s="1300"/>
      <c r="H446" s="1255">
        <f t="shared" si="96"/>
        <v>1922001000</v>
      </c>
      <c r="I446" s="1823"/>
      <c r="J446" s="240">
        <f t="shared" si="97"/>
        <v>0</v>
      </c>
      <c r="K446" s="1823"/>
      <c r="L446" s="1823"/>
      <c r="M446" s="1823"/>
      <c r="N446" s="1823"/>
      <c r="O446" s="1823"/>
      <c r="P446" s="1823"/>
      <c r="Q446" s="1823"/>
      <c r="R446" s="1823"/>
      <c r="T446" s="1823"/>
      <c r="V446" s="1823"/>
      <c r="W446" s="1823">
        <v>-1922000000</v>
      </c>
      <c r="X446" s="1746">
        <v>1000</v>
      </c>
      <c r="Y446" s="2240"/>
      <c r="Z446" s="2240"/>
      <c r="AA446" s="2240"/>
      <c r="AC446" s="2224"/>
      <c r="AF446" s="2224"/>
      <c r="AG446" s="2224"/>
      <c r="AK446" s="2224">
        <f t="shared" si="89"/>
        <v>1922002000</v>
      </c>
      <c r="AL446" s="2224">
        <f t="shared" si="90"/>
        <v>-1922001000</v>
      </c>
      <c r="AP446" s="2224"/>
      <c r="AR446" s="2224">
        <f t="shared" si="98"/>
        <v>1000</v>
      </c>
      <c r="AS446" s="2224">
        <f t="shared" si="83"/>
        <v>0</v>
      </c>
      <c r="AU446" s="1530"/>
    </row>
    <row r="447" spans="2:47" ht="17.45" customHeight="1" x14ac:dyDescent="0.2">
      <c r="B447" s="3654"/>
      <c r="C447" s="1762" t="s">
        <v>645</v>
      </c>
      <c r="D447" s="1210" t="s">
        <v>644</v>
      </c>
      <c r="E447" s="1300">
        <v>1607391678</v>
      </c>
      <c r="F447" s="1300"/>
      <c r="G447" s="1300"/>
      <c r="H447" s="1255">
        <f t="shared" si="96"/>
        <v>1607391678</v>
      </c>
      <c r="I447" s="1823"/>
      <c r="J447" s="240">
        <f t="shared" si="97"/>
        <v>0</v>
      </c>
      <c r="K447" s="1823"/>
      <c r="L447" s="1823"/>
      <c r="M447" s="1823"/>
      <c r="N447" s="1823"/>
      <c r="O447" s="1823"/>
      <c r="P447" s="1823"/>
      <c r="Q447" s="1823"/>
      <c r="R447" s="1823"/>
      <c r="T447" s="1823"/>
      <c r="V447" s="1823"/>
      <c r="W447" s="1823">
        <v>0</v>
      </c>
      <c r="X447" s="1746">
        <v>1607391678</v>
      </c>
      <c r="Y447" s="2240"/>
      <c r="Z447" s="2240"/>
      <c r="AA447" s="2240"/>
      <c r="AC447" s="2224"/>
      <c r="AF447" s="2224"/>
      <c r="AG447" s="2224"/>
      <c r="AK447" s="2224">
        <f t="shared" si="89"/>
        <v>3214783356</v>
      </c>
      <c r="AL447" s="2224">
        <f t="shared" si="90"/>
        <v>-1607391678</v>
      </c>
      <c r="AP447" s="2224"/>
      <c r="AR447" s="2224">
        <f t="shared" si="98"/>
        <v>1607391678</v>
      </c>
      <c r="AS447" s="2224">
        <f t="shared" si="83"/>
        <v>0</v>
      </c>
      <c r="AU447" s="1530"/>
    </row>
    <row r="448" spans="2:47" ht="17.45" customHeight="1" x14ac:dyDescent="0.2">
      <c r="B448" s="3654"/>
      <c r="C448" s="1762" t="s">
        <v>677</v>
      </c>
      <c r="D448" s="1210" t="s">
        <v>676</v>
      </c>
      <c r="E448" s="1300">
        <v>7360548136</v>
      </c>
      <c r="F448" s="1300"/>
      <c r="G448" s="1300"/>
      <c r="H448" s="1255">
        <f t="shared" si="96"/>
        <v>7360548136</v>
      </c>
      <c r="I448" s="1823"/>
      <c r="J448" s="240">
        <f t="shared" si="97"/>
        <v>0</v>
      </c>
      <c r="K448" s="1823"/>
      <c r="L448" s="1823"/>
      <c r="M448" s="1823"/>
      <c r="N448" s="1823"/>
      <c r="O448" s="1823"/>
      <c r="P448" s="1823"/>
      <c r="Q448" s="1823"/>
      <c r="R448" s="1823"/>
      <c r="T448" s="1823"/>
      <c r="V448" s="1823"/>
      <c r="W448" s="1823">
        <v>-310000000</v>
      </c>
      <c r="X448" s="1746">
        <v>7050548136</v>
      </c>
      <c r="Y448" s="2240"/>
      <c r="Z448" s="2240"/>
      <c r="AA448" s="2240"/>
      <c r="AC448" s="2224"/>
      <c r="AF448" s="2224"/>
      <c r="AG448" s="2224"/>
      <c r="AK448" s="2224">
        <f t="shared" si="89"/>
        <v>14411096272</v>
      </c>
      <c r="AL448" s="2224">
        <f t="shared" si="90"/>
        <v>-7360548136</v>
      </c>
      <c r="AP448" s="2224"/>
      <c r="AR448" s="2224">
        <f t="shared" si="98"/>
        <v>7050548136</v>
      </c>
      <c r="AS448" s="2224">
        <f t="shared" si="83"/>
        <v>0</v>
      </c>
      <c r="AU448" s="1530"/>
    </row>
    <row r="449" spans="2:47" ht="17.45" customHeight="1" x14ac:dyDescent="0.2">
      <c r="B449" s="3654"/>
      <c r="C449" s="1762" t="s">
        <v>610</v>
      </c>
      <c r="D449" s="1209" t="s">
        <v>596</v>
      </c>
      <c r="E449" s="1300">
        <v>30352960948</v>
      </c>
      <c r="F449" s="1300"/>
      <c r="G449" s="1300"/>
      <c r="H449" s="1255">
        <f>E449+G449+F449</f>
        <v>30352960948</v>
      </c>
      <c r="I449" s="1823"/>
      <c r="J449" s="240">
        <f t="shared" si="97"/>
        <v>12197208384</v>
      </c>
      <c r="K449" s="1823"/>
      <c r="L449" s="1823"/>
      <c r="M449" s="1823"/>
      <c r="N449" s="1823"/>
      <c r="O449" s="1823"/>
      <c r="P449" s="1823"/>
      <c r="Q449" s="1823"/>
      <c r="R449" s="1823"/>
      <c r="T449" s="1823"/>
      <c r="V449" s="1823"/>
      <c r="W449" s="1823"/>
      <c r="X449" s="1746">
        <v>42550169332</v>
      </c>
      <c r="Y449" s="2240"/>
      <c r="Z449" s="2240"/>
      <c r="AA449" s="2240"/>
      <c r="AC449" s="2224"/>
      <c r="AF449" s="2224"/>
      <c r="AG449" s="2224"/>
      <c r="AK449" s="2224"/>
      <c r="AL449" s="2224"/>
      <c r="AP449" s="2224"/>
      <c r="AR449" s="2224">
        <f t="shared" si="98"/>
        <v>42550169332</v>
      </c>
      <c r="AS449" s="2224">
        <f t="shared" si="83"/>
        <v>0</v>
      </c>
      <c r="AU449" s="1530"/>
    </row>
    <row r="450" spans="2:47" ht="17.45" customHeight="1" thickBot="1" x14ac:dyDescent="0.25">
      <c r="B450" s="3654"/>
      <c r="C450" s="1762" t="s">
        <v>624</v>
      </c>
      <c r="D450" s="1209" t="s">
        <v>600</v>
      </c>
      <c r="E450" s="1300">
        <v>24206879297</v>
      </c>
      <c r="F450" s="1300"/>
      <c r="G450" s="1300"/>
      <c r="H450" s="1255">
        <f t="shared" si="96"/>
        <v>24206879297</v>
      </c>
      <c r="I450" s="1823"/>
      <c r="J450" s="240">
        <f t="shared" si="97"/>
        <v>16199762792</v>
      </c>
      <c r="K450" s="1823"/>
      <c r="L450" s="1823"/>
      <c r="M450" s="1823"/>
      <c r="N450" s="1823"/>
      <c r="O450" s="1823">
        <f>-'پيش پرداخت سرمايه اي يادداشت 6'!I126</f>
        <v>2091239305</v>
      </c>
      <c r="P450" s="1823"/>
      <c r="Q450" s="1823"/>
      <c r="R450" s="1823"/>
      <c r="T450" s="1823"/>
      <c r="V450" s="1823"/>
      <c r="W450" s="1823"/>
      <c r="X450" s="1746">
        <f>10548496513+31949384881</f>
        <v>42497881394</v>
      </c>
      <c r="Y450" s="2240"/>
      <c r="Z450" s="2240"/>
      <c r="AA450" s="2240"/>
      <c r="AC450" s="2224"/>
      <c r="AF450" s="2224"/>
      <c r="AG450" s="2224"/>
      <c r="AK450" s="2224"/>
      <c r="AL450" s="2224"/>
      <c r="AN450" s="2314"/>
      <c r="AP450" s="2224"/>
      <c r="AR450" s="2224">
        <f t="shared" si="98"/>
        <v>42497881394</v>
      </c>
      <c r="AS450" s="2224">
        <f t="shared" si="83"/>
        <v>0</v>
      </c>
      <c r="AU450" s="1530"/>
    </row>
    <row r="451" spans="2:47" ht="17.45" customHeight="1" thickTop="1" x14ac:dyDescent="0.2">
      <c r="B451" s="3654"/>
      <c r="C451" s="1762" t="s">
        <v>625</v>
      </c>
      <c r="D451" s="1209" t="s">
        <v>601</v>
      </c>
      <c r="E451" s="1300">
        <v>8000000000</v>
      </c>
      <c r="F451" s="1300"/>
      <c r="G451" s="1300"/>
      <c r="H451" s="1255">
        <f t="shared" si="96"/>
        <v>8000000000</v>
      </c>
      <c r="I451" s="1823"/>
      <c r="J451" s="240">
        <f t="shared" si="97"/>
        <v>0</v>
      </c>
      <c r="K451" s="1823"/>
      <c r="L451" s="1823"/>
      <c r="M451" s="1823"/>
      <c r="N451" s="1823"/>
      <c r="O451" s="1823"/>
      <c r="P451" s="1823"/>
      <c r="Q451" s="1823"/>
      <c r="R451" s="1823"/>
      <c r="T451" s="1823"/>
      <c r="V451" s="1823"/>
      <c r="W451" s="1823">
        <v>-3811365967</v>
      </c>
      <c r="X451" s="1746">
        <f>3500000000+688634033</f>
        <v>4188634033</v>
      </c>
      <c r="Y451" s="2240"/>
      <c r="Z451" s="2240"/>
      <c r="AA451" s="2240"/>
      <c r="AC451" s="2224"/>
      <c r="AF451" s="2224"/>
      <c r="AG451" s="2224"/>
      <c r="AK451" s="2224"/>
      <c r="AL451" s="2224"/>
      <c r="AP451" s="2224"/>
      <c r="AR451" s="2224">
        <f t="shared" si="98"/>
        <v>4188634033</v>
      </c>
      <c r="AS451" s="2224">
        <f t="shared" si="83"/>
        <v>0</v>
      </c>
      <c r="AU451" s="1530"/>
    </row>
    <row r="452" spans="2:47" ht="17.45" customHeight="1" x14ac:dyDescent="0.2">
      <c r="B452" s="3654"/>
      <c r="C452" s="1762" t="s">
        <v>642</v>
      </c>
      <c r="D452" s="1209" t="s">
        <v>631</v>
      </c>
      <c r="E452" s="1300">
        <v>8000000000</v>
      </c>
      <c r="F452" s="1300"/>
      <c r="G452" s="1300"/>
      <c r="H452" s="1255">
        <f t="shared" si="96"/>
        <v>8000000000</v>
      </c>
      <c r="I452" s="1823"/>
      <c r="J452" s="240">
        <f t="shared" si="97"/>
        <v>0</v>
      </c>
      <c r="K452" s="1823"/>
      <c r="L452" s="1823"/>
      <c r="M452" s="1823"/>
      <c r="N452" s="1823"/>
      <c r="O452" s="1823"/>
      <c r="P452" s="1823"/>
      <c r="Q452" s="1823"/>
      <c r="R452" s="1823"/>
      <c r="T452" s="1823"/>
      <c r="V452" s="1823"/>
      <c r="W452" s="1823">
        <v>-3507758360</v>
      </c>
      <c r="X452" s="1746">
        <f>4492241640</f>
        <v>4492241640</v>
      </c>
      <c r="Y452" s="2240"/>
      <c r="Z452" s="2240"/>
      <c r="AA452" s="2240"/>
      <c r="AC452" s="2224"/>
      <c r="AF452" s="2224"/>
      <c r="AG452" s="2224"/>
      <c r="AK452" s="2224"/>
      <c r="AL452" s="2224"/>
      <c r="AP452" s="2224"/>
      <c r="AR452" s="2224">
        <f t="shared" si="98"/>
        <v>4492241640</v>
      </c>
      <c r="AS452" s="2224">
        <f t="shared" si="83"/>
        <v>0</v>
      </c>
      <c r="AU452" s="1530"/>
    </row>
    <row r="453" spans="2:47" ht="17.45" customHeight="1" x14ac:dyDescent="0.2">
      <c r="B453" s="3654"/>
      <c r="C453" s="1762" t="s">
        <v>643</v>
      </c>
      <c r="D453" s="1209" t="s">
        <v>632</v>
      </c>
      <c r="E453" s="1302">
        <v>52530959780</v>
      </c>
      <c r="F453" s="1302"/>
      <c r="G453" s="1300"/>
      <c r="H453" s="1255">
        <f t="shared" si="96"/>
        <v>52530959780</v>
      </c>
      <c r="I453" s="1823"/>
      <c r="J453" s="240">
        <f t="shared" si="97"/>
        <v>0</v>
      </c>
      <c r="K453" s="1823"/>
      <c r="L453" s="1823"/>
      <c r="M453" s="1823"/>
      <c r="N453" s="1823"/>
      <c r="O453" s="1823"/>
      <c r="P453" s="1823"/>
      <c r="Q453" s="1823"/>
      <c r="R453" s="1823"/>
      <c r="T453" s="1823"/>
      <c r="V453" s="1823"/>
      <c r="W453" s="1823">
        <v>-25119044440</v>
      </c>
      <c r="X453" s="1746">
        <f>8593663745+725056595+18093195000</f>
        <v>27411915340</v>
      </c>
      <c r="Y453" s="2240"/>
      <c r="Z453" s="2240"/>
      <c r="AA453" s="2240"/>
      <c r="AC453" s="2224"/>
      <c r="AF453" s="2224"/>
      <c r="AG453" s="2224"/>
      <c r="AK453" s="2224"/>
      <c r="AL453" s="2224"/>
      <c r="AP453" s="2224">
        <v>149846004</v>
      </c>
      <c r="AR453" s="2224">
        <f t="shared" si="98"/>
        <v>27411915340</v>
      </c>
      <c r="AS453" s="2224">
        <f t="shared" si="83"/>
        <v>0</v>
      </c>
      <c r="AU453" s="1530"/>
    </row>
    <row r="454" spans="2:47" ht="17.45" customHeight="1" x14ac:dyDescent="0.4">
      <c r="B454" s="3654"/>
      <c r="C454" s="1800" t="s">
        <v>2061</v>
      </c>
      <c r="D454" s="1805" t="s">
        <v>2038</v>
      </c>
      <c r="E454" s="1302"/>
      <c r="F454" s="1302"/>
      <c r="G454" s="1300"/>
      <c r="H454" s="1255"/>
      <c r="I454" s="1823"/>
      <c r="J454" s="240">
        <f t="shared" si="97"/>
        <v>11745746176</v>
      </c>
      <c r="K454" s="1823"/>
      <c r="L454" s="1823"/>
      <c r="M454" s="1823"/>
      <c r="N454" s="1823"/>
      <c r="O454" s="1823"/>
      <c r="P454" s="1823"/>
      <c r="Q454" s="1823"/>
      <c r="R454" s="1823"/>
      <c r="T454" s="1823"/>
      <c r="V454" s="1823"/>
      <c r="W454" s="1823"/>
      <c r="X454" s="1746">
        <v>11745746176</v>
      </c>
      <c r="Y454" s="2240"/>
      <c r="Z454" s="2240"/>
      <c r="AA454" s="2240"/>
      <c r="AC454" s="2224"/>
      <c r="AF454" s="2224"/>
      <c r="AG454" s="2224"/>
      <c r="AK454" s="2224"/>
      <c r="AL454" s="2224"/>
      <c r="AP454" s="2224"/>
      <c r="AR454" s="2224"/>
      <c r="AS454" s="2224"/>
      <c r="AU454" s="1530"/>
    </row>
    <row r="455" spans="2:47" ht="17.45" customHeight="1" x14ac:dyDescent="0.2">
      <c r="B455" s="3654"/>
      <c r="C455" s="3421" t="s">
        <v>1902</v>
      </c>
      <c r="D455" s="3422"/>
      <c r="E455" s="1255">
        <v>3000000000</v>
      </c>
      <c r="F455" s="1255"/>
      <c r="G455" s="1255"/>
      <c r="H455" s="1255">
        <f t="shared" si="96"/>
        <v>3000000000</v>
      </c>
      <c r="I455" s="1779"/>
      <c r="J455" s="240">
        <f t="shared" si="97"/>
        <v>0</v>
      </c>
      <c r="K455" s="1779"/>
      <c r="L455" s="1779"/>
      <c r="M455" s="1779"/>
      <c r="N455" s="240">
        <f>-'يادداشت_-5موجودی_جنسی__(2)'!K81</f>
        <v>0</v>
      </c>
      <c r="O455" s="240"/>
      <c r="P455" s="1779"/>
      <c r="Q455" s="1779"/>
      <c r="R455" s="240"/>
      <c r="S455" s="1823"/>
      <c r="T455" s="240"/>
      <c r="U455" s="1823"/>
      <c r="V455" s="240"/>
      <c r="W455" s="240"/>
      <c r="X455" s="1255">
        <v>3000000000</v>
      </c>
      <c r="Y455" s="2240"/>
      <c r="Z455" s="2240"/>
      <c r="AA455" s="2240"/>
      <c r="AC455" s="2224"/>
      <c r="AF455" s="2224"/>
      <c r="AG455" s="2224"/>
      <c r="AK455" s="2224"/>
      <c r="AL455" s="2224"/>
      <c r="AP455" s="2224"/>
      <c r="AR455" s="2224">
        <f t="shared" si="98"/>
        <v>3000000000</v>
      </c>
      <c r="AS455" s="2224"/>
      <c r="AU455" s="1530"/>
    </row>
    <row r="456" spans="2:47" ht="17.45" customHeight="1" x14ac:dyDescent="0.2">
      <c r="B456" s="3680" t="s">
        <v>378</v>
      </c>
      <c r="C456" s="3681"/>
      <c r="D456" s="3681"/>
      <c r="E456" s="1289">
        <f>SUM(E439:E455)</f>
        <v>7037749262872</v>
      </c>
      <c r="F456" s="1289">
        <f t="shared" ref="F456:X456" si="99">SUM(F439:F455)</f>
        <v>0</v>
      </c>
      <c r="G456" s="1289">
        <f t="shared" si="99"/>
        <v>0</v>
      </c>
      <c r="H456" s="1289">
        <f t="shared" si="99"/>
        <v>7037749262872</v>
      </c>
      <c r="I456" s="1289">
        <f t="shared" si="99"/>
        <v>0</v>
      </c>
      <c r="J456" s="1289">
        <f t="shared" si="99"/>
        <v>167716618294</v>
      </c>
      <c r="K456" s="1289">
        <f t="shared" si="99"/>
        <v>0</v>
      </c>
      <c r="L456" s="1289">
        <f t="shared" si="99"/>
        <v>0</v>
      </c>
      <c r="M456" s="1289">
        <f t="shared" si="99"/>
        <v>0</v>
      </c>
      <c r="N456" s="1289">
        <f t="shared" si="99"/>
        <v>70329001522</v>
      </c>
      <c r="O456" s="1289">
        <f t="shared" si="99"/>
        <v>226959711508</v>
      </c>
      <c r="P456" s="1289">
        <f t="shared" si="99"/>
        <v>0</v>
      </c>
      <c r="Q456" s="1289">
        <f t="shared" si="99"/>
        <v>0</v>
      </c>
      <c r="R456" s="1289">
        <f t="shared" si="99"/>
        <v>0</v>
      </c>
      <c r="S456" s="1289">
        <f t="shared" si="99"/>
        <v>0</v>
      </c>
      <c r="T456" s="1289">
        <f t="shared" si="99"/>
        <v>0</v>
      </c>
      <c r="U456" s="1289">
        <f t="shared" si="99"/>
        <v>0</v>
      </c>
      <c r="V456" s="1289">
        <f t="shared" si="99"/>
        <v>0</v>
      </c>
      <c r="W456" s="1289">
        <f t="shared" si="99"/>
        <v>-1142638963376</v>
      </c>
      <c r="X456" s="1289">
        <f t="shared" si="99"/>
        <v>6360115630820</v>
      </c>
      <c r="Y456" s="2240"/>
      <c r="Z456" s="2240"/>
      <c r="AA456" s="2240"/>
      <c r="AC456" s="2224"/>
      <c r="AF456" s="2224">
        <f t="shared" si="87"/>
        <v>13397864893692</v>
      </c>
      <c r="AG456" s="2224">
        <f t="shared" si="88"/>
        <v>-7037749262872</v>
      </c>
      <c r="AK456" s="2224">
        <f t="shared" si="89"/>
        <v>13397864893692</v>
      </c>
      <c r="AL456" s="2224">
        <f t="shared" si="90"/>
        <v>-7037749262872</v>
      </c>
      <c r="AP456" s="2224"/>
      <c r="AR456" s="2224">
        <f t="shared" si="98"/>
        <v>6360115630820</v>
      </c>
      <c r="AS456" s="2224">
        <f t="shared" si="83"/>
        <v>0</v>
      </c>
      <c r="AU456" s="294">
        <f>SUM(AU439:AU453)</f>
        <v>0</v>
      </c>
    </row>
    <row r="457" spans="2:47" ht="22.9" customHeight="1" thickBot="1" x14ac:dyDescent="0.25">
      <c r="B457" s="3663" t="s">
        <v>379</v>
      </c>
      <c r="C457" s="3663"/>
      <c r="D457" s="3663"/>
      <c r="E457" s="1408">
        <f>E456+E397</f>
        <v>42856565455025</v>
      </c>
      <c r="F457" s="1408">
        <f>F456+F397</f>
        <v>0</v>
      </c>
      <c r="G457" s="1303">
        <f>G397</f>
        <v>0</v>
      </c>
      <c r="H457" s="1303">
        <f>H456+H397+3000000</f>
        <v>42856568455025</v>
      </c>
      <c r="I457" s="2314">
        <f>I456+I397</f>
        <v>0</v>
      </c>
      <c r="J457" s="2314">
        <f>J456+J397-7000000</f>
        <v>17104613294706</v>
      </c>
      <c r="K457" s="2314">
        <f t="shared" ref="K457:P457" si="100">K456+K397</f>
        <v>0</v>
      </c>
      <c r="L457" s="2314">
        <f t="shared" si="100"/>
        <v>0</v>
      </c>
      <c r="M457" s="2314">
        <f t="shared" si="100"/>
        <v>0</v>
      </c>
      <c r="N457" s="2314">
        <f t="shared" si="100"/>
        <v>1018080132770</v>
      </c>
      <c r="O457" s="2314">
        <f t="shared" si="100"/>
        <v>930582221148</v>
      </c>
      <c r="P457" s="2314">
        <f t="shared" si="100"/>
        <v>-1706083818699</v>
      </c>
      <c r="Q457" s="2314">
        <f>Q456+Q397-1000000</f>
        <v>-1315024704478</v>
      </c>
      <c r="R457" s="2314">
        <f t="shared" ref="R457:X457" si="101">R456+R397</f>
        <v>0</v>
      </c>
      <c r="S457" s="2314">
        <f t="shared" si="101"/>
        <v>0</v>
      </c>
      <c r="T457" s="2314">
        <f t="shared" si="101"/>
        <v>0</v>
      </c>
      <c r="U457" s="2314">
        <f t="shared" si="101"/>
        <v>0</v>
      </c>
      <c r="V457" s="2314">
        <f t="shared" si="101"/>
        <v>-46619211088</v>
      </c>
      <c r="W457" s="2314">
        <f t="shared" si="101"/>
        <v>1239</v>
      </c>
      <c r="X457" s="2315">
        <f t="shared" si="101"/>
        <v>58842121370623</v>
      </c>
      <c r="Y457" s="2240"/>
      <c r="Z457" s="2240"/>
      <c r="AA457" s="2240"/>
      <c r="AB457" s="2204">
        <f>E457+J457+N457+O457+P457+Q457+V457</f>
        <v>58842113369384</v>
      </c>
      <c r="AC457" s="2224"/>
      <c r="AE457" s="2204" t="e">
        <f>#REF!+H457+J457+N457+O457+P457+Q457+R457</f>
        <v>#REF!</v>
      </c>
      <c r="AF457" s="2224">
        <f>SUM(E457:W457)</f>
        <v>101698681825648</v>
      </c>
      <c r="AG457" s="2224">
        <f t="shared" si="88"/>
        <v>-42856560455025</v>
      </c>
      <c r="AK457" s="2224" t="e">
        <f>#REF!+H457+J457+N457+P457+Q457+R457+W457+O457</f>
        <v>#REF!</v>
      </c>
      <c r="AL457" s="2224" t="e">
        <f t="shared" si="90"/>
        <v>#REF!</v>
      </c>
      <c r="AP457" s="2224">
        <f>X457-AR457</f>
        <v>8000000</v>
      </c>
      <c r="AR457" s="2224">
        <f t="shared" si="98"/>
        <v>58842113370623</v>
      </c>
      <c r="AS457" s="2224">
        <f t="shared" si="83"/>
        <v>8000000</v>
      </c>
      <c r="AU457" s="2314">
        <f>AU456+AU397</f>
        <v>-554938000000</v>
      </c>
    </row>
    <row r="458" spans="2:47" ht="10.9" customHeight="1" thickTop="1" x14ac:dyDescent="0.2">
      <c r="F458" s="3707" t="s">
        <v>1964</v>
      </c>
      <c r="G458" s="3707"/>
      <c r="H458" s="1431"/>
      <c r="I458" s="3678" t="s">
        <v>1117</v>
      </c>
      <c r="J458" s="3678"/>
      <c r="K458" s="2207" t="s">
        <v>564</v>
      </c>
      <c r="N458" s="2207" t="s">
        <v>380</v>
      </c>
      <c r="O458" s="2207" t="s">
        <v>1892</v>
      </c>
      <c r="P458" s="2207" t="s">
        <v>930</v>
      </c>
      <c r="Q458" s="2207" t="s">
        <v>926</v>
      </c>
      <c r="R458" s="2207" t="s">
        <v>897</v>
      </c>
      <c r="T458" s="2207" t="s">
        <v>535</v>
      </c>
      <c r="V458" s="2316" t="s">
        <v>1139</v>
      </c>
      <c r="W458" s="2317"/>
      <c r="Y458" s="2240"/>
      <c r="Z458" s="2240"/>
      <c r="AA458" s="2240"/>
      <c r="AC458" s="2224"/>
      <c r="AF458" s="2224">
        <f t="shared" si="87"/>
        <v>0</v>
      </c>
      <c r="AK458" s="2224" t="e">
        <f>E457+F458+J458+N458+P458+Q458+R458+W458+O458</f>
        <v>#VALUE!</v>
      </c>
      <c r="AL458" s="2224" t="e">
        <f t="shared" si="90"/>
        <v>#VALUE!</v>
      </c>
      <c r="AO458" s="2204">
        <v>44381903204536</v>
      </c>
      <c r="AP458" s="2224" t="e">
        <f>X458-AR458</f>
        <v>#VALUE!</v>
      </c>
      <c r="AR458" s="2224" t="e">
        <f>W458+V458+T458+R458+Q458+P458+O458+N458+J458+E458+#REF!+F458</f>
        <v>#VALUE!</v>
      </c>
      <c r="AU458" s="2204" t="s">
        <v>535</v>
      </c>
    </row>
    <row r="459" spans="2:47" ht="10.9" customHeight="1" x14ac:dyDescent="0.2">
      <c r="F459" s="1696"/>
      <c r="G459" s="1696"/>
      <c r="H459" s="1712"/>
      <c r="I459" s="2254"/>
      <c r="J459" s="2254"/>
      <c r="V459" s="2318"/>
      <c r="W459" s="2319"/>
      <c r="Y459" s="2240"/>
      <c r="Z459" s="2240"/>
      <c r="AA459" s="2240"/>
      <c r="AC459" s="2224"/>
      <c r="AF459" s="2224"/>
      <c r="AK459" s="2224"/>
      <c r="AL459" s="2224"/>
      <c r="AP459" s="2224"/>
      <c r="AR459" s="2224"/>
    </row>
    <row r="460" spans="2:47" ht="10.9" customHeight="1" x14ac:dyDescent="0.2">
      <c r="F460" s="1696"/>
      <c r="G460" s="1696"/>
      <c r="H460" s="1712"/>
      <c r="I460" s="2254"/>
      <c r="J460" s="2254"/>
      <c r="V460" s="2318"/>
      <c r="W460" s="2319"/>
      <c r="Y460" s="2240"/>
      <c r="Z460" s="2240"/>
      <c r="AA460" s="2240"/>
      <c r="AC460" s="2224"/>
      <c r="AF460" s="2224"/>
      <c r="AK460" s="2224"/>
      <c r="AL460" s="2224"/>
      <c r="AP460" s="2224"/>
      <c r="AR460" s="2224"/>
    </row>
    <row r="461" spans="2:47" ht="10.15" customHeight="1" x14ac:dyDescent="0.2">
      <c r="B461" s="2204"/>
      <c r="C461" s="3686" t="s">
        <v>1962</v>
      </c>
      <c r="D461" s="3686"/>
      <c r="E461" s="3686"/>
      <c r="F461" s="3686"/>
      <c r="G461" s="3686"/>
      <c r="H461" s="3686"/>
      <c r="I461" s="3686"/>
      <c r="J461" s="3686"/>
      <c r="K461" s="3686"/>
      <c r="L461" s="3686"/>
      <c r="M461" s="3686"/>
      <c r="N461" s="3686"/>
      <c r="O461" s="3686"/>
      <c r="P461" s="3686"/>
      <c r="Q461" s="3686"/>
      <c r="R461" s="3686"/>
      <c r="S461" s="3686"/>
      <c r="T461" s="3686"/>
      <c r="U461" s="3686"/>
      <c r="V461" s="3686"/>
      <c r="W461" s="3686"/>
      <c r="X461" s="3686"/>
      <c r="AC461" s="2224"/>
      <c r="AE461" s="2320"/>
      <c r="AP461" s="2224">
        <f>X461-AR461</f>
        <v>0</v>
      </c>
      <c r="AQ461" s="2204">
        <f>W442+W422+W412+W418</f>
        <v>-73275133219</v>
      </c>
      <c r="AR461" s="2224">
        <f t="shared" si="98"/>
        <v>0</v>
      </c>
      <c r="AU461" s="2321"/>
    </row>
    <row r="462" spans="2:47" ht="10.15" hidden="1" customHeight="1" x14ac:dyDescent="0.2">
      <c r="B462" s="2204"/>
      <c r="C462" s="3686" t="s">
        <v>1963</v>
      </c>
      <c r="D462" s="3686"/>
      <c r="E462" s="3686"/>
      <c r="F462" s="3686"/>
      <c r="G462" s="3686"/>
      <c r="H462" s="3686"/>
      <c r="I462" s="3686"/>
      <c r="J462" s="3686"/>
      <c r="K462" s="3686"/>
      <c r="L462" s="3686"/>
      <c r="M462" s="3686"/>
      <c r="N462" s="3686"/>
      <c r="O462" s="3686"/>
      <c r="P462" s="3686"/>
      <c r="Q462" s="3686"/>
      <c r="R462" s="3686"/>
      <c r="S462" s="3686"/>
      <c r="T462" s="3686"/>
      <c r="U462" s="3686"/>
      <c r="V462" s="3686"/>
      <c r="W462" s="3686"/>
      <c r="X462" s="3686"/>
      <c r="AD462" s="2205">
        <v>21244181056547</v>
      </c>
      <c r="AE462" s="2322"/>
      <c r="AO462" s="992">
        <f>AO458-X457</f>
        <v>-14460218166087</v>
      </c>
      <c r="AP462" s="2224">
        <f>E457+J457+N457+O457+P457+Q457+V457</f>
        <v>58842113369384</v>
      </c>
      <c r="AR462" s="2224">
        <f t="shared" si="98"/>
        <v>0</v>
      </c>
      <c r="AU462" s="2321"/>
    </row>
    <row r="463" spans="2:47" ht="10.9" customHeight="1" x14ac:dyDescent="0.2">
      <c r="B463" s="2204"/>
      <c r="C463" s="3676" t="s">
        <v>2220</v>
      </c>
      <c r="D463" s="3676"/>
      <c r="E463" s="3676"/>
      <c r="F463" s="3676"/>
      <c r="G463" s="3676"/>
      <c r="H463" s="3676"/>
      <c r="I463" s="3676"/>
      <c r="J463" s="3676"/>
      <c r="K463" s="3676"/>
      <c r="L463" s="3676"/>
      <c r="M463" s="3676"/>
      <c r="N463" s="3676"/>
      <c r="O463" s="3676"/>
      <c r="P463" s="3676"/>
      <c r="Q463" s="3676"/>
      <c r="R463" s="3676"/>
      <c r="S463" s="3676"/>
      <c r="T463" s="3676"/>
      <c r="U463" s="3676"/>
      <c r="V463" s="3676"/>
      <c r="W463" s="3676"/>
      <c r="X463" s="3676"/>
      <c r="AD463" s="2205">
        <f>AD462-X457</f>
        <v>-37597940314076</v>
      </c>
      <c r="AE463" s="2320" t="e">
        <f>X457-AE457</f>
        <v>#REF!</v>
      </c>
      <c r="AP463" s="2224">
        <f>X463-AR463</f>
        <v>0</v>
      </c>
      <c r="AR463" s="2224">
        <f t="shared" si="98"/>
        <v>0</v>
      </c>
    </row>
    <row r="464" spans="2:47" s="2323" customFormat="1" ht="15" customHeight="1" x14ac:dyDescent="0.2">
      <c r="C464" s="3658" t="s">
        <v>2223</v>
      </c>
      <c r="D464" s="3658"/>
      <c r="E464" s="3658"/>
      <c r="F464" s="3658"/>
      <c r="G464" s="3658"/>
      <c r="H464" s="3658"/>
      <c r="I464" s="3658"/>
      <c r="J464" s="3658"/>
      <c r="K464" s="3658"/>
      <c r="L464" s="3658"/>
      <c r="M464" s="3658"/>
      <c r="N464" s="3658"/>
      <c r="O464" s="3658"/>
      <c r="P464" s="3658"/>
      <c r="Q464" s="3658"/>
      <c r="R464" s="3658"/>
      <c r="S464" s="3658"/>
      <c r="T464" s="3658"/>
      <c r="U464" s="3658"/>
      <c r="V464" s="3658"/>
      <c r="W464" s="3658"/>
      <c r="X464" s="3658"/>
      <c r="AD464" s="2324"/>
      <c r="AE464" s="2325"/>
      <c r="AO464" s="2324"/>
      <c r="AP464" s="2224">
        <f>J457+N457+O457+P457+Q457+V457</f>
        <v>15985547914359</v>
      </c>
      <c r="AQ464" s="2323">
        <f>AQ461-'يادداشت 1-1-10 حسابهاي پرداخخخ '!K211</f>
        <v>1069363830157</v>
      </c>
      <c r="AR464" s="2224">
        <f t="shared" si="98"/>
        <v>0</v>
      </c>
    </row>
    <row r="465" spans="1:44" s="2326" customFormat="1" ht="26.45" hidden="1" customHeight="1" x14ac:dyDescent="0.2">
      <c r="C465" s="3675" t="s">
        <v>1133</v>
      </c>
      <c r="D465" s="3675"/>
      <c r="E465" s="3675"/>
      <c r="F465" s="3675"/>
      <c r="G465" s="3675"/>
      <c r="H465" s="3675"/>
      <c r="I465" s="3675"/>
      <c r="J465" s="3675"/>
      <c r="K465" s="3675"/>
      <c r="L465" s="3675"/>
      <c r="M465" s="3675"/>
      <c r="N465" s="3675"/>
      <c r="O465" s="3675"/>
      <c r="P465" s="3675"/>
      <c r="Q465" s="3675"/>
      <c r="R465" s="3675"/>
      <c r="S465" s="3675"/>
      <c r="T465" s="3675"/>
      <c r="U465" s="3675"/>
      <c r="V465" s="3675"/>
      <c r="W465" s="3675"/>
      <c r="X465" s="3675"/>
      <c r="AD465" s="2327"/>
      <c r="AE465" s="2326">
        <v>2009341000000</v>
      </c>
      <c r="AR465" s="2224">
        <f t="shared" si="98"/>
        <v>0</v>
      </c>
    </row>
    <row r="466" spans="1:44" s="2326" customFormat="1" ht="25.15" customHeight="1" x14ac:dyDescent="0.2">
      <c r="C466" s="3658" t="s">
        <v>2221</v>
      </c>
      <c r="D466" s="3658"/>
      <c r="E466" s="3658"/>
      <c r="F466" s="3658"/>
      <c r="G466" s="3658"/>
      <c r="H466" s="3658"/>
      <c r="I466" s="3658"/>
      <c r="J466" s="3658"/>
      <c r="K466" s="3658"/>
      <c r="L466" s="3658"/>
      <c r="M466" s="3658"/>
      <c r="N466" s="3658"/>
      <c r="O466" s="3658"/>
      <c r="P466" s="3658"/>
      <c r="Q466" s="3658"/>
      <c r="R466" s="3658"/>
      <c r="S466" s="3658"/>
      <c r="T466" s="3658"/>
      <c r="U466" s="3658"/>
      <c r="V466" s="3658"/>
      <c r="W466" s="3658"/>
      <c r="X466" s="3658"/>
      <c r="AD466" s="2327"/>
      <c r="AP466" s="2326">
        <f>E457-X457</f>
        <v>-15985555915598</v>
      </c>
      <c r="AR466" s="2224">
        <f t="shared" si="98"/>
        <v>0</v>
      </c>
    </row>
    <row r="467" spans="1:44" ht="25.9" hidden="1" customHeight="1" x14ac:dyDescent="0.2">
      <c r="B467" s="2204"/>
      <c r="C467" s="3679" t="s">
        <v>1372</v>
      </c>
      <c r="D467" s="3679"/>
      <c r="E467" s="3679"/>
      <c r="F467" s="3679"/>
      <c r="G467" s="3679"/>
      <c r="H467" s="3679"/>
      <c r="I467" s="3679"/>
      <c r="J467" s="3679"/>
      <c r="K467" s="3679"/>
      <c r="L467" s="3679"/>
      <c r="M467" s="3679"/>
      <c r="N467" s="3679"/>
      <c r="O467" s="3679"/>
      <c r="P467" s="3679"/>
      <c r="Q467" s="3679"/>
      <c r="R467" s="3679"/>
      <c r="S467" s="3679"/>
      <c r="T467" s="3679"/>
      <c r="U467" s="3679"/>
      <c r="V467" s="3679"/>
      <c r="W467" s="3679"/>
      <c r="X467" s="3679"/>
      <c r="AR467" s="2224">
        <f t="shared" si="98"/>
        <v>0</v>
      </c>
    </row>
    <row r="468" spans="1:44" ht="28.9" customHeight="1" x14ac:dyDescent="0.2">
      <c r="B468" s="2204"/>
      <c r="C468" s="3658" t="s">
        <v>2225</v>
      </c>
      <c r="D468" s="3658"/>
      <c r="E468" s="3658"/>
      <c r="F468" s="3658"/>
      <c r="G468" s="3658"/>
      <c r="H468" s="3658"/>
      <c r="I468" s="3658"/>
      <c r="J468" s="3658"/>
      <c r="K468" s="3658"/>
      <c r="L468" s="3658"/>
      <c r="M468" s="3658"/>
      <c r="N468" s="3658"/>
      <c r="O468" s="3658"/>
      <c r="P468" s="3658"/>
      <c r="Q468" s="3658"/>
      <c r="R468" s="3658"/>
      <c r="S468" s="3658"/>
      <c r="T468" s="3658"/>
      <c r="U468" s="3658"/>
      <c r="V468" s="3658"/>
      <c r="W468" s="3658"/>
      <c r="X468" s="3658"/>
      <c r="AO468" s="2204">
        <f>E457+F457+G457</f>
        <v>42856565455025</v>
      </c>
      <c r="AR468" s="2224">
        <f t="shared" si="98"/>
        <v>0</v>
      </c>
    </row>
    <row r="469" spans="1:44" ht="37.15" customHeight="1" x14ac:dyDescent="0.2">
      <c r="B469" s="2204"/>
      <c r="C469" s="3679" t="s">
        <v>1974</v>
      </c>
      <c r="D469" s="3679"/>
      <c r="E469" s="3679"/>
      <c r="F469" s="3679"/>
      <c r="G469" s="3679"/>
      <c r="H469" s="3679"/>
      <c r="I469" s="3679"/>
      <c r="J469" s="3679"/>
      <c r="K469" s="3679"/>
      <c r="L469" s="3679"/>
      <c r="M469" s="3679"/>
      <c r="N469" s="3679"/>
      <c r="O469" s="3679"/>
      <c r="P469" s="3679"/>
      <c r="Q469" s="3679"/>
      <c r="R469" s="3679"/>
      <c r="S469" s="3679"/>
      <c r="T469" s="3679"/>
      <c r="U469" s="3679"/>
      <c r="V469" s="3679"/>
      <c r="W469" s="3679"/>
      <c r="X469" s="3679"/>
      <c r="AR469" s="2224"/>
    </row>
    <row r="470" spans="1:44" ht="15" customHeight="1" x14ac:dyDescent="0.2">
      <c r="A470" s="3660" t="s">
        <v>2269</v>
      </c>
      <c r="B470" s="3660"/>
      <c r="C470" s="3660"/>
      <c r="D470" s="3660"/>
      <c r="E470" s="3660"/>
      <c r="F470" s="3660"/>
      <c r="G470" s="3660"/>
      <c r="H470" s="3660"/>
      <c r="I470" s="3660"/>
      <c r="J470" s="3660"/>
      <c r="K470" s="3660"/>
      <c r="L470" s="3660"/>
      <c r="M470" s="3660"/>
      <c r="N470" s="3660"/>
      <c r="O470" s="3660"/>
      <c r="P470" s="3660"/>
      <c r="Q470" s="3660"/>
      <c r="R470" s="3660"/>
      <c r="S470" s="3660"/>
      <c r="T470" s="3660"/>
      <c r="U470" s="3660"/>
      <c r="V470" s="3660"/>
      <c r="W470" s="3660"/>
      <c r="AR470" s="2224">
        <f t="shared" si="98"/>
        <v>0</v>
      </c>
    </row>
    <row r="471" spans="1:44" ht="15" customHeight="1" x14ac:dyDescent="0.2">
      <c r="B471" s="2204"/>
      <c r="C471" s="2204"/>
      <c r="D471" s="1083"/>
      <c r="P471" s="2207">
        <f>-P457-'يادداشت 8سرمايه گذاري در شركتها'!G168</f>
        <v>0</v>
      </c>
      <c r="AC471" s="2321"/>
      <c r="AD471" s="2328">
        <f>AE465-X456</f>
        <v>-4350774630820</v>
      </c>
      <c r="AE471" s="2321"/>
      <c r="AR471" s="2224">
        <f t="shared" si="98"/>
        <v>0</v>
      </c>
    </row>
    <row r="472" spans="1:44" ht="15" customHeight="1" x14ac:dyDescent="0.2">
      <c r="B472" s="2204"/>
      <c r="C472" s="2204"/>
      <c r="D472" s="1083">
        <f>W453+W452+W451+W448+W446+W442+W428+W427+W426+W424+W420+W415+W412+W410+W409+W408+W380+W362+W349+W325+W324+W323+W259+W258+W233+W195+W194+W171+W170+W167+W149+W148+W144+W142+W141+W114+W113+W111+W110+W84+W73+W54+W47+W45+W43+W42+W19+W15</f>
        <v>-1461213778431</v>
      </c>
      <c r="W472" s="2207">
        <f>W422+W412+W360+W356+W351+W350+W327+W323+W201+W179+W177+W175+W174+W172+W167+W85+W74+W25+W191+W141</f>
        <v>71614678865</v>
      </c>
      <c r="AC472" s="2321"/>
      <c r="AD472" s="2328"/>
      <c r="AE472" s="2321"/>
      <c r="AR472" s="2224">
        <f t="shared" si="98"/>
        <v>71614678865</v>
      </c>
    </row>
    <row r="473" spans="1:44" ht="15" customHeight="1" x14ac:dyDescent="0.2">
      <c r="B473" s="2204"/>
      <c r="C473" s="2204"/>
      <c r="D473" s="1083">
        <f>W396+W392+W389+W388+W386+W382+W381+W366+W363+W351+W350+W348+W201+W199+W179+W178+W177+W176+W175+W174+W173+W172+W169+W166+W152+W151+W147+W25+W23+W21+W20+W191</f>
        <v>1461213668751</v>
      </c>
      <c r="G473" s="1239">
        <v>-1024531000000</v>
      </c>
      <c r="H473" s="1239" t="e">
        <f>#REF!+G473</f>
        <v>#REF!</v>
      </c>
      <c r="P473" s="2207">
        <f>E457+J457+N457+O457+P457+Q457+V457</f>
        <v>58842113369384</v>
      </c>
      <c r="V473" s="2207">
        <f>SUM(W472:W473)</f>
        <v>910838672361</v>
      </c>
      <c r="W473" s="2207">
        <f>W447+W418+W415+W353+W349+W348+W345+W344+W343+W342+W341+W326+W325+W324+W313+W290+W233+W227+W199+W196+W195+W193+W192+W178+W176+W173+W171+W170+W169+W168+W166+W152+W151+W150+W149+W148+W147+W146+W144+W143+W142+W138+W136+W120+W119+W117+W116+W111+W110+W101+W84+W75+W73+W70+W54+W53+W52+W51+W50+W49+W47+W45+W43+W42+W27+W26+W23+W22+W21+W20+W19+W15+W12+W347</f>
        <v>839223993496</v>
      </c>
      <c r="X473" s="2208">
        <v>58842120156730</v>
      </c>
      <c r="AC473" s="2329"/>
      <c r="AD473" s="2330"/>
      <c r="AE473" s="2329"/>
      <c r="AP473" s="2204">
        <f>W448+W447+W446+W445+W424+W416+W415+W412+W353+W351+W349+W348+W341+W344+W327+W326+W324+W321+W319+W298+W292+W291+W234+W233+W227+W199+W196+W192+W191+W179+W177+W169+W166+W152+W149+W145+W144+W143+W142+W141+W136+W134+W120+W115+W111+W110+W85+W83+W74+W70+W55+W53+W52+W51+W49+W47+W44+W43+W42+W41+W27+W26+W25+W23+W21+W14+W15+W12</f>
        <v>329227356757</v>
      </c>
      <c r="AR473" s="2224">
        <f t="shared" si="98"/>
        <v>59567645035241</v>
      </c>
    </row>
    <row r="474" spans="1:44" ht="28.9" customHeight="1" x14ac:dyDescent="0.2">
      <c r="B474" s="2204"/>
      <c r="C474" s="2204"/>
      <c r="D474" s="992">
        <f>D472+D473</f>
        <v>-109680</v>
      </c>
      <c r="W474" s="2207">
        <f>'پيش پرداخت سرمايه اي يادداشت 6'!O132+'ياد 15  سايرهزينه '!N47-'يادداشت 17 ارزش خالص'!H565+'يادداشت 1-1-10 حسابهاي پرداخخخ '!O212</f>
        <v>-24093132458</v>
      </c>
      <c r="X474" s="2208">
        <f>X473-X457</f>
        <v>-1213893</v>
      </c>
      <c r="AC474" s="2321"/>
      <c r="AD474" s="2328">
        <v>355058154374</v>
      </c>
      <c r="AE474" s="2321"/>
      <c r="AN474" s="2204">
        <v>275532416</v>
      </c>
      <c r="AR474" s="2224">
        <f t="shared" si="98"/>
        <v>-24093132458</v>
      </c>
    </row>
    <row r="475" spans="1:44" ht="15" customHeight="1" x14ac:dyDescent="0.2">
      <c r="B475" s="2204"/>
      <c r="C475" s="2204"/>
      <c r="D475" s="992">
        <f>V457-V147+'پيش پرداخت سرمايه اي يادداشت 6'!O132</f>
        <v>-35356171773</v>
      </c>
      <c r="E475" s="1239">
        <f>V326+V298+V289+V199+V191+V166</f>
        <v>-11714610268</v>
      </c>
      <c r="AA475" s="2331"/>
      <c r="AD475" s="2205">
        <v>1254643404023</v>
      </c>
      <c r="AR475" s="2224">
        <f t="shared" si="98"/>
        <v>-11714610268</v>
      </c>
    </row>
    <row r="476" spans="1:44" x14ac:dyDescent="0.2">
      <c r="O476" s="2207">
        <f>'پيش پرداخت سرمايه اي يادداشت 6'!I132+'پيش پرداخت يادداشت-6'!M35</f>
        <v>-792289629471</v>
      </c>
      <c r="AD476" s="2205">
        <f>SUM(AD474:AD475)</f>
        <v>1609701558397</v>
      </c>
      <c r="AP476" s="2204" t="e">
        <f>#REF!+J457+N457+O457+P457+Q457+R457+T457+V457</f>
        <v>#REF!</v>
      </c>
      <c r="AR476" s="2224">
        <f t="shared" si="98"/>
        <v>-792289629471</v>
      </c>
    </row>
    <row r="477" spans="1:44" x14ac:dyDescent="0.2">
      <c r="C477" s="2204"/>
      <c r="W477" s="2207">
        <f>W19+W20+W22+W24+W41+W54+W84+W147+W148+W151+W167+W170+W171+W172+W173+W174+W175+W176+W178+W193+W201+W323+W345+W350+W409+W442</f>
        <v>256938162851</v>
      </c>
      <c r="AB477" s="2205">
        <f>AN474+X475</f>
        <v>275532416</v>
      </c>
      <c r="AR477" s="2224">
        <f t="shared" si="98"/>
        <v>256938162851</v>
      </c>
    </row>
    <row r="478" spans="1:44" x14ac:dyDescent="0.2">
      <c r="O478" s="2207">
        <f>O476+O457</f>
        <v>138292591677</v>
      </c>
      <c r="W478" s="2207">
        <f>W448+W447+W446+W445+W441+W424+W416+W415+W412+W353+W351+W349+W348+W344+W341+W327+W326+W324+W321+W319+W292+W291+W234+W233+W227+W196+W192+W191+W179+W177+W169+W166+W149+W152+W145+W144+W143+W142+W141+W136+W134+W120+W115+W111+W110+W85+W83+W74+W70+W55+W53+W52+W51+W49+W47+W44+W43+W42+W27+W26+W25+W23+W21+W15+W14+W12</f>
        <v>329173998856</v>
      </c>
      <c r="AR478" s="2224">
        <f t="shared" si="98"/>
        <v>467466590533</v>
      </c>
    </row>
    <row r="479" spans="1:44" x14ac:dyDescent="0.2">
      <c r="C479" s="2204"/>
      <c r="W479" s="2207">
        <f>SUM(W477:W478)</f>
        <v>586112161707</v>
      </c>
      <c r="AR479" s="2224">
        <f t="shared" si="98"/>
        <v>586112161707</v>
      </c>
    </row>
    <row r="483" spans="3:24" ht="18" x14ac:dyDescent="0.2">
      <c r="C483" s="2264" t="s">
        <v>548</v>
      </c>
      <c r="D483" s="1207" t="s">
        <v>547</v>
      </c>
      <c r="E483" s="1245">
        <v>157046730360</v>
      </c>
      <c r="F483" s="1242"/>
      <c r="G483" s="1242">
        <v>0</v>
      </c>
      <c r="H483" s="1255">
        <v>157046730360</v>
      </c>
      <c r="I483" s="2241"/>
      <c r="J483" s="510">
        <v>-30443995706</v>
      </c>
      <c r="K483" s="2241"/>
      <c r="L483" s="2255"/>
      <c r="M483" s="1789"/>
      <c r="N483" s="510">
        <v>0</v>
      </c>
      <c r="O483" s="510"/>
      <c r="P483" s="1779"/>
      <c r="Q483" s="1779">
        <v>-104288671768</v>
      </c>
      <c r="R483" s="240"/>
      <c r="T483" s="510"/>
      <c r="V483" s="510"/>
      <c r="W483" s="510">
        <v>117338114532</v>
      </c>
      <c r="X483" s="551">
        <v>139652177418</v>
      </c>
    </row>
    <row r="484" spans="3:24" x14ac:dyDescent="0.2">
      <c r="C484" s="2206" t="s">
        <v>548</v>
      </c>
      <c r="D484" s="992" t="s">
        <v>547</v>
      </c>
      <c r="E484" s="1239">
        <v>377692124270</v>
      </c>
      <c r="H484" s="1239">
        <v>377692124270</v>
      </c>
      <c r="J484" s="2207">
        <v>0</v>
      </c>
      <c r="W484" s="2207">
        <v>-224499846726</v>
      </c>
      <c r="X484" s="2208">
        <v>153192277544</v>
      </c>
    </row>
    <row r="485" spans="3:24" x14ac:dyDescent="0.2">
      <c r="E485" s="1239">
        <f>SUM(E483:E484)</f>
        <v>534738854630</v>
      </c>
      <c r="F485" s="1239">
        <f t="shared" ref="F485:X485" si="102">SUM(F483:F484)</f>
        <v>0</v>
      </c>
      <c r="G485" s="1239">
        <f t="shared" si="102"/>
        <v>0</v>
      </c>
      <c r="H485" s="1239">
        <f t="shared" si="102"/>
        <v>534738854630</v>
      </c>
      <c r="I485" s="1239">
        <f t="shared" si="102"/>
        <v>0</v>
      </c>
      <c r="J485" s="1239">
        <f>SUM(J483:J484)</f>
        <v>-30443995706</v>
      </c>
      <c r="K485" s="1239">
        <f t="shared" si="102"/>
        <v>0</v>
      </c>
      <c r="L485" s="1239">
        <f t="shared" si="102"/>
        <v>0</v>
      </c>
      <c r="M485" s="1239">
        <f t="shared" si="102"/>
        <v>0</v>
      </c>
      <c r="N485" s="1239">
        <f t="shared" si="102"/>
        <v>0</v>
      </c>
      <c r="O485" s="1239">
        <f t="shared" si="102"/>
        <v>0</v>
      </c>
      <c r="P485" s="1239">
        <f t="shared" si="102"/>
        <v>0</v>
      </c>
      <c r="Q485" s="1239">
        <f t="shared" si="102"/>
        <v>-104288671768</v>
      </c>
      <c r="R485" s="1239">
        <f t="shared" si="102"/>
        <v>0</v>
      </c>
      <c r="S485" s="1239">
        <f t="shared" si="102"/>
        <v>0</v>
      </c>
      <c r="T485" s="1239">
        <f t="shared" si="102"/>
        <v>0</v>
      </c>
      <c r="U485" s="1239">
        <f t="shared" si="102"/>
        <v>0</v>
      </c>
      <c r="V485" s="1239">
        <f t="shared" si="102"/>
        <v>0</v>
      </c>
      <c r="W485" s="1239">
        <f t="shared" si="102"/>
        <v>-107161732194</v>
      </c>
      <c r="X485" s="1239">
        <f t="shared" si="102"/>
        <v>292844454962</v>
      </c>
    </row>
    <row r="486" spans="3:24" x14ac:dyDescent="0.2">
      <c r="E486" s="1239">
        <v>519261383572</v>
      </c>
      <c r="X486" s="2208">
        <v>277366983904</v>
      </c>
    </row>
    <row r="487" spans="3:24" x14ac:dyDescent="0.2">
      <c r="E487" s="1239">
        <v>15477471058</v>
      </c>
      <c r="X487" s="1239">
        <v>15477471058</v>
      </c>
    </row>
    <row r="488" spans="3:24" x14ac:dyDescent="0.2">
      <c r="E488" s="1239">
        <f>SUM(E486:E487)</f>
        <v>534738854630</v>
      </c>
      <c r="X488" s="2208">
        <f>SUM(X486:X487)</f>
        <v>292844454962</v>
      </c>
    </row>
  </sheetData>
  <mergeCells count="349">
    <mergeCell ref="C407:D407"/>
    <mergeCell ref="B340:B367"/>
    <mergeCell ref="B378:B396"/>
    <mergeCell ref="B407:B429"/>
    <mergeCell ref="B404:D404"/>
    <mergeCell ref="W404:X404"/>
    <mergeCell ref="B405:B406"/>
    <mergeCell ref="C405:C406"/>
    <mergeCell ref="D405:D406"/>
    <mergeCell ref="E405:E406"/>
    <mergeCell ref="F405:G405"/>
    <mergeCell ref="H405:H406"/>
    <mergeCell ref="I405:J406"/>
    <mergeCell ref="N405:O405"/>
    <mergeCell ref="P405:T405"/>
    <mergeCell ref="V405:V406"/>
    <mergeCell ref="W405:W406"/>
    <mergeCell ref="X405:X406"/>
    <mergeCell ref="V376:V377"/>
    <mergeCell ref="W376:W377"/>
    <mergeCell ref="X376:X377"/>
    <mergeCell ref="C378:D378"/>
    <mergeCell ref="C398:Y398"/>
    <mergeCell ref="B399:AA399"/>
    <mergeCell ref="B400:AA400"/>
    <mergeCell ref="B401:AA401"/>
    <mergeCell ref="B402:AA402"/>
    <mergeCell ref="B376:B377"/>
    <mergeCell ref="C376:C377"/>
    <mergeCell ref="D376:D377"/>
    <mergeCell ref="E376:E377"/>
    <mergeCell ref="F376:G376"/>
    <mergeCell ref="H376:H377"/>
    <mergeCell ref="I376:J377"/>
    <mergeCell ref="N376:O376"/>
    <mergeCell ref="P376:T376"/>
    <mergeCell ref="C469:X469"/>
    <mergeCell ref="C462:X462"/>
    <mergeCell ref="F458:G458"/>
    <mergeCell ref="B433:AA433"/>
    <mergeCell ref="B430:D430"/>
    <mergeCell ref="N437:O437"/>
    <mergeCell ref="C220:D220"/>
    <mergeCell ref="D218:D219"/>
    <mergeCell ref="N218:O218"/>
    <mergeCell ref="C218:C219"/>
    <mergeCell ref="C273:Y273"/>
    <mergeCell ref="W246:X246"/>
    <mergeCell ref="H247:H248"/>
    <mergeCell ref="X279:X280"/>
    <mergeCell ref="B276:AA276"/>
    <mergeCell ref="B275:AA275"/>
    <mergeCell ref="C249:D249"/>
    <mergeCell ref="B242:AA242"/>
    <mergeCell ref="B274:AA274"/>
    <mergeCell ref="B278:D278"/>
    <mergeCell ref="D279:D280"/>
    <mergeCell ref="C240:Y240"/>
    <mergeCell ref="D247:D248"/>
    <mergeCell ref="B368:D368"/>
    <mergeCell ref="B214:AA214"/>
    <mergeCell ref="H188:H189"/>
    <mergeCell ref="N188:O188"/>
    <mergeCell ref="C190:D190"/>
    <mergeCell ref="V188:V189"/>
    <mergeCell ref="I188:J189"/>
    <mergeCell ref="W187:X187"/>
    <mergeCell ref="P188:T188"/>
    <mergeCell ref="C211:Y211"/>
    <mergeCell ref="B208:D208"/>
    <mergeCell ref="B190:B207"/>
    <mergeCell ref="F188:G188"/>
    <mergeCell ref="B212:AA212"/>
    <mergeCell ref="B213:AA213"/>
    <mergeCell ref="B185:AA185"/>
    <mergeCell ref="B186:AA186"/>
    <mergeCell ref="B187:D187"/>
    <mergeCell ref="C188:C189"/>
    <mergeCell ref="D188:D189"/>
    <mergeCell ref="E188:E189"/>
    <mergeCell ref="W188:W189"/>
    <mergeCell ref="X188:X189"/>
    <mergeCell ref="B156:X156"/>
    <mergeCell ref="B157:AA157"/>
    <mergeCell ref="H162:H163"/>
    <mergeCell ref="B158:AA158"/>
    <mergeCell ref="C182:Y182"/>
    <mergeCell ref="B183:AA183"/>
    <mergeCell ref="B184:AA184"/>
    <mergeCell ref="W162:W163"/>
    <mergeCell ref="N162:O162"/>
    <mergeCell ref="E162:E163"/>
    <mergeCell ref="I162:J163"/>
    <mergeCell ref="C164:D164"/>
    <mergeCell ref="C162:C163"/>
    <mergeCell ref="X162:X163"/>
    <mergeCell ref="V162:V163"/>
    <mergeCell ref="D162:D163"/>
    <mergeCell ref="C131:C132"/>
    <mergeCell ref="D131:D132"/>
    <mergeCell ref="E131:E132"/>
    <mergeCell ref="C133:D133"/>
    <mergeCell ref="B159:AA159"/>
    <mergeCell ref="B160:AA160"/>
    <mergeCell ref="B161:D161"/>
    <mergeCell ref="W161:X161"/>
    <mergeCell ref="P162:T162"/>
    <mergeCell ref="F162:G162"/>
    <mergeCell ref="Y97:Y98"/>
    <mergeCell ref="I97:J98"/>
    <mergeCell ref="D97:D98"/>
    <mergeCell ref="F97:G97"/>
    <mergeCell ref="B130:D130"/>
    <mergeCell ref="I131:J132"/>
    <mergeCell ref="H131:H132"/>
    <mergeCell ref="W130:X130"/>
    <mergeCell ref="B153:D153"/>
    <mergeCell ref="V131:V132"/>
    <mergeCell ref="B127:AA127"/>
    <mergeCell ref="E97:E98"/>
    <mergeCell ref="B125:X125"/>
    <mergeCell ref="C97:C98"/>
    <mergeCell ref="N131:O131"/>
    <mergeCell ref="W131:W132"/>
    <mergeCell ref="X131:X132"/>
    <mergeCell ref="B128:AA128"/>
    <mergeCell ref="B129:AA129"/>
    <mergeCell ref="B126:AA126"/>
    <mergeCell ref="P131:T131"/>
    <mergeCell ref="B121:D121"/>
    <mergeCell ref="W97:W98"/>
    <mergeCell ref="F131:G131"/>
    <mergeCell ref="W66:X66"/>
    <mergeCell ref="H67:H68"/>
    <mergeCell ref="E67:E68"/>
    <mergeCell ref="C38:C39"/>
    <mergeCell ref="D38:D39"/>
    <mergeCell ref="X38:X39"/>
    <mergeCell ref="I38:J39"/>
    <mergeCell ref="B63:AA63"/>
    <mergeCell ref="B64:AA64"/>
    <mergeCell ref="B66:D66"/>
    <mergeCell ref="I67:J68"/>
    <mergeCell ref="C67:C68"/>
    <mergeCell ref="D67:D68"/>
    <mergeCell ref="B60:AA60"/>
    <mergeCell ref="Y67:Y68"/>
    <mergeCell ref="Z67:Z68"/>
    <mergeCell ref="N67:O67"/>
    <mergeCell ref="C40:D40"/>
    <mergeCell ref="B38:B39"/>
    <mergeCell ref="B40:B56"/>
    <mergeCell ref="B67:B68"/>
    <mergeCell ref="W38:W39"/>
    <mergeCell ref="H38:H39"/>
    <mergeCell ref="Z10:Z11"/>
    <mergeCell ref="B35:X35"/>
    <mergeCell ref="Z38:Z39"/>
    <mergeCell ref="I10:J11"/>
    <mergeCell ref="B37:D37"/>
    <mergeCell ref="V38:V39"/>
    <mergeCell ref="X10:X11"/>
    <mergeCell ref="E38:E39"/>
    <mergeCell ref="B36:X36"/>
    <mergeCell ref="N38:O38"/>
    <mergeCell ref="D10:D11"/>
    <mergeCell ref="E10:E11"/>
    <mergeCell ref="N10:O10"/>
    <mergeCell ref="B33:X33"/>
    <mergeCell ref="B34:X34"/>
    <mergeCell ref="H10:H11"/>
    <mergeCell ref="B10:B11"/>
    <mergeCell ref="B12:B29"/>
    <mergeCell ref="F10:G10"/>
    <mergeCell ref="F38:G38"/>
    <mergeCell ref="B1:X1"/>
    <mergeCell ref="B2:X2"/>
    <mergeCell ref="B3:X3"/>
    <mergeCell ref="B4:X4"/>
    <mergeCell ref="B6:W6"/>
    <mergeCell ref="X67:X68"/>
    <mergeCell ref="W37:X37"/>
    <mergeCell ref="B61:AA61"/>
    <mergeCell ref="V67:V68"/>
    <mergeCell ref="P10:T10"/>
    <mergeCell ref="P38:T38"/>
    <mergeCell ref="P67:T67"/>
    <mergeCell ref="W67:W68"/>
    <mergeCell ref="B62:AA62"/>
    <mergeCell ref="W8:X8"/>
    <mergeCell ref="Y8:Y9"/>
    <mergeCell ref="C10:C11"/>
    <mergeCell ref="Y38:Y39"/>
    <mergeCell ref="C32:X32"/>
    <mergeCell ref="F67:G67"/>
    <mergeCell ref="W10:W11"/>
    <mergeCell ref="B8:V8"/>
    <mergeCell ref="Y10:Y11"/>
    <mergeCell ref="V10:V11"/>
    <mergeCell ref="W217:X217"/>
    <mergeCell ref="B217:D217"/>
    <mergeCell ref="B220:B236"/>
    <mergeCell ref="B243:AA243"/>
    <mergeCell ref="V279:V280"/>
    <mergeCell ref="W278:X278"/>
    <mergeCell ref="B237:D237"/>
    <mergeCell ref="B247:B248"/>
    <mergeCell ref="H218:H219"/>
    <mergeCell ref="H279:H280"/>
    <mergeCell ref="F218:G218"/>
    <mergeCell ref="F247:G247"/>
    <mergeCell ref="F279:G279"/>
    <mergeCell ref="B277:AA277"/>
    <mergeCell ref="P247:T247"/>
    <mergeCell ref="B241:AA241"/>
    <mergeCell ref="B246:D246"/>
    <mergeCell ref="B244:AA244"/>
    <mergeCell ref="X247:X248"/>
    <mergeCell ref="N247:O247"/>
    <mergeCell ref="V247:V248"/>
    <mergeCell ref="I247:J248"/>
    <mergeCell ref="E247:E248"/>
    <mergeCell ref="B307:AA307"/>
    <mergeCell ref="B308:D308"/>
    <mergeCell ref="C281:D281"/>
    <mergeCell ref="W309:W310"/>
    <mergeCell ref="C311:D311"/>
    <mergeCell ref="D309:D310"/>
    <mergeCell ref="C309:C310"/>
    <mergeCell ref="F309:G309"/>
    <mergeCell ref="B306:AA306"/>
    <mergeCell ref="B311:B327"/>
    <mergeCell ref="B328:D328"/>
    <mergeCell ref="B397:D397"/>
    <mergeCell ref="B338:B339"/>
    <mergeCell ref="B370:AA370"/>
    <mergeCell ref="B371:AA371"/>
    <mergeCell ref="B372:AA372"/>
    <mergeCell ref="B373:AA373"/>
    <mergeCell ref="B375:D375"/>
    <mergeCell ref="W375:X375"/>
    <mergeCell ref="C468:X468"/>
    <mergeCell ref="B456:D456"/>
    <mergeCell ref="B437:B438"/>
    <mergeCell ref="B335:AA335"/>
    <mergeCell ref="I309:J310"/>
    <mergeCell ref="V309:V310"/>
    <mergeCell ref="H309:H310"/>
    <mergeCell ref="B333:AA333"/>
    <mergeCell ref="C455:D455"/>
    <mergeCell ref="B439:B455"/>
    <mergeCell ref="F338:G338"/>
    <mergeCell ref="F437:G437"/>
    <mergeCell ref="C340:D340"/>
    <mergeCell ref="P338:T338"/>
    <mergeCell ref="C439:D439"/>
    <mergeCell ref="C338:C339"/>
    <mergeCell ref="C437:C438"/>
    <mergeCell ref="D437:D438"/>
    <mergeCell ref="E437:E438"/>
    <mergeCell ref="B434:AA434"/>
    <mergeCell ref="B435:AA435"/>
    <mergeCell ref="C461:X461"/>
    <mergeCell ref="C369:Y369"/>
    <mergeCell ref="B309:B310"/>
    <mergeCell ref="B215:AA215"/>
    <mergeCell ref="B218:B219"/>
    <mergeCell ref="W247:W248"/>
    <mergeCell ref="C247:C248"/>
    <mergeCell ref="A470:W470"/>
    <mergeCell ref="W337:X337"/>
    <mergeCell ref="V338:V339"/>
    <mergeCell ref="W338:W339"/>
    <mergeCell ref="C465:X465"/>
    <mergeCell ref="N338:O338"/>
    <mergeCell ref="C463:X463"/>
    <mergeCell ref="P437:T437"/>
    <mergeCell ref="H338:H339"/>
    <mergeCell ref="D338:D339"/>
    <mergeCell ref="E338:E339"/>
    <mergeCell ref="X338:X339"/>
    <mergeCell ref="I338:J339"/>
    <mergeCell ref="I458:J458"/>
    <mergeCell ref="B436:D436"/>
    <mergeCell ref="C431:Y431"/>
    <mergeCell ref="W436:X436"/>
    <mergeCell ref="V437:V438"/>
    <mergeCell ref="C464:X464"/>
    <mergeCell ref="C467:X467"/>
    <mergeCell ref="B69:B86"/>
    <mergeCell ref="B97:B98"/>
    <mergeCell ref="B99:B120"/>
    <mergeCell ref="B131:B132"/>
    <mergeCell ref="B133:B152"/>
    <mergeCell ref="B162:B163"/>
    <mergeCell ref="B164:B179"/>
    <mergeCell ref="B180:D180"/>
    <mergeCell ref="B188:B189"/>
    <mergeCell ref="C69:D69"/>
    <mergeCell ref="B90:AA90"/>
    <mergeCell ref="B91:AA91"/>
    <mergeCell ref="B96:D96"/>
    <mergeCell ref="C99:D99"/>
    <mergeCell ref="B94:AA94"/>
    <mergeCell ref="W96:X96"/>
    <mergeCell ref="B92:AA92"/>
    <mergeCell ref="B93:AA93"/>
    <mergeCell ref="P97:T97"/>
    <mergeCell ref="H97:H98"/>
    <mergeCell ref="V97:V98"/>
    <mergeCell ref="X97:X98"/>
    <mergeCell ref="N97:O97"/>
    <mergeCell ref="Z97:Z98"/>
    <mergeCell ref="C466:X466"/>
    <mergeCell ref="B332:AA332"/>
    <mergeCell ref="C279:C280"/>
    <mergeCell ref="C303:Y303"/>
    <mergeCell ref="N279:O279"/>
    <mergeCell ref="X309:X310"/>
    <mergeCell ref="B334:AA334"/>
    <mergeCell ref="P309:T309"/>
    <mergeCell ref="H437:H438"/>
    <mergeCell ref="X437:X438"/>
    <mergeCell ref="I437:J438"/>
    <mergeCell ref="B457:D457"/>
    <mergeCell ref="B337:D337"/>
    <mergeCell ref="W437:W438"/>
    <mergeCell ref="C331:Y331"/>
    <mergeCell ref="W308:X308"/>
    <mergeCell ref="B304:AA304"/>
    <mergeCell ref="E279:E280"/>
    <mergeCell ref="W279:W280"/>
    <mergeCell ref="N309:O309"/>
    <mergeCell ref="E309:E310"/>
    <mergeCell ref="I279:J280"/>
    <mergeCell ref="B432:AA432"/>
    <mergeCell ref="B279:B280"/>
    <mergeCell ref="E218:E219"/>
    <mergeCell ref="X218:X219"/>
    <mergeCell ref="W218:W219"/>
    <mergeCell ref="I218:J219"/>
    <mergeCell ref="P218:T218"/>
    <mergeCell ref="B249:B268"/>
    <mergeCell ref="B269:D269"/>
    <mergeCell ref="P279:T279"/>
    <mergeCell ref="B305:AA305"/>
    <mergeCell ref="B281:B300"/>
    <mergeCell ref="B301:D301"/>
    <mergeCell ref="V218:V219"/>
  </mergeCells>
  <printOptions horizontalCentered="1"/>
  <pageMargins left="0" right="0" top="0.39370078740157499" bottom="0.196850393700787" header="0.31496062992126" footer="0.196850393700787"/>
  <pageSetup scale="86" orientation="landscape" r:id="rId1"/>
  <rowBreaks count="12" manualBreakCount="12">
    <brk id="32" max="16383" man="1"/>
    <brk id="60" max="16383" man="1"/>
    <brk id="90" max="16383" man="1"/>
    <brk id="125" max="16383" man="1"/>
    <brk id="156" max="16383" man="1"/>
    <brk id="182" max="16383" man="1"/>
    <brk id="211" max="16383" man="1"/>
    <brk id="240" max="16383" man="1"/>
    <brk id="273" max="16383" man="1"/>
    <brk id="303" max="16383" man="1"/>
    <brk id="331" max="16383" man="1"/>
    <brk id="431" max="16383" man="1"/>
  </rowBreaks>
  <colBreaks count="1" manualBreakCount="1">
    <brk id="28" max="419" man="1"/>
  </col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2060"/>
  </sheetPr>
  <dimension ref="A1:P322"/>
  <sheetViews>
    <sheetView rightToLeft="1" view="pageBreakPreview" topLeftCell="A286" zoomScale="30" zoomScaleNormal="100" zoomScaleSheetLayoutView="30" workbookViewId="0">
      <selection activeCell="A271" sqref="A271:J271"/>
    </sheetView>
  </sheetViews>
  <sheetFormatPr defaultColWidth="9.140625" defaultRowHeight="14.25" customHeight="1" x14ac:dyDescent="0.35"/>
  <cols>
    <col min="1" max="1" width="1.85546875" style="1719" customWidth="1"/>
    <col min="2" max="2" width="3.42578125" style="1725" customWidth="1"/>
    <col min="3" max="3" width="14.140625" style="1726" customWidth="1"/>
    <col min="4" max="4" width="49.85546875" style="1727" customWidth="1"/>
    <col min="5" max="5" width="13.7109375" style="1728" customWidth="1"/>
    <col min="6" max="6" width="11" style="1728" customWidth="1"/>
    <col min="7" max="7" width="0.28515625" style="1728" hidden="1" customWidth="1"/>
    <col min="8" max="8" width="6.42578125" style="1728" customWidth="1"/>
    <col min="9" max="9" width="10.7109375" style="1728" customWidth="1"/>
    <col min="10" max="10" width="13.5703125" style="1728" customWidth="1"/>
    <col min="11" max="11" width="1.42578125" style="1719" customWidth="1"/>
    <col min="12" max="16384" width="9.140625" style="1719"/>
  </cols>
  <sheetData>
    <row r="1" spans="1:11" ht="19.149999999999999" customHeight="1" x14ac:dyDescent="0.2">
      <c r="A1" s="3300" t="s">
        <v>295</v>
      </c>
      <c r="B1" s="3300"/>
      <c r="C1" s="3300"/>
      <c r="D1" s="3300"/>
      <c r="E1" s="3300"/>
      <c r="F1" s="3300"/>
      <c r="G1" s="3300"/>
      <c r="H1" s="3300"/>
      <c r="I1" s="3300"/>
      <c r="J1" s="3300"/>
    </row>
    <row r="2" spans="1:11" ht="19.149999999999999" customHeight="1" x14ac:dyDescent="0.2">
      <c r="A2" s="3300" t="s">
        <v>45</v>
      </c>
      <c r="B2" s="3300"/>
      <c r="C2" s="3300"/>
      <c r="D2" s="3300"/>
      <c r="E2" s="3300"/>
      <c r="F2" s="3300"/>
      <c r="G2" s="3300"/>
      <c r="H2" s="3300"/>
      <c r="I2" s="3300"/>
      <c r="J2" s="3300"/>
    </row>
    <row r="3" spans="1:11" ht="19.149999999999999" customHeight="1" x14ac:dyDescent="0.2">
      <c r="A3" s="3300" t="s">
        <v>46</v>
      </c>
      <c r="B3" s="3300"/>
      <c r="C3" s="3300"/>
      <c r="D3" s="3300"/>
      <c r="E3" s="3300"/>
      <c r="F3" s="3300"/>
      <c r="G3" s="3300"/>
      <c r="H3" s="3300"/>
      <c r="I3" s="3300"/>
      <c r="J3" s="3300"/>
    </row>
    <row r="4" spans="1:11" ht="19.149999999999999" customHeight="1" x14ac:dyDescent="0.2">
      <c r="A4" s="3721" t="s">
        <v>1992</v>
      </c>
      <c r="B4" s="3721"/>
      <c r="C4" s="3721"/>
      <c r="D4" s="3721"/>
      <c r="E4" s="3721"/>
      <c r="F4" s="3721"/>
      <c r="G4" s="3721"/>
      <c r="H4" s="3721"/>
      <c r="I4" s="3721"/>
      <c r="J4" s="3721"/>
      <c r="K4" s="1721"/>
    </row>
    <row r="5" spans="1:11" ht="19.149999999999999" customHeight="1" x14ac:dyDescent="0.35">
      <c r="A5" s="1722"/>
      <c r="B5" s="1722"/>
      <c r="C5" s="1722"/>
      <c r="D5" s="1576"/>
      <c r="E5" s="1723"/>
      <c r="F5" s="1723"/>
      <c r="G5" s="1723"/>
      <c r="H5" s="1723"/>
      <c r="I5" s="1723"/>
      <c r="J5" s="1723"/>
      <c r="K5" s="1721"/>
    </row>
    <row r="6" spans="1:11" ht="19.149999999999999" customHeight="1" x14ac:dyDescent="0.35">
      <c r="A6" s="1724"/>
    </row>
    <row r="7" spans="1:11" ht="19.149999999999999" customHeight="1" x14ac:dyDescent="0.2">
      <c r="A7" s="1724"/>
      <c r="B7" s="3746" t="s">
        <v>1821</v>
      </c>
      <c r="C7" s="3746"/>
      <c r="D7" s="3746"/>
      <c r="E7" s="3746"/>
      <c r="F7" s="3746"/>
      <c r="G7" s="3746"/>
      <c r="H7" s="3746"/>
      <c r="I7" s="3746"/>
      <c r="J7" s="3746"/>
    </row>
    <row r="8" spans="1:11" ht="19.149999999999999" customHeight="1" x14ac:dyDescent="0.35">
      <c r="A8" s="1724"/>
      <c r="B8" s="1729"/>
      <c r="C8" s="1730"/>
      <c r="I8" s="3718" t="s">
        <v>194</v>
      </c>
      <c r="J8" s="3718"/>
    </row>
    <row r="9" spans="1:11" s="1731" customFormat="1" ht="19.149999999999999" customHeight="1" x14ac:dyDescent="0.45">
      <c r="A9" s="1724"/>
      <c r="B9" s="3724" t="s">
        <v>180</v>
      </c>
      <c r="C9" s="3742" t="s">
        <v>196</v>
      </c>
      <c r="D9" s="3733" t="s">
        <v>197</v>
      </c>
      <c r="E9" s="3743" t="s">
        <v>381</v>
      </c>
      <c r="F9" s="3743"/>
      <c r="G9" s="3743"/>
      <c r="H9" s="3743"/>
      <c r="I9" s="3743"/>
      <c r="J9" s="3744" t="s">
        <v>27</v>
      </c>
    </row>
    <row r="10" spans="1:11" s="1731" customFormat="1" ht="19.149999999999999" customHeight="1" x14ac:dyDescent="0.45">
      <c r="A10" s="1724"/>
      <c r="B10" s="3725"/>
      <c r="C10" s="3742"/>
      <c r="D10" s="3733"/>
      <c r="E10" s="1732" t="s">
        <v>1280</v>
      </c>
      <c r="F10" s="1732" t="s">
        <v>1281</v>
      </c>
      <c r="G10" s="1732"/>
      <c r="H10" s="1732" t="s">
        <v>1282</v>
      </c>
      <c r="I10" s="1732" t="s">
        <v>1283</v>
      </c>
      <c r="J10" s="3744"/>
    </row>
    <row r="11" spans="1:11" s="1731" customFormat="1" ht="94.15" customHeight="1" x14ac:dyDescent="0.2">
      <c r="A11" s="1724"/>
      <c r="B11" s="3725"/>
      <c r="C11" s="3742"/>
      <c r="D11" s="3733"/>
      <c r="E11" s="1733" t="s">
        <v>1284</v>
      </c>
      <c r="F11" s="1733" t="s">
        <v>1285</v>
      </c>
      <c r="G11" s="1734" t="s">
        <v>382</v>
      </c>
      <c r="H11" s="1733" t="s">
        <v>1286</v>
      </c>
      <c r="I11" s="1733" t="s">
        <v>1287</v>
      </c>
      <c r="J11" s="3744"/>
    </row>
    <row r="12" spans="1:11" s="1731" customFormat="1" ht="19.149999999999999" customHeight="1" x14ac:dyDescent="0.4">
      <c r="A12" s="1724"/>
      <c r="B12" s="3725"/>
      <c r="C12" s="1735" t="s">
        <v>63</v>
      </c>
      <c r="D12" s="1194" t="s">
        <v>64</v>
      </c>
      <c r="E12" s="389">
        <f>J12-I12-H12-F12</f>
        <v>132260368</v>
      </c>
      <c r="F12" s="1736"/>
      <c r="G12" s="1736"/>
      <c r="H12" s="1736"/>
      <c r="I12" s="1736"/>
      <c r="J12" s="1242">
        <v>132260368</v>
      </c>
    </row>
    <row r="13" spans="1:11" s="1731" customFormat="1" ht="19.149999999999999" customHeight="1" x14ac:dyDescent="0.4">
      <c r="A13" s="1724"/>
      <c r="B13" s="3725"/>
      <c r="C13" s="1737" t="s">
        <v>66</v>
      </c>
      <c r="D13" s="1195" t="s">
        <v>67</v>
      </c>
      <c r="E13" s="389">
        <f t="shared" ref="E13:E54" si="0">J13-I13-H13-F13</f>
        <v>4149589999</v>
      </c>
      <c r="F13" s="1738"/>
      <c r="G13" s="1738"/>
      <c r="H13" s="1738"/>
      <c r="I13" s="1738"/>
      <c r="J13" s="1245">
        <v>4149589999</v>
      </c>
    </row>
    <row r="14" spans="1:11" s="1731" customFormat="1" ht="19.149999999999999" customHeight="1" x14ac:dyDescent="0.4">
      <c r="A14" s="1724"/>
      <c r="B14" s="3725"/>
      <c r="C14" s="1737" t="s">
        <v>68</v>
      </c>
      <c r="D14" s="1195" t="s">
        <v>70</v>
      </c>
      <c r="E14" s="389">
        <f t="shared" si="0"/>
        <v>197774479243</v>
      </c>
      <c r="F14" s="1738"/>
      <c r="G14" s="1738"/>
      <c r="H14" s="1738"/>
      <c r="I14" s="1738">
        <v>1799970000</v>
      </c>
      <c r="J14" s="1739">
        <v>199574449243</v>
      </c>
    </row>
    <row r="15" spans="1:11" s="1731" customFormat="1" ht="19.149999999999999" customHeight="1" x14ac:dyDescent="0.4">
      <c r="A15" s="1724"/>
      <c r="B15" s="3725"/>
      <c r="C15" s="1737" t="s">
        <v>161</v>
      </c>
      <c r="D15" s="1195" t="s">
        <v>202</v>
      </c>
      <c r="E15" s="389">
        <f t="shared" si="0"/>
        <v>1091745528</v>
      </c>
      <c r="F15" s="1738"/>
      <c r="G15" s="1738"/>
      <c r="H15" s="1738"/>
      <c r="I15" s="1738"/>
      <c r="J15" s="1245">
        <v>1091745528</v>
      </c>
    </row>
    <row r="16" spans="1:11" s="1731" customFormat="1" ht="19.149999999999999" customHeight="1" x14ac:dyDescent="0.4">
      <c r="A16" s="1724"/>
      <c r="B16" s="3725"/>
      <c r="C16" s="1737" t="s">
        <v>69</v>
      </c>
      <c r="D16" s="1195" t="s">
        <v>70</v>
      </c>
      <c r="E16" s="389">
        <f t="shared" si="0"/>
        <v>12651843711</v>
      </c>
      <c r="F16" s="1738"/>
      <c r="G16" s="1738"/>
      <c r="H16" s="1738"/>
      <c r="I16" s="1738"/>
      <c r="J16" s="1245">
        <v>12651843711</v>
      </c>
    </row>
    <row r="17" spans="1:10" s="1731" customFormat="1" ht="19.149999999999999" customHeight="1" x14ac:dyDescent="0.4">
      <c r="A17" s="1724"/>
      <c r="B17" s="3725"/>
      <c r="C17" s="1737">
        <v>1307002010</v>
      </c>
      <c r="D17" s="1195" t="s">
        <v>592</v>
      </c>
      <c r="E17" s="389">
        <f t="shared" si="0"/>
        <v>6627375015801</v>
      </c>
      <c r="F17" s="1738">
        <v>20000000000</v>
      </c>
      <c r="G17" s="1738"/>
      <c r="H17" s="1738"/>
      <c r="I17" s="1738">
        <v>36728592739</v>
      </c>
      <c r="J17" s="1740">
        <v>6684103608540</v>
      </c>
    </row>
    <row r="18" spans="1:10" s="1731" customFormat="1" ht="19.149999999999999" customHeight="1" x14ac:dyDescent="0.4">
      <c r="A18" s="1724"/>
      <c r="B18" s="3725"/>
      <c r="C18" s="1741">
        <v>1307002080</v>
      </c>
      <c r="D18" s="1195" t="s">
        <v>323</v>
      </c>
      <c r="E18" s="389">
        <f t="shared" si="0"/>
        <v>12025309681215</v>
      </c>
      <c r="F18" s="1738">
        <v>123530811438</v>
      </c>
      <c r="G18" s="1738"/>
      <c r="H18" s="1738"/>
      <c r="I18" s="1738">
        <v>8702705825</v>
      </c>
      <c r="J18" s="1742">
        <v>12157543198478</v>
      </c>
    </row>
    <row r="19" spans="1:10" s="1731" customFormat="1" ht="19.149999999999999" customHeight="1" x14ac:dyDescent="0.4">
      <c r="A19" s="1724"/>
      <c r="B19" s="3725"/>
      <c r="C19" s="1737">
        <v>1503002046</v>
      </c>
      <c r="D19" s="1195" t="s">
        <v>83</v>
      </c>
      <c r="E19" s="389">
        <f t="shared" si="0"/>
        <v>4778626319298</v>
      </c>
      <c r="F19" s="1738">
        <v>3785856000</v>
      </c>
      <c r="G19" s="1738"/>
      <c r="H19" s="1738"/>
      <c r="I19" s="1738"/>
      <c r="J19" s="1740">
        <v>4782412175298</v>
      </c>
    </row>
    <row r="20" spans="1:10" s="1731" customFormat="1" ht="19.149999999999999" customHeight="1" x14ac:dyDescent="0.4">
      <c r="A20" s="1724"/>
      <c r="B20" s="3725"/>
      <c r="C20" s="1737">
        <v>1503002096</v>
      </c>
      <c r="D20" s="1195" t="s">
        <v>84</v>
      </c>
      <c r="E20" s="389">
        <f t="shared" si="0"/>
        <v>471000487655</v>
      </c>
      <c r="F20" s="1738">
        <v>2684282237</v>
      </c>
      <c r="G20" s="1738"/>
      <c r="H20" s="1738"/>
      <c r="I20" s="1738"/>
      <c r="J20" s="1743">
        <v>473684769892</v>
      </c>
    </row>
    <row r="21" spans="1:10" s="1731" customFormat="1" ht="19.149999999999999" customHeight="1" x14ac:dyDescent="0.4">
      <c r="A21" s="1724"/>
      <c r="B21" s="3725"/>
      <c r="C21" s="1737">
        <v>1503002173</v>
      </c>
      <c r="D21" s="1195" t="s">
        <v>85</v>
      </c>
      <c r="E21" s="389">
        <f t="shared" si="0"/>
        <v>1981522422326</v>
      </c>
      <c r="F21" s="1738">
        <v>1809125000</v>
      </c>
      <c r="G21" s="1738"/>
      <c r="H21" s="1738"/>
      <c r="I21" s="1738"/>
      <c r="J21" s="1739">
        <v>1983331547326</v>
      </c>
    </row>
    <row r="22" spans="1:10" s="1731" customFormat="1" ht="19.149999999999999" customHeight="1" x14ac:dyDescent="0.4">
      <c r="A22" s="1724"/>
      <c r="B22" s="3725"/>
      <c r="C22" s="1737">
        <v>1503002067</v>
      </c>
      <c r="D22" s="1195" t="s">
        <v>86</v>
      </c>
      <c r="E22" s="389">
        <f t="shared" si="0"/>
        <v>138236845300</v>
      </c>
      <c r="F22" s="1738"/>
      <c r="G22" s="1738"/>
      <c r="H22" s="1738"/>
      <c r="I22" s="1738">
        <v>7693315138</v>
      </c>
      <c r="J22" s="1739">
        <v>145930160438</v>
      </c>
    </row>
    <row r="23" spans="1:10" s="1731" customFormat="1" ht="19.149999999999999" customHeight="1" x14ac:dyDescent="0.4">
      <c r="A23" s="1724"/>
      <c r="B23" s="3725"/>
      <c r="C23" s="1737">
        <v>1307006001</v>
      </c>
      <c r="D23" s="1195" t="s">
        <v>87</v>
      </c>
      <c r="E23" s="389">
        <f t="shared" si="0"/>
        <v>936236885016</v>
      </c>
      <c r="F23" s="1738"/>
      <c r="G23" s="1738"/>
      <c r="H23" s="1738"/>
      <c r="I23" s="1738">
        <v>4147011403</v>
      </c>
      <c r="J23" s="1739">
        <v>940383896419</v>
      </c>
    </row>
    <row r="24" spans="1:10" s="1731" customFormat="1" ht="19.149999999999999" customHeight="1" x14ac:dyDescent="0.4">
      <c r="A24" s="1724"/>
      <c r="B24" s="3725"/>
      <c r="C24" s="1737" t="s">
        <v>89</v>
      </c>
      <c r="D24" s="1195" t="s">
        <v>255</v>
      </c>
      <c r="E24" s="389">
        <f t="shared" si="0"/>
        <v>9513088116</v>
      </c>
      <c r="F24" s="1738"/>
      <c r="G24" s="1738"/>
      <c r="H24" s="1738"/>
      <c r="I24" s="1738"/>
      <c r="J24" s="551">
        <v>9513088116</v>
      </c>
    </row>
    <row r="25" spans="1:10" s="1731" customFormat="1" ht="19.149999999999999" customHeight="1" x14ac:dyDescent="0.4">
      <c r="A25" s="1724"/>
      <c r="B25" s="3725"/>
      <c r="C25" s="1737" t="s">
        <v>90</v>
      </c>
      <c r="D25" s="1195" t="s">
        <v>91</v>
      </c>
      <c r="E25" s="389">
        <f t="shared" si="0"/>
        <v>44699028477</v>
      </c>
      <c r="F25" s="1738"/>
      <c r="G25" s="1738"/>
      <c r="H25" s="1738"/>
      <c r="I25" s="1738"/>
      <c r="J25" s="1739">
        <v>44699028477</v>
      </c>
    </row>
    <row r="26" spans="1:10" s="1731" customFormat="1" ht="19.149999999999999" customHeight="1" x14ac:dyDescent="0.4">
      <c r="A26" s="1724"/>
      <c r="B26" s="3725"/>
      <c r="C26" s="1737" t="s">
        <v>92</v>
      </c>
      <c r="D26" s="1195" t="s">
        <v>93</v>
      </c>
      <c r="E26" s="389">
        <f t="shared" si="0"/>
        <v>15544896962</v>
      </c>
      <c r="F26" s="1738"/>
      <c r="G26" s="1738"/>
      <c r="H26" s="1738"/>
      <c r="I26" s="1738"/>
      <c r="J26" s="1245">
        <v>15544896962</v>
      </c>
    </row>
    <row r="27" spans="1:10" s="1731" customFormat="1" ht="19.149999999999999" customHeight="1" x14ac:dyDescent="0.4">
      <c r="A27" s="1724"/>
      <c r="B27" s="3725"/>
      <c r="C27" s="1737" t="s">
        <v>98</v>
      </c>
      <c r="D27" s="1197" t="s">
        <v>219</v>
      </c>
      <c r="E27" s="389">
        <f t="shared" si="0"/>
        <v>62575447</v>
      </c>
      <c r="F27" s="1738"/>
      <c r="G27" s="1738"/>
      <c r="H27" s="1738"/>
      <c r="I27" s="1738"/>
      <c r="J27" s="550">
        <v>62575447</v>
      </c>
    </row>
    <row r="28" spans="1:10" s="1731" customFormat="1" ht="19.149999999999999" customHeight="1" x14ac:dyDescent="0.4">
      <c r="A28" s="1724"/>
      <c r="B28" s="3725"/>
      <c r="C28" s="1737" t="s">
        <v>206</v>
      </c>
      <c r="D28" s="1197" t="s">
        <v>207</v>
      </c>
      <c r="E28" s="389">
        <f t="shared" si="0"/>
        <v>94010044538</v>
      </c>
      <c r="F28" s="1738"/>
      <c r="G28" s="1738"/>
      <c r="H28" s="1738"/>
      <c r="I28" s="1738">
        <v>213000000</v>
      </c>
      <c r="J28" s="551">
        <v>94223044538</v>
      </c>
    </row>
    <row r="29" spans="1:10" s="1731" customFormat="1" ht="19.149999999999999" customHeight="1" x14ac:dyDescent="0.4">
      <c r="A29" s="1724"/>
      <c r="B29" s="3725"/>
      <c r="C29" s="1737" t="s">
        <v>162</v>
      </c>
      <c r="D29" s="1197" t="s">
        <v>256</v>
      </c>
      <c r="E29" s="389">
        <f t="shared" si="0"/>
        <v>3668152317</v>
      </c>
      <c r="F29" s="1738"/>
      <c r="G29" s="1738"/>
      <c r="H29" s="1738"/>
      <c r="I29" s="1738"/>
      <c r="J29" s="1245">
        <v>3668152317</v>
      </c>
    </row>
    <row r="30" spans="1:10" s="1731" customFormat="1" ht="19.149999999999999" customHeight="1" x14ac:dyDescent="0.4">
      <c r="A30" s="1724"/>
      <c r="B30" s="3725"/>
      <c r="C30" s="1737" t="s">
        <v>103</v>
      </c>
      <c r="D30" s="1197" t="s">
        <v>208</v>
      </c>
      <c r="E30" s="389">
        <f t="shared" si="0"/>
        <v>465000000</v>
      </c>
      <c r="F30" s="1738"/>
      <c r="G30" s="1738"/>
      <c r="H30" s="1738"/>
      <c r="I30" s="1738"/>
      <c r="J30" s="1245">
        <v>465000000</v>
      </c>
    </row>
    <row r="31" spans="1:10" s="1731" customFormat="1" ht="19.149999999999999" customHeight="1" x14ac:dyDescent="0.4">
      <c r="A31" s="1724"/>
      <c r="B31" s="3725"/>
      <c r="C31" s="1737" t="s">
        <v>163</v>
      </c>
      <c r="D31" s="1197" t="s">
        <v>348</v>
      </c>
      <c r="E31" s="389">
        <f t="shared" si="0"/>
        <v>2678290758</v>
      </c>
      <c r="F31" s="1738"/>
      <c r="G31" s="1738"/>
      <c r="H31" s="1738"/>
      <c r="I31" s="1738"/>
      <c r="J31" s="551">
        <v>2678290758</v>
      </c>
    </row>
    <row r="32" spans="1:10" s="1731" customFormat="1" ht="19.149999999999999" customHeight="1" x14ac:dyDescent="0.4">
      <c r="A32" s="1724"/>
      <c r="B32" s="3725"/>
      <c r="C32" s="1737" t="s">
        <v>104</v>
      </c>
      <c r="D32" s="1197" t="s">
        <v>198</v>
      </c>
      <c r="E32" s="389">
        <f t="shared" si="0"/>
        <v>44621974869</v>
      </c>
      <c r="F32" s="1738"/>
      <c r="G32" s="1738"/>
      <c r="H32" s="1738"/>
      <c r="I32" s="1738"/>
      <c r="J32" s="551">
        <v>44621974869</v>
      </c>
    </row>
    <row r="33" spans="1:10" s="1731" customFormat="1" ht="19.149999999999999" customHeight="1" x14ac:dyDescent="0.4">
      <c r="A33" s="1724"/>
      <c r="B33" s="3725"/>
      <c r="C33" s="1737" t="s">
        <v>292</v>
      </c>
      <c r="D33" s="1197" t="s">
        <v>293</v>
      </c>
      <c r="E33" s="389">
        <f t="shared" si="0"/>
        <v>23817152</v>
      </c>
      <c r="F33" s="1738"/>
      <c r="G33" s="1738"/>
      <c r="H33" s="1738"/>
      <c r="I33" s="1738"/>
      <c r="J33" s="1245">
        <v>23817152</v>
      </c>
    </row>
    <row r="34" spans="1:10" s="1731" customFormat="1" ht="19.149999999999999" customHeight="1" x14ac:dyDescent="0.4">
      <c r="A34" s="1724"/>
      <c r="B34" s="3725"/>
      <c r="C34" s="1737" t="s">
        <v>164</v>
      </c>
      <c r="D34" s="1197" t="s">
        <v>211</v>
      </c>
      <c r="E34" s="389">
        <f t="shared" si="0"/>
        <v>2415021726</v>
      </c>
      <c r="F34" s="1738"/>
      <c r="G34" s="1738"/>
      <c r="H34" s="1738"/>
      <c r="I34" s="1738"/>
      <c r="J34" s="1245">
        <v>2415021726</v>
      </c>
    </row>
    <row r="35" spans="1:10" s="1731" customFormat="1" ht="19.149999999999999" customHeight="1" x14ac:dyDescent="0.4">
      <c r="A35" s="1724"/>
      <c r="B35" s="3725"/>
      <c r="C35" s="1737" t="s">
        <v>165</v>
      </c>
      <c r="D35" s="1197" t="s">
        <v>212</v>
      </c>
      <c r="E35" s="389">
        <f t="shared" si="0"/>
        <v>8027244415</v>
      </c>
      <c r="F35" s="1738"/>
      <c r="G35" s="1738"/>
      <c r="H35" s="1738"/>
      <c r="I35" s="1744"/>
      <c r="J35" s="1270">
        <v>8027244415</v>
      </c>
    </row>
    <row r="36" spans="1:10" s="1731" customFormat="1" ht="19.149999999999999" customHeight="1" x14ac:dyDescent="0.4">
      <c r="A36" s="1724"/>
      <c r="B36" s="3725"/>
      <c r="C36" s="1737" t="s">
        <v>115</v>
      </c>
      <c r="D36" s="1197" t="s">
        <v>116</v>
      </c>
      <c r="E36" s="389">
        <f t="shared" si="0"/>
        <v>1152387557</v>
      </c>
      <c r="F36" s="1738"/>
      <c r="G36" s="1738"/>
      <c r="H36" s="1738"/>
      <c r="I36" s="1738"/>
      <c r="J36" s="1255">
        <v>1152387557</v>
      </c>
    </row>
    <row r="37" spans="1:10" s="1731" customFormat="1" ht="19.149999999999999" customHeight="1" x14ac:dyDescent="0.4">
      <c r="A37" s="1724"/>
      <c r="B37" s="3725"/>
      <c r="C37" s="1737">
        <v>1502001005</v>
      </c>
      <c r="D37" s="1197" t="s">
        <v>233</v>
      </c>
      <c r="E37" s="389">
        <f t="shared" si="0"/>
        <v>626068197952</v>
      </c>
      <c r="F37" s="1738">
        <v>5084200440</v>
      </c>
      <c r="G37" s="1738"/>
      <c r="H37" s="1738"/>
      <c r="I37" s="1738">
        <v>1458411200</v>
      </c>
      <c r="J37" s="550">
        <v>632610809592</v>
      </c>
    </row>
    <row r="38" spans="1:10" s="1731" customFormat="1" ht="19.149999999999999" customHeight="1" x14ac:dyDescent="0.4">
      <c r="A38" s="1724"/>
      <c r="B38" s="3725"/>
      <c r="C38" s="1737" t="s">
        <v>234</v>
      </c>
      <c r="D38" s="1197" t="s">
        <v>235</v>
      </c>
      <c r="E38" s="389">
        <f t="shared" si="0"/>
        <v>17792490373</v>
      </c>
      <c r="F38" s="1738"/>
      <c r="G38" s="1738"/>
      <c r="H38" s="1738"/>
      <c r="I38" s="1738">
        <v>542013070</v>
      </c>
      <c r="J38" s="550">
        <v>18334503443</v>
      </c>
    </row>
    <row r="39" spans="1:10" s="1731" customFormat="1" ht="19.149999999999999" customHeight="1" x14ac:dyDescent="0.4">
      <c r="A39" s="1724"/>
      <c r="B39" s="3725"/>
      <c r="C39" s="1737" t="s">
        <v>187</v>
      </c>
      <c r="D39" s="1199" t="s">
        <v>188</v>
      </c>
      <c r="E39" s="389">
        <f t="shared" si="0"/>
        <v>37277039987</v>
      </c>
      <c r="F39" s="1738"/>
      <c r="G39" s="1738"/>
      <c r="H39" s="1738"/>
      <c r="I39" s="1738">
        <v>4161379375</v>
      </c>
      <c r="J39" s="1255">
        <v>41438419362</v>
      </c>
    </row>
    <row r="40" spans="1:10" s="1731" customFormat="1" ht="19.149999999999999" customHeight="1" x14ac:dyDescent="0.4">
      <c r="A40" s="1724"/>
      <c r="B40" s="3725"/>
      <c r="C40" s="1745" t="s">
        <v>213</v>
      </c>
      <c r="D40" s="1200" t="s">
        <v>214</v>
      </c>
      <c r="E40" s="389">
        <f t="shared" si="0"/>
        <v>4030897320</v>
      </c>
      <c r="F40" s="1738"/>
      <c r="G40" s="1738"/>
      <c r="H40" s="1738"/>
      <c r="I40" s="1738"/>
      <c r="J40" s="1255">
        <v>4030897320</v>
      </c>
    </row>
    <row r="41" spans="1:10" s="1731" customFormat="1" ht="19.149999999999999" customHeight="1" x14ac:dyDescent="0.4">
      <c r="A41" s="1724"/>
      <c r="B41" s="3725"/>
      <c r="C41" s="1745" t="s">
        <v>130</v>
      </c>
      <c r="D41" s="1200" t="s">
        <v>131</v>
      </c>
      <c r="E41" s="389">
        <f t="shared" si="0"/>
        <v>1312190712</v>
      </c>
      <c r="F41" s="1738"/>
      <c r="G41" s="1738"/>
      <c r="H41" s="1738"/>
      <c r="I41" s="1738">
        <v>330000000</v>
      </c>
      <c r="J41" s="550">
        <v>1642190712</v>
      </c>
    </row>
    <row r="42" spans="1:10" s="1731" customFormat="1" ht="19.149999999999999" customHeight="1" x14ac:dyDescent="0.4">
      <c r="A42" s="1724"/>
      <c r="B42" s="3725"/>
      <c r="C42" s="1745" t="s">
        <v>157</v>
      </c>
      <c r="D42" s="1200" t="s">
        <v>133</v>
      </c>
      <c r="E42" s="389">
        <f t="shared" si="0"/>
        <v>1101577481</v>
      </c>
      <c r="F42" s="1738"/>
      <c r="G42" s="1738"/>
      <c r="H42" s="1738"/>
      <c r="I42" s="1738">
        <v>5085272931</v>
      </c>
      <c r="J42" s="1255">
        <v>6186850412</v>
      </c>
    </row>
    <row r="43" spans="1:10" s="1731" customFormat="1" ht="19.149999999999999" customHeight="1" x14ac:dyDescent="0.4">
      <c r="A43" s="1724"/>
      <c r="B43" s="3725"/>
      <c r="C43" s="1737" t="s">
        <v>287</v>
      </c>
      <c r="D43" s="1197" t="s">
        <v>202</v>
      </c>
      <c r="E43" s="389">
        <f t="shared" si="0"/>
        <v>624208200</v>
      </c>
      <c r="F43" s="1738">
        <v>222536400</v>
      </c>
      <c r="G43" s="1738"/>
      <c r="H43" s="1738"/>
      <c r="I43" s="1738"/>
      <c r="J43" s="1255">
        <v>846744600</v>
      </c>
    </row>
    <row r="44" spans="1:10" s="1731" customFormat="1" ht="19.149999999999999" customHeight="1" x14ac:dyDescent="0.4">
      <c r="A44" s="1724"/>
      <c r="B44" s="3725"/>
      <c r="C44" s="1737">
        <v>10224056</v>
      </c>
      <c r="D44" s="1197" t="s">
        <v>354</v>
      </c>
      <c r="E44" s="389">
        <f t="shared" si="0"/>
        <v>7418064927</v>
      </c>
      <c r="F44" s="1738"/>
      <c r="G44" s="1738"/>
      <c r="H44" s="1738"/>
      <c r="I44" s="1738"/>
      <c r="J44" s="1746">
        <v>7418064927</v>
      </c>
    </row>
    <row r="45" spans="1:10" s="1731" customFormat="1" ht="19.149999999999999" customHeight="1" x14ac:dyDescent="0.4">
      <c r="A45" s="1724"/>
      <c r="B45" s="3725"/>
      <c r="C45" s="1737" t="s">
        <v>300</v>
      </c>
      <c r="D45" s="1197" t="s">
        <v>356</v>
      </c>
      <c r="E45" s="389">
        <f t="shared" si="0"/>
        <v>99525667</v>
      </c>
      <c r="F45" s="1738"/>
      <c r="G45" s="1744"/>
      <c r="H45" s="1744"/>
      <c r="I45" s="1738"/>
      <c r="J45" s="1255">
        <v>99525667</v>
      </c>
    </row>
    <row r="46" spans="1:10" s="1731" customFormat="1" ht="19.149999999999999" customHeight="1" x14ac:dyDescent="0.4">
      <c r="A46" s="1724"/>
      <c r="B46" s="3725"/>
      <c r="C46" s="1747" t="s">
        <v>248</v>
      </c>
      <c r="D46" s="1197" t="s">
        <v>249</v>
      </c>
      <c r="E46" s="389">
        <f t="shared" si="0"/>
        <v>1119057343</v>
      </c>
      <c r="F46" s="1738"/>
      <c r="G46" s="1738"/>
      <c r="H46" s="1738"/>
      <c r="I46" s="1738"/>
      <c r="J46" s="1255">
        <v>1119057343</v>
      </c>
    </row>
    <row r="47" spans="1:10" s="1731" customFormat="1" ht="19.149999999999999" customHeight="1" x14ac:dyDescent="0.4">
      <c r="A47" s="1724"/>
      <c r="B47" s="3725"/>
      <c r="C47" s="1737" t="s">
        <v>285</v>
      </c>
      <c r="D47" s="1197" t="str">
        <f>"تكميل مخزن 2000 متر مكعبي و تاسيسات آب شرب جزيره هرمز"</f>
        <v>تكميل مخزن 2000 متر مكعبي و تاسيسات آب شرب جزيره هرمز</v>
      </c>
      <c r="E47" s="389">
        <f t="shared" si="0"/>
        <v>658337021</v>
      </c>
      <c r="F47" s="1738"/>
      <c r="G47" s="1738"/>
      <c r="H47" s="1738"/>
      <c r="I47" s="1738"/>
      <c r="J47" s="1255">
        <v>658337021</v>
      </c>
    </row>
    <row r="48" spans="1:10" s="1731" customFormat="1" ht="19.149999999999999" customHeight="1" x14ac:dyDescent="0.4">
      <c r="A48" s="1724"/>
      <c r="B48" s="3725"/>
      <c r="C48" s="1737" t="s">
        <v>361</v>
      </c>
      <c r="D48" s="1197" t="s">
        <v>362</v>
      </c>
      <c r="E48" s="389">
        <f t="shared" si="0"/>
        <v>468060640</v>
      </c>
      <c r="F48" s="1738"/>
      <c r="G48" s="1738"/>
      <c r="H48" s="1738"/>
      <c r="I48" s="1736"/>
      <c r="J48" s="1296">
        <v>468060640</v>
      </c>
    </row>
    <row r="49" spans="1:10" s="1731" customFormat="1" ht="19.149999999999999" customHeight="1" x14ac:dyDescent="0.4">
      <c r="A49" s="1724"/>
      <c r="B49" s="3725"/>
      <c r="C49" s="1748" t="s">
        <v>73</v>
      </c>
      <c r="D49" s="1197" t="s">
        <v>74</v>
      </c>
      <c r="E49" s="389">
        <f t="shared" si="0"/>
        <v>2917489971</v>
      </c>
      <c r="F49" s="1738"/>
      <c r="G49" s="1738"/>
      <c r="H49" s="1738"/>
      <c r="I49" s="1738"/>
      <c r="J49" s="1245">
        <v>2917489971</v>
      </c>
    </row>
    <row r="50" spans="1:10" s="1731" customFormat="1" ht="19.149999999999999" customHeight="1" x14ac:dyDescent="0.4">
      <c r="A50" s="1724"/>
      <c r="B50" s="3725"/>
      <c r="C50" s="1737" t="s">
        <v>111</v>
      </c>
      <c r="D50" s="1197" t="s">
        <v>112</v>
      </c>
      <c r="E50" s="389">
        <f t="shared" si="0"/>
        <v>1769000000</v>
      </c>
      <c r="F50" s="1736"/>
      <c r="G50" s="1738"/>
      <c r="H50" s="1738"/>
      <c r="I50" s="1738"/>
      <c r="J50" s="1245">
        <v>1769000000</v>
      </c>
    </row>
    <row r="51" spans="1:10" s="1731" customFormat="1" ht="19.149999999999999" customHeight="1" x14ac:dyDescent="0.4">
      <c r="A51" s="1724"/>
      <c r="B51" s="3725"/>
      <c r="C51" s="1737" t="s">
        <v>363</v>
      </c>
      <c r="D51" s="1197" t="s">
        <v>364</v>
      </c>
      <c r="E51" s="389">
        <f t="shared" si="0"/>
        <v>63243000000</v>
      </c>
      <c r="F51" s="1744"/>
      <c r="G51" s="1744"/>
      <c r="H51" s="1744"/>
      <c r="I51" s="1744"/>
      <c r="J51" s="1245">
        <v>63243000000</v>
      </c>
    </row>
    <row r="52" spans="1:10" s="1731" customFormat="1" ht="19.149999999999999" customHeight="1" x14ac:dyDescent="0.4">
      <c r="A52" s="1724"/>
      <c r="B52" s="3725"/>
      <c r="C52" s="1737" t="s">
        <v>182</v>
      </c>
      <c r="D52" s="1197" t="s">
        <v>335</v>
      </c>
      <c r="E52" s="389">
        <f t="shared" si="0"/>
        <v>3813190205</v>
      </c>
      <c r="F52" s="1738"/>
      <c r="G52" s="1738"/>
      <c r="H52" s="1738"/>
      <c r="I52" s="1738"/>
      <c r="J52" s="1740">
        <v>3813190205</v>
      </c>
    </row>
    <row r="53" spans="1:10" s="1731" customFormat="1" ht="19.149999999999999" customHeight="1" x14ac:dyDescent="0.4">
      <c r="A53" s="1724"/>
      <c r="B53" s="3725"/>
      <c r="C53" s="1737">
        <v>1503003007</v>
      </c>
      <c r="D53" s="1197" t="s">
        <v>538</v>
      </c>
      <c r="E53" s="389">
        <f t="shared" si="0"/>
        <v>56126243584</v>
      </c>
      <c r="F53" s="1738"/>
      <c r="G53" s="1738"/>
      <c r="H53" s="1738"/>
      <c r="I53" s="1738"/>
      <c r="J53" s="550">
        <v>56126243584</v>
      </c>
    </row>
    <row r="54" spans="1:10" s="1731" customFormat="1" ht="19.149999999999999" customHeight="1" x14ac:dyDescent="0.4">
      <c r="A54" s="1724"/>
      <c r="B54" s="3725"/>
      <c r="C54" s="214" t="s">
        <v>366</v>
      </c>
      <c r="D54" s="1197" t="s">
        <v>367</v>
      </c>
      <c r="E54" s="389">
        <f t="shared" si="0"/>
        <v>19021350784</v>
      </c>
      <c r="F54" s="1749">
        <v>1576270616</v>
      </c>
      <c r="G54" s="1738"/>
      <c r="H54" s="1738"/>
      <c r="I54" s="1738"/>
      <c r="J54" s="1244">
        <v>20597621400</v>
      </c>
    </row>
    <row r="55" spans="1:10" s="1731" customFormat="1" ht="19.149999999999999" customHeight="1" x14ac:dyDescent="0.4">
      <c r="A55" s="1724"/>
      <c r="B55" s="3725"/>
      <c r="C55" s="1750"/>
      <c r="D55" s="1751"/>
      <c r="E55" s="389">
        <f t="shared" ref="E55" si="1">J55-I55-H55-F55</f>
        <v>0</v>
      </c>
      <c r="F55" s="1736"/>
      <c r="G55" s="1736"/>
      <c r="H55" s="1736"/>
      <c r="I55" s="1736"/>
      <c r="J55" s="1740"/>
    </row>
    <row r="56" spans="1:10" s="1731" customFormat="1" ht="19.149999999999999" customHeight="1" x14ac:dyDescent="0.2">
      <c r="A56" s="1724"/>
      <c r="B56" s="3726"/>
      <c r="C56" s="3712" t="s">
        <v>94</v>
      </c>
      <c r="D56" s="3713"/>
      <c r="E56" s="1752">
        <f>SUM(E12:E55)</f>
        <v>28245849019961</v>
      </c>
      <c r="F56" s="1752">
        <f>SUM(F12:F55)</f>
        <v>158693082131</v>
      </c>
      <c r="G56" s="1752">
        <f>SUM(G12:G45)</f>
        <v>0</v>
      </c>
      <c r="H56" s="1752">
        <f>SUM(H12:H45)</f>
        <v>0</v>
      </c>
      <c r="I56" s="1752">
        <f>SUM(I12:I45)</f>
        <v>70861671681</v>
      </c>
      <c r="J56" s="1753">
        <f>SUM(J12:J55)</f>
        <v>28475403773773</v>
      </c>
    </row>
    <row r="57" spans="1:10" s="1731" customFormat="1" ht="19.149999999999999" customHeight="1" x14ac:dyDescent="0.2">
      <c r="A57" s="3714" t="s">
        <v>1340</v>
      </c>
      <c r="B57" s="3714"/>
      <c r="C57" s="3714"/>
      <c r="D57" s="3714"/>
      <c r="E57" s="3714"/>
      <c r="F57" s="3714"/>
      <c r="G57" s="3714"/>
      <c r="H57" s="3714"/>
      <c r="I57" s="3714"/>
      <c r="J57" s="3714"/>
    </row>
    <row r="58" spans="1:10" s="1731" customFormat="1" ht="19.149999999999999" customHeight="1" x14ac:dyDescent="0.2">
      <c r="A58" s="3300" t="s">
        <v>295</v>
      </c>
      <c r="B58" s="3300"/>
      <c r="C58" s="3300"/>
      <c r="D58" s="3300"/>
      <c r="E58" s="3300"/>
      <c r="F58" s="3300"/>
      <c r="G58" s="3300"/>
      <c r="H58" s="3300"/>
      <c r="I58" s="3300"/>
      <c r="J58" s="3300"/>
    </row>
    <row r="59" spans="1:10" s="1731" customFormat="1" ht="19.149999999999999" customHeight="1" x14ac:dyDescent="0.2">
      <c r="A59" s="3300" t="s">
        <v>45</v>
      </c>
      <c r="B59" s="3300"/>
      <c r="C59" s="3300"/>
      <c r="D59" s="3300"/>
      <c r="E59" s="3300"/>
      <c r="F59" s="3300"/>
      <c r="G59" s="3300"/>
      <c r="H59" s="3300"/>
      <c r="I59" s="3300"/>
      <c r="J59" s="3300"/>
    </row>
    <row r="60" spans="1:10" s="1731" customFormat="1" ht="19.149999999999999" customHeight="1" x14ac:dyDescent="0.2">
      <c r="A60" s="3300" t="s">
        <v>46</v>
      </c>
      <c r="B60" s="3300"/>
      <c r="C60" s="3300"/>
      <c r="D60" s="3300"/>
      <c r="E60" s="3300"/>
      <c r="F60" s="3300"/>
      <c r="G60" s="3300"/>
      <c r="H60" s="3300"/>
      <c r="I60" s="3300"/>
      <c r="J60" s="3300"/>
    </row>
    <row r="61" spans="1:10" s="1731" customFormat="1" ht="19.149999999999999" customHeight="1" x14ac:dyDescent="0.2">
      <c r="A61" s="3721" t="s">
        <v>1992</v>
      </c>
      <c r="B61" s="3721"/>
      <c r="C61" s="3721"/>
      <c r="D61" s="3721"/>
      <c r="E61" s="3721"/>
      <c r="F61" s="3721"/>
      <c r="G61" s="3721"/>
      <c r="H61" s="3721"/>
      <c r="I61" s="3721"/>
      <c r="J61" s="3721"/>
    </row>
    <row r="62" spans="1:10" s="1731" customFormat="1" ht="19.149999999999999" customHeight="1" x14ac:dyDescent="0.35">
      <c r="A62" s="1724"/>
      <c r="B62" s="3715" t="s">
        <v>1302</v>
      </c>
      <c r="C62" s="3715"/>
      <c r="D62" s="3715"/>
      <c r="E62" s="3715"/>
      <c r="F62" s="3715"/>
      <c r="G62" s="3715"/>
      <c r="H62" s="3715"/>
      <c r="I62" s="3718" t="s">
        <v>194</v>
      </c>
      <c r="J62" s="3718"/>
    </row>
    <row r="63" spans="1:10" s="1731" customFormat="1" ht="19.149999999999999" customHeight="1" x14ac:dyDescent="0.45">
      <c r="A63" s="1724"/>
      <c r="B63" s="3724" t="s">
        <v>180</v>
      </c>
      <c r="C63" s="3742" t="s">
        <v>196</v>
      </c>
      <c r="D63" s="3733" t="s">
        <v>197</v>
      </c>
      <c r="E63" s="3716" t="s">
        <v>381</v>
      </c>
      <c r="F63" s="3717"/>
      <c r="G63" s="3717"/>
      <c r="H63" s="3717"/>
      <c r="I63" s="3717"/>
      <c r="J63" s="3719" t="s">
        <v>27</v>
      </c>
    </row>
    <row r="64" spans="1:10" s="1731" customFormat="1" ht="19.149999999999999" customHeight="1" x14ac:dyDescent="0.45">
      <c r="A64" s="1724"/>
      <c r="B64" s="3725"/>
      <c r="C64" s="3742"/>
      <c r="D64" s="3733"/>
      <c r="E64" s="1754" t="s">
        <v>1280</v>
      </c>
      <c r="F64" s="1755" t="s">
        <v>1281</v>
      </c>
      <c r="G64" s="1755"/>
      <c r="H64" s="1755" t="s">
        <v>1282</v>
      </c>
      <c r="I64" s="1755" t="s">
        <v>1283</v>
      </c>
      <c r="J64" s="3720"/>
    </row>
    <row r="65" spans="1:10" s="1731" customFormat="1" ht="91.9" customHeight="1" x14ac:dyDescent="0.2">
      <c r="A65" s="1724"/>
      <c r="B65" s="3725"/>
      <c r="C65" s="3742"/>
      <c r="D65" s="3733"/>
      <c r="E65" s="1756" t="s">
        <v>1284</v>
      </c>
      <c r="F65" s="1757" t="s">
        <v>1285</v>
      </c>
      <c r="G65" s="1758" t="s">
        <v>382</v>
      </c>
      <c r="H65" s="1757" t="s">
        <v>1286</v>
      </c>
      <c r="I65" s="1757" t="s">
        <v>1287</v>
      </c>
      <c r="J65" s="3720"/>
    </row>
    <row r="66" spans="1:10" s="1731" customFormat="1" ht="19.149999999999999" customHeight="1" x14ac:dyDescent="0.2">
      <c r="A66" s="1724"/>
      <c r="B66" s="3725"/>
      <c r="C66" s="3723" t="s">
        <v>993</v>
      </c>
      <c r="D66" s="3723"/>
      <c r="E66" s="1759">
        <f t="shared" ref="E66:J66" si="2">E56</f>
        <v>28245849019961</v>
      </c>
      <c r="F66" s="1759">
        <f t="shared" si="2"/>
        <v>158693082131</v>
      </c>
      <c r="G66" s="1759">
        <f t="shared" si="2"/>
        <v>0</v>
      </c>
      <c r="H66" s="1759">
        <f t="shared" si="2"/>
        <v>0</v>
      </c>
      <c r="I66" s="1759">
        <f t="shared" si="2"/>
        <v>70861671681</v>
      </c>
      <c r="J66" s="1759">
        <f t="shared" si="2"/>
        <v>28475403773773</v>
      </c>
    </row>
    <row r="67" spans="1:10" s="1731" customFormat="1" ht="19.149999999999999" customHeight="1" x14ac:dyDescent="0.2">
      <c r="A67" s="1724"/>
      <c r="B67" s="3725"/>
      <c r="C67" s="1737" t="s">
        <v>75</v>
      </c>
      <c r="D67" s="1197" t="s">
        <v>76</v>
      </c>
      <c r="E67" s="1760">
        <f>J67-I67-H67-F67</f>
        <v>199122193</v>
      </c>
      <c r="F67" s="1749"/>
      <c r="G67" s="1749"/>
      <c r="H67" s="1749"/>
      <c r="I67" s="1749"/>
      <c r="J67" s="1739">
        <v>199122193</v>
      </c>
    </row>
    <row r="68" spans="1:10" s="1731" customFormat="1" ht="19.149999999999999" customHeight="1" x14ac:dyDescent="0.2">
      <c r="A68" s="1724"/>
      <c r="B68" s="3725"/>
      <c r="C68" s="1761" t="s">
        <v>71</v>
      </c>
      <c r="D68" s="1199" t="s">
        <v>72</v>
      </c>
      <c r="E68" s="1760">
        <f t="shared" ref="E68:E109" si="3">J68-I68-H68-F68</f>
        <v>99397773</v>
      </c>
      <c r="F68" s="1749"/>
      <c r="G68" s="1749"/>
      <c r="H68" s="1749"/>
      <c r="I68" s="1749"/>
      <c r="J68" s="1245">
        <v>99397773</v>
      </c>
    </row>
    <row r="69" spans="1:10" s="1731" customFormat="1" ht="39" customHeight="1" x14ac:dyDescent="0.2">
      <c r="A69" s="1724"/>
      <c r="B69" s="3725"/>
      <c r="C69" s="1762" t="s">
        <v>176</v>
      </c>
      <c r="D69" s="1353" t="s">
        <v>177</v>
      </c>
      <c r="E69" s="1760">
        <f t="shared" si="3"/>
        <v>4678554140</v>
      </c>
      <c r="F69" s="1749"/>
      <c r="G69" s="1749"/>
      <c r="H69" s="1749"/>
      <c r="I69" s="1749"/>
      <c r="J69" s="1245">
        <v>4678554140</v>
      </c>
    </row>
    <row r="70" spans="1:10" s="1731" customFormat="1" ht="39" customHeight="1" x14ac:dyDescent="0.2">
      <c r="A70" s="1724"/>
      <c r="B70" s="3725"/>
      <c r="C70" s="1762" t="s">
        <v>178</v>
      </c>
      <c r="D70" s="1353" t="s">
        <v>179</v>
      </c>
      <c r="E70" s="1760">
        <f t="shared" si="3"/>
        <v>1062171592</v>
      </c>
      <c r="F70" s="1749"/>
      <c r="G70" s="1749"/>
      <c r="H70" s="1749"/>
      <c r="I70" s="1749"/>
      <c r="J70" s="1245">
        <v>1062171592</v>
      </c>
    </row>
    <row r="71" spans="1:10" s="1731" customFormat="1" ht="19.149999999999999" customHeight="1" x14ac:dyDescent="0.2">
      <c r="A71" s="1724"/>
      <c r="B71" s="3725"/>
      <c r="C71" s="1762" t="s">
        <v>172</v>
      </c>
      <c r="D71" s="1200" t="s">
        <v>173</v>
      </c>
      <c r="E71" s="1760">
        <f t="shared" si="3"/>
        <v>5923961972</v>
      </c>
      <c r="F71" s="1749"/>
      <c r="G71" s="1749"/>
      <c r="H71" s="1749"/>
      <c r="I71" s="1749"/>
      <c r="J71" s="1245">
        <v>5923961972</v>
      </c>
    </row>
    <row r="72" spans="1:10" s="1731" customFormat="1" ht="17.45" customHeight="1" x14ac:dyDescent="0.2">
      <c r="A72" s="1724"/>
      <c r="B72" s="3725"/>
      <c r="C72" s="1762" t="s">
        <v>174</v>
      </c>
      <c r="D72" s="1200" t="s">
        <v>175</v>
      </c>
      <c r="E72" s="1760">
        <f t="shared" si="3"/>
        <v>4622224292</v>
      </c>
      <c r="F72" s="1749"/>
      <c r="G72" s="1749"/>
      <c r="H72" s="1749"/>
      <c r="I72" s="1749"/>
      <c r="J72" s="1257">
        <v>4622224292</v>
      </c>
    </row>
    <row r="73" spans="1:10" s="1731" customFormat="1" ht="17.45" customHeight="1" x14ac:dyDescent="0.2">
      <c r="A73" s="1724"/>
      <c r="B73" s="3725"/>
      <c r="C73" s="1762" t="s">
        <v>120</v>
      </c>
      <c r="D73" s="1200" t="s">
        <v>121</v>
      </c>
      <c r="E73" s="1760">
        <f t="shared" si="3"/>
        <v>685667903</v>
      </c>
      <c r="F73" s="1749"/>
      <c r="G73" s="1749"/>
      <c r="H73" s="1749"/>
      <c r="I73" s="1749"/>
      <c r="J73" s="1255">
        <v>685667903</v>
      </c>
    </row>
    <row r="74" spans="1:10" s="1731" customFormat="1" ht="20.45" customHeight="1" x14ac:dyDescent="0.2">
      <c r="A74" s="1724"/>
      <c r="B74" s="3725"/>
      <c r="C74" s="1763" t="s">
        <v>81</v>
      </c>
      <c r="D74" s="1717" t="s">
        <v>82</v>
      </c>
      <c r="E74" s="1760">
        <f t="shared" si="3"/>
        <v>4504221530</v>
      </c>
      <c r="F74" s="1749">
        <v>238992413</v>
      </c>
      <c r="G74" s="1749"/>
      <c r="H74" s="1749"/>
      <c r="I74" s="1749"/>
      <c r="J74" s="1257">
        <v>4743213943</v>
      </c>
    </row>
    <row r="75" spans="1:10" s="1731" customFormat="1" ht="20.45" customHeight="1" x14ac:dyDescent="0.2">
      <c r="A75" s="1724"/>
      <c r="B75" s="3725"/>
      <c r="C75" s="1763" t="s">
        <v>1798</v>
      </c>
      <c r="D75" s="1717" t="s">
        <v>1797</v>
      </c>
      <c r="E75" s="1760">
        <f t="shared" si="3"/>
        <v>5157236256</v>
      </c>
      <c r="F75" s="1749"/>
      <c r="G75" s="1749"/>
      <c r="H75" s="1749"/>
      <c r="I75" s="1749"/>
      <c r="J75" s="1411">
        <v>5157236256</v>
      </c>
    </row>
    <row r="76" spans="1:10" s="1731" customFormat="1" ht="20.45" customHeight="1" x14ac:dyDescent="0.2">
      <c r="A76" s="1724"/>
      <c r="B76" s="3725"/>
      <c r="C76" s="1762">
        <v>1307006002</v>
      </c>
      <c r="D76" s="1200" t="s">
        <v>88</v>
      </c>
      <c r="E76" s="1760">
        <f t="shared" si="3"/>
        <v>12210534089</v>
      </c>
      <c r="F76" s="1749"/>
      <c r="G76" s="1749"/>
      <c r="H76" s="1749"/>
      <c r="I76" s="1749"/>
      <c r="J76" s="551">
        <v>12210534089</v>
      </c>
    </row>
    <row r="77" spans="1:10" s="1731" customFormat="1" ht="20.45" customHeight="1" x14ac:dyDescent="0.2">
      <c r="A77" s="1724"/>
      <c r="B77" s="3725"/>
      <c r="C77" s="1762" t="s">
        <v>125</v>
      </c>
      <c r="D77" s="1200" t="s">
        <v>335</v>
      </c>
      <c r="E77" s="1760">
        <f t="shared" si="3"/>
        <v>10483628483</v>
      </c>
      <c r="F77" s="1749"/>
      <c r="G77" s="1749"/>
      <c r="H77" s="1749"/>
      <c r="I77" s="1749"/>
      <c r="J77" s="551">
        <v>10483628483</v>
      </c>
    </row>
    <row r="78" spans="1:10" s="1731" customFormat="1" ht="20.45" customHeight="1" x14ac:dyDescent="0.2">
      <c r="A78" s="1724"/>
      <c r="B78" s="3725"/>
      <c r="C78" s="1762" t="s">
        <v>372</v>
      </c>
      <c r="D78" s="1200" t="s">
        <v>373</v>
      </c>
      <c r="E78" s="1760">
        <f t="shared" si="3"/>
        <v>8571778615</v>
      </c>
      <c r="F78" s="1749"/>
      <c r="G78" s="1749"/>
      <c r="H78" s="1749"/>
      <c r="I78" s="1749"/>
      <c r="J78" s="1242">
        <v>8571778615</v>
      </c>
    </row>
    <row r="79" spans="1:10" s="1731" customFormat="1" ht="20.45" customHeight="1" x14ac:dyDescent="0.2">
      <c r="A79" s="1724"/>
      <c r="B79" s="3725"/>
      <c r="C79" s="1762" t="s">
        <v>126</v>
      </c>
      <c r="D79" s="1200" t="s">
        <v>375</v>
      </c>
      <c r="E79" s="1760">
        <f t="shared" si="3"/>
        <v>46644369920</v>
      </c>
      <c r="F79" s="1749"/>
      <c r="G79" s="1749"/>
      <c r="H79" s="1749"/>
      <c r="I79" s="1749"/>
      <c r="J79" s="551">
        <v>46644369920</v>
      </c>
    </row>
    <row r="80" spans="1:10" s="1731" customFormat="1" ht="20.45" customHeight="1" x14ac:dyDescent="0.2">
      <c r="A80" s="1724"/>
      <c r="B80" s="3725"/>
      <c r="C80" s="1764" t="s">
        <v>118</v>
      </c>
      <c r="D80" s="1205" t="s">
        <v>552</v>
      </c>
      <c r="E80" s="1760">
        <f t="shared" si="3"/>
        <v>6656835353</v>
      </c>
      <c r="F80" s="1749"/>
      <c r="G80" s="1749"/>
      <c r="H80" s="1749"/>
      <c r="I80" s="1749"/>
      <c r="J80" s="551">
        <v>6656835353</v>
      </c>
    </row>
    <row r="81" spans="1:16" s="1731" customFormat="1" ht="20.45" customHeight="1" x14ac:dyDescent="0.2">
      <c r="A81" s="1724"/>
      <c r="B81" s="3725"/>
      <c r="C81" s="1765" t="s">
        <v>77</v>
      </c>
      <c r="D81" s="1200" t="s">
        <v>143</v>
      </c>
      <c r="E81" s="1760">
        <f t="shared" si="3"/>
        <v>977584195</v>
      </c>
      <c r="F81" s="1749"/>
      <c r="G81" s="1749"/>
      <c r="H81" s="1749"/>
      <c r="I81" s="1749"/>
      <c r="J81" s="551">
        <v>977584195</v>
      </c>
    </row>
    <row r="82" spans="1:16" s="1731" customFormat="1" ht="20.45" customHeight="1" x14ac:dyDescent="0.2">
      <c r="A82" s="1724"/>
      <c r="B82" s="3725"/>
      <c r="C82" s="1762" t="s">
        <v>548</v>
      </c>
      <c r="D82" s="1200" t="s">
        <v>547</v>
      </c>
      <c r="E82" s="1760">
        <f t="shared" si="3"/>
        <v>138222177418</v>
      </c>
      <c r="F82" s="1749"/>
      <c r="G82" s="1749"/>
      <c r="H82" s="1749"/>
      <c r="I82" s="1749">
        <v>1430000000</v>
      </c>
      <c r="J82" s="551">
        <v>139652177418</v>
      </c>
    </row>
    <row r="83" spans="1:16" s="1731" customFormat="1" ht="20.45" customHeight="1" x14ac:dyDescent="0.2">
      <c r="A83" s="1724"/>
      <c r="B83" s="3725"/>
      <c r="C83" s="1762" t="s">
        <v>542</v>
      </c>
      <c r="D83" s="1200" t="s">
        <v>335</v>
      </c>
      <c r="E83" s="1760">
        <f t="shared" si="3"/>
        <v>163349987466</v>
      </c>
      <c r="F83" s="1749"/>
      <c r="G83" s="1749"/>
      <c r="H83" s="1749"/>
      <c r="I83" s="1749">
        <v>9095000000</v>
      </c>
      <c r="J83" s="551">
        <v>172444987466</v>
      </c>
    </row>
    <row r="84" spans="1:16" s="1731" customFormat="1" ht="20.45" customHeight="1" x14ac:dyDescent="0.2">
      <c r="A84" s="1724"/>
      <c r="B84" s="3725"/>
      <c r="C84" s="1762" t="s">
        <v>546</v>
      </c>
      <c r="D84" s="1200" t="s">
        <v>545</v>
      </c>
      <c r="E84" s="1760">
        <f t="shared" si="3"/>
        <v>227256598197</v>
      </c>
      <c r="F84" s="1749"/>
      <c r="G84" s="1749"/>
      <c r="H84" s="1749"/>
      <c r="I84" s="1749">
        <v>17021622143</v>
      </c>
      <c r="J84" s="551">
        <v>244278220340</v>
      </c>
    </row>
    <row r="85" spans="1:16" s="1731" customFormat="1" ht="20.45" customHeight="1" x14ac:dyDescent="0.2">
      <c r="A85" s="1724"/>
      <c r="B85" s="3725"/>
      <c r="C85" s="272" t="s">
        <v>554</v>
      </c>
      <c r="D85" s="1200" t="s">
        <v>553</v>
      </c>
      <c r="E85" s="1760">
        <f t="shared" si="3"/>
        <v>181334453</v>
      </c>
      <c r="F85" s="1749"/>
      <c r="G85" s="1749"/>
      <c r="H85" s="1749"/>
      <c r="I85" s="1749"/>
      <c r="J85" s="1271">
        <v>181334453</v>
      </c>
    </row>
    <row r="86" spans="1:16" s="1731" customFormat="1" ht="20.45" customHeight="1" x14ac:dyDescent="0.2">
      <c r="A86" s="1724"/>
      <c r="B86" s="3725"/>
      <c r="C86" s="1762" t="s">
        <v>555</v>
      </c>
      <c r="D86" s="1200" t="s">
        <v>545</v>
      </c>
      <c r="E86" s="1760">
        <f t="shared" si="3"/>
        <v>244591118800</v>
      </c>
      <c r="F86" s="1749"/>
      <c r="G86" s="1749"/>
      <c r="H86" s="1749"/>
      <c r="I86" s="1749"/>
      <c r="J86" s="551">
        <v>244591118800</v>
      </c>
    </row>
    <row r="87" spans="1:16" s="1731" customFormat="1" ht="20.45" customHeight="1" x14ac:dyDescent="0.2">
      <c r="A87" s="1724"/>
      <c r="B87" s="3725"/>
      <c r="C87" s="1762" t="s">
        <v>550</v>
      </c>
      <c r="D87" s="1200" t="s">
        <v>556</v>
      </c>
      <c r="E87" s="1760">
        <f t="shared" si="3"/>
        <v>24599727952</v>
      </c>
      <c r="F87" s="1749"/>
      <c r="G87" s="1749"/>
      <c r="H87" s="1749"/>
      <c r="I87" s="1749"/>
      <c r="J87" s="551">
        <v>24599727952</v>
      </c>
    </row>
    <row r="88" spans="1:16" s="1731" customFormat="1" ht="20.45" customHeight="1" x14ac:dyDescent="0.2">
      <c r="A88" s="1724"/>
      <c r="B88" s="3725"/>
      <c r="C88" s="1762" t="s">
        <v>608</v>
      </c>
      <c r="D88" s="1200" t="s">
        <v>1289</v>
      </c>
      <c r="E88" s="1760">
        <f t="shared" si="3"/>
        <v>7440178188141</v>
      </c>
      <c r="F88" s="1749">
        <v>7666637948</v>
      </c>
      <c r="G88" s="1749"/>
      <c r="H88" s="1749">
        <v>11185213251</v>
      </c>
      <c r="I88" s="1749">
        <v>23333328637</v>
      </c>
      <c r="J88" s="551">
        <v>7482363367977</v>
      </c>
      <c r="P88" s="1731">
        <v>7083637948</v>
      </c>
    </row>
    <row r="89" spans="1:16" s="1731" customFormat="1" ht="20.45" customHeight="1" x14ac:dyDescent="0.2">
      <c r="A89" s="1724"/>
      <c r="B89" s="3725"/>
      <c r="C89" s="1762" t="s">
        <v>609</v>
      </c>
      <c r="D89" s="1200" t="s">
        <v>607</v>
      </c>
      <c r="E89" s="1760">
        <f t="shared" si="3"/>
        <v>1682323702833</v>
      </c>
      <c r="F89" s="1749"/>
      <c r="G89" s="1749"/>
      <c r="H89" s="1749"/>
      <c r="I89" s="1749">
        <v>26405208329</v>
      </c>
      <c r="J89" s="551">
        <v>1708728911162</v>
      </c>
      <c r="P89" s="1731">
        <f>P88+F88</f>
        <v>14750275896</v>
      </c>
    </row>
    <row r="90" spans="1:16" s="1731" customFormat="1" ht="20.45" customHeight="1" x14ac:dyDescent="0.2">
      <c r="A90" s="1724"/>
      <c r="B90" s="3725"/>
      <c r="C90" s="1762" t="s">
        <v>610</v>
      </c>
      <c r="D90" s="1200" t="s">
        <v>596</v>
      </c>
      <c r="E90" s="1760">
        <f t="shared" si="3"/>
        <v>208988673490</v>
      </c>
      <c r="F90" s="1749"/>
      <c r="G90" s="1749"/>
      <c r="H90" s="1749"/>
      <c r="I90" s="1749"/>
      <c r="J90" s="551">
        <v>208988673490</v>
      </c>
    </row>
    <row r="91" spans="1:16" s="1731" customFormat="1" ht="20.45" customHeight="1" x14ac:dyDescent="0.2">
      <c r="A91" s="1724"/>
      <c r="B91" s="3725"/>
      <c r="C91" s="1762" t="s">
        <v>611</v>
      </c>
      <c r="D91" s="1200" t="s">
        <v>597</v>
      </c>
      <c r="E91" s="1760">
        <f t="shared" si="3"/>
        <v>25233109573</v>
      </c>
      <c r="F91" s="1749"/>
      <c r="G91" s="1749"/>
      <c r="H91" s="1749"/>
      <c r="I91" s="1749"/>
      <c r="J91" s="551">
        <v>25233109573</v>
      </c>
    </row>
    <row r="92" spans="1:16" s="1731" customFormat="1" ht="20.45" customHeight="1" x14ac:dyDescent="0.2">
      <c r="A92" s="1724"/>
      <c r="B92" s="3725"/>
      <c r="C92" s="1762" t="s">
        <v>634</v>
      </c>
      <c r="D92" s="1200" t="s">
        <v>598</v>
      </c>
      <c r="E92" s="1760">
        <f t="shared" si="3"/>
        <v>257359621104</v>
      </c>
      <c r="F92" s="1749"/>
      <c r="G92" s="1749"/>
      <c r="H92" s="1749"/>
      <c r="I92" s="1749"/>
      <c r="J92" s="551">
        <v>257359621104</v>
      </c>
    </row>
    <row r="93" spans="1:16" s="1731" customFormat="1" ht="20.45" customHeight="1" x14ac:dyDescent="0.2">
      <c r="A93" s="1724"/>
      <c r="B93" s="3725"/>
      <c r="C93" s="1762" t="s">
        <v>641</v>
      </c>
      <c r="D93" s="1200" t="s">
        <v>640</v>
      </c>
      <c r="E93" s="1760">
        <f t="shared" si="3"/>
        <v>184983361964</v>
      </c>
      <c r="F93" s="1749"/>
      <c r="G93" s="1749"/>
      <c r="H93" s="1749"/>
      <c r="I93" s="1749"/>
      <c r="J93" s="551">
        <v>184983361964</v>
      </c>
    </row>
    <row r="94" spans="1:16" s="1731" customFormat="1" ht="20.45" customHeight="1" x14ac:dyDescent="0.2">
      <c r="A94" s="1724"/>
      <c r="B94" s="3725"/>
      <c r="C94" s="1762" t="s">
        <v>622</v>
      </c>
      <c r="D94" s="1213" t="s">
        <v>620</v>
      </c>
      <c r="E94" s="1760">
        <f t="shared" si="3"/>
        <v>1060457134676</v>
      </c>
      <c r="F94" s="1749"/>
      <c r="G94" s="1749"/>
      <c r="H94" s="1749"/>
      <c r="I94" s="1749">
        <v>13368707286</v>
      </c>
      <c r="J94" s="551">
        <v>1073825841962</v>
      </c>
    </row>
    <row r="95" spans="1:16" s="1731" customFormat="1" ht="20.45" customHeight="1" x14ac:dyDescent="0.2">
      <c r="A95" s="1724"/>
      <c r="B95" s="3725"/>
      <c r="C95" s="1762" t="s">
        <v>642</v>
      </c>
      <c r="D95" s="1213" t="s">
        <v>631</v>
      </c>
      <c r="E95" s="1760">
        <f t="shared" si="3"/>
        <v>387399793220</v>
      </c>
      <c r="F95" s="1749"/>
      <c r="G95" s="1749"/>
      <c r="H95" s="1749"/>
      <c r="I95" s="1749">
        <v>8111273841</v>
      </c>
      <c r="J95" s="551">
        <v>395511067061</v>
      </c>
    </row>
    <row r="96" spans="1:16" s="1731" customFormat="1" ht="20.45" customHeight="1" x14ac:dyDescent="0.2">
      <c r="A96" s="1724"/>
      <c r="B96" s="3725"/>
      <c r="C96" s="1762" t="s">
        <v>623</v>
      </c>
      <c r="D96" s="1200" t="s">
        <v>599</v>
      </c>
      <c r="E96" s="1760">
        <f t="shared" si="3"/>
        <v>83740524679</v>
      </c>
      <c r="F96" s="1749"/>
      <c r="G96" s="1749"/>
      <c r="H96" s="1749"/>
      <c r="I96" s="1749"/>
      <c r="J96" s="551">
        <v>83740524679</v>
      </c>
    </row>
    <row r="97" spans="1:10" s="1731" customFormat="1" ht="20.45" customHeight="1" x14ac:dyDescent="0.2">
      <c r="A97" s="1724"/>
      <c r="B97" s="3725"/>
      <c r="C97" s="1762" t="s">
        <v>643</v>
      </c>
      <c r="D97" s="1200" t="s">
        <v>632</v>
      </c>
      <c r="E97" s="1760">
        <f t="shared" si="3"/>
        <v>517667076265</v>
      </c>
      <c r="F97" s="1749"/>
      <c r="G97" s="1749"/>
      <c r="H97" s="1749"/>
      <c r="I97" s="1749">
        <v>3277943405</v>
      </c>
      <c r="J97" s="551">
        <v>520945019670</v>
      </c>
    </row>
    <row r="98" spans="1:10" s="1731" customFormat="1" ht="20.45" customHeight="1" x14ac:dyDescent="0.2">
      <c r="A98" s="1724"/>
      <c r="B98" s="3725"/>
      <c r="C98" s="1762" t="s">
        <v>624</v>
      </c>
      <c r="D98" s="1213" t="s">
        <v>600</v>
      </c>
      <c r="E98" s="1760">
        <f t="shared" si="3"/>
        <v>414653887925</v>
      </c>
      <c r="F98" s="1749"/>
      <c r="G98" s="1749"/>
      <c r="H98" s="1749"/>
      <c r="I98" s="1749">
        <v>2435773767</v>
      </c>
      <c r="J98" s="551">
        <v>417089661692</v>
      </c>
    </row>
    <row r="99" spans="1:10" s="1731" customFormat="1" ht="20.45" customHeight="1" x14ac:dyDescent="0.2">
      <c r="A99" s="1724"/>
      <c r="B99" s="3725"/>
      <c r="C99" s="1762" t="s">
        <v>625</v>
      </c>
      <c r="D99" s="1200" t="s">
        <v>601</v>
      </c>
      <c r="E99" s="1760">
        <f t="shared" si="3"/>
        <v>307070088232</v>
      </c>
      <c r="F99" s="1749"/>
      <c r="G99" s="1749"/>
      <c r="H99" s="1749"/>
      <c r="I99" s="1749">
        <v>4061950657</v>
      </c>
      <c r="J99" s="1270">
        <v>311132038889</v>
      </c>
    </row>
    <row r="100" spans="1:10" s="1731" customFormat="1" ht="20.45" customHeight="1" x14ac:dyDescent="0.2">
      <c r="A100" s="1724"/>
      <c r="B100" s="3725"/>
      <c r="C100" s="1762" t="s">
        <v>626</v>
      </c>
      <c r="D100" s="1200" t="s">
        <v>602</v>
      </c>
      <c r="E100" s="1760">
        <f t="shared" si="3"/>
        <v>106558452832</v>
      </c>
      <c r="F100" s="1749"/>
      <c r="G100" s="1749"/>
      <c r="H100" s="1749"/>
      <c r="I100" s="1749"/>
      <c r="J100" s="550">
        <v>106558452832</v>
      </c>
    </row>
    <row r="101" spans="1:10" s="1731" customFormat="1" ht="19.899999999999999" customHeight="1" x14ac:dyDescent="0.2">
      <c r="A101" s="1724"/>
      <c r="B101" s="3725"/>
      <c r="C101" s="1762" t="s">
        <v>627</v>
      </c>
      <c r="D101" s="1200" t="s">
        <v>603</v>
      </c>
      <c r="E101" s="1760">
        <f t="shared" si="3"/>
        <v>158221575818</v>
      </c>
      <c r="F101" s="1749"/>
      <c r="G101" s="1749"/>
      <c r="H101" s="1749"/>
      <c r="I101" s="1749"/>
      <c r="J101" s="1746">
        <v>158221575818</v>
      </c>
    </row>
    <row r="102" spans="1:10" s="1731" customFormat="1" ht="20.45" customHeight="1" x14ac:dyDescent="0.2">
      <c r="A102" s="1724"/>
      <c r="B102" s="3725"/>
      <c r="C102" s="1762" t="s">
        <v>628</v>
      </c>
      <c r="D102" s="1200" t="s">
        <v>604</v>
      </c>
      <c r="E102" s="1760">
        <f t="shared" si="3"/>
        <v>8186965043</v>
      </c>
      <c r="F102" s="1749"/>
      <c r="G102" s="1749"/>
      <c r="H102" s="1749"/>
      <c r="I102" s="1749"/>
      <c r="J102" s="1746">
        <v>8186965043</v>
      </c>
    </row>
    <row r="103" spans="1:10" s="1731" customFormat="1" ht="20.45" customHeight="1" x14ac:dyDescent="0.2">
      <c r="A103" s="1724"/>
      <c r="B103" s="3725"/>
      <c r="C103" s="1762" t="s">
        <v>645</v>
      </c>
      <c r="D103" s="1208" t="s">
        <v>644</v>
      </c>
      <c r="E103" s="1760">
        <f t="shared" si="3"/>
        <v>152040474</v>
      </c>
      <c r="F103" s="1749"/>
      <c r="G103" s="1749"/>
      <c r="H103" s="1749"/>
      <c r="I103" s="1749"/>
      <c r="J103" s="550">
        <v>152040474</v>
      </c>
    </row>
    <row r="104" spans="1:10" s="1731" customFormat="1" ht="20.45" customHeight="1" x14ac:dyDescent="0.2">
      <c r="A104" s="1724"/>
      <c r="B104" s="3725"/>
      <c r="C104" s="1762" t="s">
        <v>629</v>
      </c>
      <c r="D104" s="1200" t="s">
        <v>605</v>
      </c>
      <c r="E104" s="1760">
        <f t="shared" si="3"/>
        <v>217859732120</v>
      </c>
      <c r="F104" s="1749"/>
      <c r="G104" s="1749"/>
      <c r="H104" s="1749"/>
      <c r="I104" s="1749"/>
      <c r="J104" s="1244">
        <v>217859732120</v>
      </c>
    </row>
    <row r="105" spans="1:10" s="1731" customFormat="1" ht="20.45" customHeight="1" x14ac:dyDescent="0.2">
      <c r="A105" s="1724"/>
      <c r="B105" s="3725"/>
      <c r="C105" s="1762" t="s">
        <v>647</v>
      </c>
      <c r="D105" s="1208" t="s">
        <v>646</v>
      </c>
      <c r="E105" s="1760">
        <f t="shared" si="3"/>
        <v>81801284743</v>
      </c>
      <c r="F105" s="1749"/>
      <c r="G105" s="1749"/>
      <c r="H105" s="1749"/>
      <c r="I105" s="1749"/>
      <c r="J105" s="1766">
        <v>81801284743</v>
      </c>
    </row>
    <row r="106" spans="1:10" s="1731" customFormat="1" ht="20.45" customHeight="1" x14ac:dyDescent="0.2">
      <c r="A106" s="1724"/>
      <c r="B106" s="3725"/>
      <c r="C106" s="1762" t="s">
        <v>612</v>
      </c>
      <c r="D106" s="1200" t="s">
        <v>606</v>
      </c>
      <c r="E106" s="1760">
        <f t="shared" si="3"/>
        <v>1958938569</v>
      </c>
      <c r="F106" s="1749"/>
      <c r="G106" s="1749"/>
      <c r="H106" s="1749"/>
      <c r="I106" s="1749"/>
      <c r="J106" s="1270">
        <v>1958938569</v>
      </c>
    </row>
    <row r="107" spans="1:10" s="1731" customFormat="1" ht="20.45" customHeight="1" x14ac:dyDescent="0.2">
      <c r="A107" s="1724"/>
      <c r="B107" s="3725"/>
      <c r="C107" s="1762" t="s">
        <v>630</v>
      </c>
      <c r="D107" s="1208" t="s">
        <v>621</v>
      </c>
      <c r="E107" s="1760">
        <f t="shared" si="3"/>
        <v>307308595862</v>
      </c>
      <c r="F107" s="1749"/>
      <c r="G107" s="1749"/>
      <c r="H107" s="1749"/>
      <c r="I107" s="1749"/>
      <c r="J107" s="1255">
        <v>307308595862</v>
      </c>
    </row>
    <row r="108" spans="1:10" s="1731" customFormat="1" ht="20.45" customHeight="1" x14ac:dyDescent="0.2">
      <c r="A108" s="1724"/>
      <c r="B108" s="3725"/>
      <c r="C108" s="1762" t="s">
        <v>671</v>
      </c>
      <c r="D108" s="1208" t="s">
        <v>670</v>
      </c>
      <c r="E108" s="1760">
        <f t="shared" si="3"/>
        <v>4296948776</v>
      </c>
      <c r="F108" s="1749"/>
      <c r="G108" s="1749"/>
      <c r="H108" s="1749"/>
      <c r="I108" s="1749"/>
      <c r="J108" s="1740">
        <v>4296948776</v>
      </c>
    </row>
    <row r="109" spans="1:10" s="1731" customFormat="1" ht="20.45" customHeight="1" x14ac:dyDescent="0.2">
      <c r="A109" s="1724"/>
      <c r="B109" s="3725"/>
      <c r="C109" s="1762" t="s">
        <v>674</v>
      </c>
      <c r="D109" s="1208" t="s">
        <v>672</v>
      </c>
      <c r="E109" s="1760">
        <f t="shared" si="3"/>
        <v>859074569</v>
      </c>
      <c r="F109" s="1749"/>
      <c r="G109" s="1749"/>
      <c r="H109" s="1749"/>
      <c r="I109" s="1749"/>
      <c r="J109" s="550">
        <v>859074569</v>
      </c>
    </row>
    <row r="110" spans="1:10" s="1731" customFormat="1" ht="15.6" customHeight="1" x14ac:dyDescent="0.2">
      <c r="A110" s="1724"/>
      <c r="B110" s="3727"/>
      <c r="C110" s="3710" t="s">
        <v>94</v>
      </c>
      <c r="D110" s="3711"/>
      <c r="E110" s="1759">
        <f t="shared" ref="E110:I110" si="4">SUM(E66:E109)</f>
        <v>42613786023461</v>
      </c>
      <c r="F110" s="1759">
        <f t="shared" si="4"/>
        <v>166598712492</v>
      </c>
      <c r="G110" s="1759">
        <f t="shared" si="4"/>
        <v>0</v>
      </c>
      <c r="H110" s="1759">
        <f t="shared" si="4"/>
        <v>11185213251</v>
      </c>
      <c r="I110" s="1759">
        <f t="shared" si="4"/>
        <v>179402479746</v>
      </c>
      <c r="J110" s="1759">
        <f>SUM(J66:J109)</f>
        <v>42970972428950</v>
      </c>
    </row>
    <row r="111" spans="1:10" s="1731" customFormat="1" ht="12.6" customHeight="1" x14ac:dyDescent="0.2">
      <c r="A111" s="3714" t="s">
        <v>1191</v>
      </c>
      <c r="B111" s="3714"/>
      <c r="C111" s="3714"/>
      <c r="D111" s="3714"/>
      <c r="E111" s="3714"/>
      <c r="F111" s="3714"/>
      <c r="G111" s="3714"/>
      <c r="H111" s="3714"/>
      <c r="I111" s="3714"/>
      <c r="J111" s="3714"/>
    </row>
    <row r="112" spans="1:10" s="1731" customFormat="1" ht="14.45" customHeight="1" x14ac:dyDescent="0.2">
      <c r="A112" s="3300" t="s">
        <v>295</v>
      </c>
      <c r="B112" s="3300"/>
      <c r="C112" s="3300"/>
      <c r="D112" s="3300"/>
      <c r="E112" s="3300"/>
      <c r="F112" s="3300"/>
      <c r="G112" s="3300"/>
      <c r="H112" s="3300"/>
      <c r="I112" s="3300"/>
      <c r="J112" s="3300"/>
    </row>
    <row r="113" spans="1:10" s="1731" customFormat="1" ht="19.149999999999999" customHeight="1" x14ac:dyDescent="0.2">
      <c r="A113" s="3300" t="s">
        <v>45</v>
      </c>
      <c r="B113" s="3300"/>
      <c r="C113" s="3300"/>
      <c r="D113" s="3300"/>
      <c r="E113" s="3300"/>
      <c r="F113" s="3300"/>
      <c r="G113" s="3300"/>
      <c r="H113" s="3300"/>
      <c r="I113" s="3300"/>
      <c r="J113" s="3300"/>
    </row>
    <row r="114" spans="1:10" s="1731" customFormat="1" ht="19.149999999999999" customHeight="1" x14ac:dyDescent="0.2">
      <c r="A114" s="3300" t="s">
        <v>46</v>
      </c>
      <c r="B114" s="3300"/>
      <c r="C114" s="3300"/>
      <c r="D114" s="3300"/>
      <c r="E114" s="3300"/>
      <c r="F114" s="3300"/>
      <c r="G114" s="3300"/>
      <c r="H114" s="3300"/>
      <c r="I114" s="3300"/>
      <c r="J114" s="3300"/>
    </row>
    <row r="115" spans="1:10" s="1731" customFormat="1" ht="19.149999999999999" customHeight="1" x14ac:dyDescent="0.2">
      <c r="A115" s="3721" t="s">
        <v>1992</v>
      </c>
      <c r="B115" s="3721"/>
      <c r="C115" s="3721"/>
      <c r="D115" s="3721"/>
      <c r="E115" s="3721"/>
      <c r="F115" s="3721"/>
      <c r="G115" s="3721"/>
      <c r="H115" s="3721"/>
      <c r="I115" s="3721"/>
      <c r="J115" s="3721"/>
    </row>
    <row r="116" spans="1:10" s="1731" customFormat="1" ht="19.149999999999999" customHeight="1" x14ac:dyDescent="0.35">
      <c r="A116" s="1724"/>
      <c r="B116" s="3715" t="s">
        <v>1302</v>
      </c>
      <c r="C116" s="3715"/>
      <c r="D116" s="3715"/>
      <c r="E116" s="3715"/>
      <c r="F116" s="3715"/>
      <c r="G116" s="3715"/>
      <c r="H116" s="3715"/>
      <c r="I116" s="3718" t="s">
        <v>194</v>
      </c>
      <c r="J116" s="3718"/>
    </row>
    <row r="117" spans="1:10" s="1731" customFormat="1" ht="19.149999999999999" customHeight="1" x14ac:dyDescent="0.45">
      <c r="A117" s="1724"/>
      <c r="B117" s="3724" t="s">
        <v>180</v>
      </c>
      <c r="C117" s="3742" t="s">
        <v>196</v>
      </c>
      <c r="D117" s="3733" t="s">
        <v>197</v>
      </c>
      <c r="E117" s="3716" t="s">
        <v>381</v>
      </c>
      <c r="F117" s="3717"/>
      <c r="G117" s="3717"/>
      <c r="H117" s="3717"/>
      <c r="I117" s="3717"/>
      <c r="J117" s="3719" t="s">
        <v>27</v>
      </c>
    </row>
    <row r="118" spans="1:10" s="1731" customFormat="1" ht="19.149999999999999" customHeight="1" x14ac:dyDescent="0.45">
      <c r="A118" s="1724"/>
      <c r="B118" s="3725"/>
      <c r="C118" s="3742"/>
      <c r="D118" s="3733"/>
      <c r="E118" s="1754" t="s">
        <v>1280</v>
      </c>
      <c r="F118" s="1755" t="s">
        <v>1281</v>
      </c>
      <c r="G118" s="1755"/>
      <c r="H118" s="1755" t="s">
        <v>1282</v>
      </c>
      <c r="I118" s="1755" t="s">
        <v>1283</v>
      </c>
      <c r="J118" s="3720"/>
    </row>
    <row r="119" spans="1:10" s="1731" customFormat="1" ht="95.45" customHeight="1" x14ac:dyDescent="0.2">
      <c r="A119" s="1724"/>
      <c r="B119" s="3725"/>
      <c r="C119" s="3742"/>
      <c r="D119" s="3733"/>
      <c r="E119" s="1756" t="s">
        <v>1284</v>
      </c>
      <c r="F119" s="1757" t="s">
        <v>1285</v>
      </c>
      <c r="G119" s="1758" t="s">
        <v>382</v>
      </c>
      <c r="H119" s="1757" t="s">
        <v>1286</v>
      </c>
      <c r="I119" s="1757" t="s">
        <v>1287</v>
      </c>
      <c r="J119" s="3720"/>
    </row>
    <row r="120" spans="1:10" s="1731" customFormat="1" ht="21.6" customHeight="1" x14ac:dyDescent="0.2">
      <c r="A120" s="1724"/>
      <c r="B120" s="3725"/>
      <c r="C120" s="3722" t="s">
        <v>993</v>
      </c>
      <c r="D120" s="3722"/>
      <c r="E120" s="1768">
        <f t="shared" ref="E120:J120" si="5">E110</f>
        <v>42613786023461</v>
      </c>
      <c r="F120" s="1768">
        <f t="shared" si="5"/>
        <v>166598712492</v>
      </c>
      <c r="G120" s="1768">
        <f t="shared" si="5"/>
        <v>0</v>
      </c>
      <c r="H120" s="1768">
        <f t="shared" si="5"/>
        <v>11185213251</v>
      </c>
      <c r="I120" s="1768">
        <f t="shared" si="5"/>
        <v>179402479746</v>
      </c>
      <c r="J120" s="1768">
        <f t="shared" si="5"/>
        <v>42970972428950</v>
      </c>
    </row>
    <row r="121" spans="1:10" s="1731" customFormat="1" ht="18.600000000000001" customHeight="1" x14ac:dyDescent="0.5">
      <c r="A121" s="1724"/>
      <c r="B121" s="3725"/>
      <c r="C121" s="1762" t="s">
        <v>675</v>
      </c>
      <c r="D121" s="1208" t="s">
        <v>673</v>
      </c>
      <c r="E121" s="1749">
        <f>J121-I121-H121-F121</f>
        <v>54614056121</v>
      </c>
      <c r="F121" s="1769"/>
      <c r="G121" s="1769"/>
      <c r="H121" s="1769"/>
      <c r="I121" s="1769"/>
      <c r="J121" s="550">
        <v>54614056121</v>
      </c>
    </row>
    <row r="122" spans="1:10" s="1731" customFormat="1" ht="18.600000000000001" customHeight="1" x14ac:dyDescent="0.5">
      <c r="A122" s="1724"/>
      <c r="B122" s="3725"/>
      <c r="C122" s="1762" t="s">
        <v>677</v>
      </c>
      <c r="D122" s="1208" t="s">
        <v>676</v>
      </c>
      <c r="E122" s="1749">
        <f t="shared" ref="E122:E167" si="6">J122-I122-H122-F122</f>
        <v>464776688911</v>
      </c>
      <c r="F122" s="1769"/>
      <c r="G122" s="1769"/>
      <c r="H122" s="1769"/>
      <c r="I122" s="1769"/>
      <c r="J122" s="1770">
        <v>464776688911</v>
      </c>
    </row>
    <row r="123" spans="1:10" s="1731" customFormat="1" ht="18.600000000000001" customHeight="1" x14ac:dyDescent="0.5">
      <c r="A123" s="1724"/>
      <c r="B123" s="3725"/>
      <c r="C123" s="1762" t="s">
        <v>664</v>
      </c>
      <c r="D123" s="1208" t="s">
        <v>685</v>
      </c>
      <c r="E123" s="1749">
        <f t="shared" si="6"/>
        <v>5342172622</v>
      </c>
      <c r="F123" s="1769"/>
      <c r="G123" s="1769"/>
      <c r="H123" s="1769"/>
      <c r="I123" s="1769"/>
      <c r="J123" s="1285">
        <v>5342172622</v>
      </c>
    </row>
    <row r="124" spans="1:10" s="1731" customFormat="1" ht="18.600000000000001" customHeight="1" x14ac:dyDescent="0.5">
      <c r="A124" s="1724"/>
      <c r="B124" s="3725"/>
      <c r="C124" s="1762" t="s">
        <v>687</v>
      </c>
      <c r="D124" s="1208" t="s">
        <v>686</v>
      </c>
      <c r="E124" s="1749">
        <f t="shared" si="6"/>
        <v>2721045180</v>
      </c>
      <c r="F124" s="1769"/>
      <c r="G124" s="1769"/>
      <c r="H124" s="1769"/>
      <c r="I124" s="1769"/>
      <c r="J124" s="550">
        <v>2721045180</v>
      </c>
    </row>
    <row r="125" spans="1:10" s="1731" customFormat="1" ht="18.600000000000001" customHeight="1" x14ac:dyDescent="0.5">
      <c r="A125" s="1724"/>
      <c r="B125" s="3725"/>
      <c r="C125" s="1762" t="s">
        <v>689</v>
      </c>
      <c r="D125" s="1208" t="s">
        <v>688</v>
      </c>
      <c r="E125" s="1749">
        <f t="shared" si="6"/>
        <v>3663442960</v>
      </c>
      <c r="F125" s="1769"/>
      <c r="G125" s="1769"/>
      <c r="H125" s="1769"/>
      <c r="I125" s="1769"/>
      <c r="J125" s="550">
        <v>3663442960</v>
      </c>
    </row>
    <row r="126" spans="1:10" s="1731" customFormat="1" ht="18.600000000000001" customHeight="1" x14ac:dyDescent="0.5">
      <c r="A126" s="1724"/>
      <c r="B126" s="3725"/>
      <c r="C126" s="1762" t="s">
        <v>691</v>
      </c>
      <c r="D126" s="1208" t="s">
        <v>690</v>
      </c>
      <c r="E126" s="1749">
        <f t="shared" si="6"/>
        <v>1528916422</v>
      </c>
      <c r="F126" s="1769"/>
      <c r="G126" s="1769"/>
      <c r="H126" s="1769"/>
      <c r="I126" s="1769"/>
      <c r="J126" s="550">
        <v>1528916422</v>
      </c>
    </row>
    <row r="127" spans="1:10" s="1731" customFormat="1" ht="18.600000000000001" customHeight="1" x14ac:dyDescent="0.5">
      <c r="A127" s="1724"/>
      <c r="B127" s="3725"/>
      <c r="C127" s="1762" t="s">
        <v>693</v>
      </c>
      <c r="D127" s="1208" t="s">
        <v>692</v>
      </c>
      <c r="E127" s="1749">
        <f t="shared" si="6"/>
        <v>1482480694</v>
      </c>
      <c r="F127" s="1769"/>
      <c r="G127" s="1769"/>
      <c r="H127" s="1769"/>
      <c r="I127" s="1769"/>
      <c r="J127" s="550">
        <v>1482480694</v>
      </c>
    </row>
    <row r="128" spans="1:10" s="1731" customFormat="1" ht="18.600000000000001" customHeight="1" x14ac:dyDescent="0.5">
      <c r="A128" s="1724"/>
      <c r="B128" s="3725"/>
      <c r="C128" s="1762" t="s">
        <v>695</v>
      </c>
      <c r="D128" s="1208" t="s">
        <v>694</v>
      </c>
      <c r="E128" s="1749">
        <f t="shared" si="6"/>
        <v>1195086679</v>
      </c>
      <c r="F128" s="1769"/>
      <c r="G128" s="1769"/>
      <c r="H128" s="1769"/>
      <c r="I128" s="1769"/>
      <c r="J128" s="550">
        <v>1195086679</v>
      </c>
    </row>
    <row r="129" spans="1:10" s="1731" customFormat="1" ht="18.600000000000001" customHeight="1" x14ac:dyDescent="0.5">
      <c r="A129" s="1724"/>
      <c r="B129" s="3725"/>
      <c r="C129" s="1762" t="s">
        <v>697</v>
      </c>
      <c r="D129" s="1208" t="s">
        <v>696</v>
      </c>
      <c r="E129" s="1749">
        <f t="shared" si="6"/>
        <v>1019916443</v>
      </c>
      <c r="F129" s="1769"/>
      <c r="G129" s="1769"/>
      <c r="H129" s="1769"/>
      <c r="I129" s="1769"/>
      <c r="J129" s="550">
        <v>1019916443</v>
      </c>
    </row>
    <row r="130" spans="1:10" s="1731" customFormat="1" ht="18.600000000000001" customHeight="1" x14ac:dyDescent="0.5">
      <c r="A130" s="1724"/>
      <c r="B130" s="3725"/>
      <c r="C130" s="1762" t="s">
        <v>699</v>
      </c>
      <c r="D130" s="1208" t="s">
        <v>698</v>
      </c>
      <c r="E130" s="1749">
        <f t="shared" si="6"/>
        <v>806949843</v>
      </c>
      <c r="F130" s="1769"/>
      <c r="G130" s="1769"/>
      <c r="H130" s="1769"/>
      <c r="I130" s="1769"/>
      <c r="J130" s="550">
        <v>806949843</v>
      </c>
    </row>
    <row r="131" spans="1:10" s="1731" customFormat="1" ht="18.600000000000001" customHeight="1" x14ac:dyDescent="0.5">
      <c r="A131" s="1724"/>
      <c r="B131" s="3725"/>
      <c r="C131" s="1762" t="s">
        <v>701</v>
      </c>
      <c r="D131" s="1208" t="s">
        <v>700</v>
      </c>
      <c r="E131" s="1749">
        <f t="shared" si="6"/>
        <v>3148941511</v>
      </c>
      <c r="F131" s="1769"/>
      <c r="G131" s="1769"/>
      <c r="H131" s="1769"/>
      <c r="I131" s="1769"/>
      <c r="J131" s="550">
        <v>3148941511</v>
      </c>
    </row>
    <row r="132" spans="1:10" s="1731" customFormat="1" ht="18.600000000000001" customHeight="1" x14ac:dyDescent="0.5">
      <c r="A132" s="1724"/>
      <c r="B132" s="3725"/>
      <c r="C132" s="1762" t="s">
        <v>806</v>
      </c>
      <c r="D132" s="1208" t="s">
        <v>678</v>
      </c>
      <c r="E132" s="1749">
        <f t="shared" si="6"/>
        <v>4529668788</v>
      </c>
      <c r="F132" s="1769"/>
      <c r="G132" s="1769"/>
      <c r="H132" s="1769"/>
      <c r="I132" s="1769"/>
      <c r="J132" s="550">
        <v>4529668788</v>
      </c>
    </row>
    <row r="133" spans="1:10" s="1731" customFormat="1" ht="18.600000000000001" customHeight="1" x14ac:dyDescent="0.5">
      <c r="A133" s="1724"/>
      <c r="B133" s="3725"/>
      <c r="C133" s="1762" t="s">
        <v>703</v>
      </c>
      <c r="D133" s="1208" t="s">
        <v>702</v>
      </c>
      <c r="E133" s="1749">
        <f t="shared" si="6"/>
        <v>643000000</v>
      </c>
      <c r="F133" s="1769"/>
      <c r="G133" s="1769"/>
      <c r="H133" s="1769"/>
      <c r="I133" s="1769"/>
      <c r="J133" s="550">
        <v>643000000</v>
      </c>
    </row>
    <row r="134" spans="1:10" s="1731" customFormat="1" ht="18.600000000000001" customHeight="1" x14ac:dyDescent="0.5">
      <c r="A134" s="1724"/>
      <c r="B134" s="3725"/>
      <c r="C134" s="1762" t="s">
        <v>705</v>
      </c>
      <c r="D134" s="1208" t="s">
        <v>704</v>
      </c>
      <c r="E134" s="1749">
        <f t="shared" si="6"/>
        <v>8712120310</v>
      </c>
      <c r="F134" s="1769"/>
      <c r="G134" s="1769"/>
      <c r="H134" s="1769"/>
      <c r="I134" s="1769"/>
      <c r="J134" s="550">
        <v>8712120310</v>
      </c>
    </row>
    <row r="135" spans="1:10" s="1731" customFormat="1" ht="18.600000000000001" customHeight="1" x14ac:dyDescent="0.5">
      <c r="A135" s="1724"/>
      <c r="B135" s="3725"/>
      <c r="C135" s="1762" t="s">
        <v>807</v>
      </c>
      <c r="D135" s="1208" t="s">
        <v>679</v>
      </c>
      <c r="E135" s="1749">
        <f t="shared" si="6"/>
        <v>606867059</v>
      </c>
      <c r="F135" s="1769"/>
      <c r="G135" s="1769"/>
      <c r="H135" s="1769"/>
      <c r="I135" s="1769"/>
      <c r="J135" s="551">
        <v>606867059</v>
      </c>
    </row>
    <row r="136" spans="1:10" s="1731" customFormat="1" ht="18.600000000000001" customHeight="1" x14ac:dyDescent="0.5">
      <c r="A136" s="1724"/>
      <c r="B136" s="3725"/>
      <c r="C136" s="1762" t="s">
        <v>665</v>
      </c>
      <c r="D136" s="1208" t="s">
        <v>706</v>
      </c>
      <c r="E136" s="1749">
        <f t="shared" si="6"/>
        <v>35046008291</v>
      </c>
      <c r="F136" s="1769"/>
      <c r="G136" s="1769"/>
      <c r="H136" s="1769"/>
      <c r="I136" s="1769"/>
      <c r="J136" s="550">
        <v>35046008291</v>
      </c>
    </row>
    <row r="137" spans="1:10" s="1731" customFormat="1" ht="18.600000000000001" customHeight="1" x14ac:dyDescent="0.5">
      <c r="A137" s="1724"/>
      <c r="B137" s="3725"/>
      <c r="C137" s="1762" t="s">
        <v>808</v>
      </c>
      <c r="D137" s="1208" t="s">
        <v>680</v>
      </c>
      <c r="E137" s="1749">
        <f t="shared" si="6"/>
        <v>934156010</v>
      </c>
      <c r="F137" s="1769"/>
      <c r="G137" s="1769"/>
      <c r="H137" s="1769"/>
      <c r="I137" s="1769"/>
      <c r="J137" s="1291">
        <v>934156010</v>
      </c>
    </row>
    <row r="138" spans="1:10" s="1731" customFormat="1" ht="18.600000000000001" customHeight="1" x14ac:dyDescent="0.5">
      <c r="A138" s="1724"/>
      <c r="B138" s="3725"/>
      <c r="C138" s="1771" t="s">
        <v>707</v>
      </c>
      <c r="D138" s="1208" t="s">
        <v>704</v>
      </c>
      <c r="E138" s="1749">
        <f t="shared" si="6"/>
        <v>29747304260</v>
      </c>
      <c r="F138" s="1769"/>
      <c r="G138" s="1769"/>
      <c r="H138" s="1769"/>
      <c r="I138" s="1769"/>
      <c r="J138" s="550">
        <v>29747304260</v>
      </c>
    </row>
    <row r="139" spans="1:10" s="1731" customFormat="1" ht="18.600000000000001" customHeight="1" x14ac:dyDescent="0.5">
      <c r="A139" s="1724"/>
      <c r="B139" s="3725"/>
      <c r="C139" s="1771" t="s">
        <v>798</v>
      </c>
      <c r="D139" s="1208" t="s">
        <v>708</v>
      </c>
      <c r="E139" s="1749">
        <f t="shared" si="6"/>
        <v>4614246885</v>
      </c>
      <c r="F139" s="1769"/>
      <c r="G139" s="1769"/>
      <c r="H139" s="1769"/>
      <c r="I139" s="1769"/>
      <c r="J139" s="550">
        <v>4614246885</v>
      </c>
    </row>
    <row r="140" spans="1:10" s="1731" customFormat="1" ht="18.600000000000001" customHeight="1" x14ac:dyDescent="0.5">
      <c r="A140" s="1724"/>
      <c r="B140" s="3725"/>
      <c r="C140" s="1771" t="s">
        <v>799</v>
      </c>
      <c r="D140" s="1208" t="s">
        <v>709</v>
      </c>
      <c r="E140" s="1749">
        <f t="shared" si="6"/>
        <v>1000000000</v>
      </c>
      <c r="F140" s="1769"/>
      <c r="G140" s="1769"/>
      <c r="H140" s="1769"/>
      <c r="I140" s="1769"/>
      <c r="J140" s="550">
        <v>1000000000</v>
      </c>
    </row>
    <row r="141" spans="1:10" s="1731" customFormat="1" ht="18.600000000000001" customHeight="1" x14ac:dyDescent="0.5">
      <c r="A141" s="1724"/>
      <c r="B141" s="3725"/>
      <c r="C141" s="1771" t="s">
        <v>711</v>
      </c>
      <c r="D141" s="1208" t="s">
        <v>710</v>
      </c>
      <c r="E141" s="1749">
        <f t="shared" si="6"/>
        <v>2419129337</v>
      </c>
      <c r="F141" s="1769"/>
      <c r="G141" s="1769"/>
      <c r="H141" s="1769"/>
      <c r="I141" s="1769"/>
      <c r="J141" s="1772">
        <v>2419129337</v>
      </c>
    </row>
    <row r="142" spans="1:10" s="1731" customFormat="1" ht="18.600000000000001" customHeight="1" x14ac:dyDescent="0.5">
      <c r="A142" s="1724"/>
      <c r="B142" s="3725"/>
      <c r="C142" s="1771" t="s">
        <v>713</v>
      </c>
      <c r="D142" s="1208" t="s">
        <v>712</v>
      </c>
      <c r="E142" s="1749">
        <f t="shared" si="6"/>
        <v>1255798058</v>
      </c>
      <c r="F142" s="1769"/>
      <c r="G142" s="1769"/>
      <c r="H142" s="1769"/>
      <c r="I142" s="1769"/>
      <c r="J142" s="550">
        <v>1255798058</v>
      </c>
    </row>
    <row r="143" spans="1:10" s="1731" customFormat="1" ht="18.600000000000001" customHeight="1" x14ac:dyDescent="0.5">
      <c r="A143" s="1724"/>
      <c r="B143" s="3725"/>
      <c r="C143" s="1771" t="s">
        <v>714</v>
      </c>
      <c r="D143" s="1208" t="s">
        <v>712</v>
      </c>
      <c r="E143" s="1749">
        <f t="shared" si="6"/>
        <v>3191408380</v>
      </c>
      <c r="F143" s="1769"/>
      <c r="G143" s="1769"/>
      <c r="H143" s="1769"/>
      <c r="I143" s="1769"/>
      <c r="J143" s="550">
        <v>3191408380</v>
      </c>
    </row>
    <row r="144" spans="1:10" s="1731" customFormat="1" ht="18.600000000000001" customHeight="1" x14ac:dyDescent="0.5">
      <c r="A144" s="1724"/>
      <c r="B144" s="3725"/>
      <c r="C144" s="1771" t="s">
        <v>715</v>
      </c>
      <c r="D144" s="1208" t="s">
        <v>712</v>
      </c>
      <c r="E144" s="1749">
        <f t="shared" si="6"/>
        <v>4851165544</v>
      </c>
      <c r="F144" s="1769"/>
      <c r="G144" s="1769"/>
      <c r="H144" s="1769"/>
      <c r="I144" s="1769"/>
      <c r="J144" s="550">
        <v>4851165544</v>
      </c>
    </row>
    <row r="145" spans="1:10" s="1731" customFormat="1" ht="18.600000000000001" customHeight="1" x14ac:dyDescent="0.5">
      <c r="A145" s="1724"/>
      <c r="B145" s="3725"/>
      <c r="C145" s="1771" t="s">
        <v>789</v>
      </c>
      <c r="D145" s="1208" t="s">
        <v>716</v>
      </c>
      <c r="E145" s="1749">
        <f t="shared" si="6"/>
        <v>2338904097</v>
      </c>
      <c r="F145" s="1769"/>
      <c r="G145" s="1769"/>
      <c r="H145" s="1769"/>
      <c r="I145" s="1769"/>
      <c r="J145" s="550">
        <v>2338904097</v>
      </c>
    </row>
    <row r="146" spans="1:10" s="1731" customFormat="1" ht="18.600000000000001" customHeight="1" x14ac:dyDescent="0.5">
      <c r="A146" s="1724"/>
      <c r="B146" s="3725"/>
      <c r="C146" s="1771" t="s">
        <v>790</v>
      </c>
      <c r="D146" s="1208" t="s">
        <v>717</v>
      </c>
      <c r="E146" s="1749">
        <f t="shared" si="6"/>
        <v>13348975603</v>
      </c>
      <c r="F146" s="1769"/>
      <c r="G146" s="1769"/>
      <c r="H146" s="1769"/>
      <c r="I146" s="1769"/>
      <c r="J146" s="550">
        <v>13348975603</v>
      </c>
    </row>
    <row r="147" spans="1:10" s="1731" customFormat="1" ht="18.600000000000001" customHeight="1" x14ac:dyDescent="0.5">
      <c r="A147" s="1724"/>
      <c r="B147" s="3725"/>
      <c r="C147" s="1771" t="s">
        <v>791</v>
      </c>
      <c r="D147" s="1208" t="s">
        <v>681</v>
      </c>
      <c r="E147" s="1749">
        <f t="shared" si="6"/>
        <v>5100000000</v>
      </c>
      <c r="F147" s="1769"/>
      <c r="G147" s="1769"/>
      <c r="H147" s="1769"/>
      <c r="I147" s="1769"/>
      <c r="J147" s="550">
        <v>5100000000</v>
      </c>
    </row>
    <row r="148" spans="1:10" s="1731" customFormat="1" ht="18.600000000000001" customHeight="1" x14ac:dyDescent="0.5">
      <c r="A148" s="1724"/>
      <c r="B148" s="3725"/>
      <c r="C148" s="1771" t="s">
        <v>792</v>
      </c>
      <c r="D148" s="1208" t="s">
        <v>718</v>
      </c>
      <c r="E148" s="1749">
        <f t="shared" si="6"/>
        <v>5024269357</v>
      </c>
      <c r="F148" s="1769"/>
      <c r="G148" s="1769"/>
      <c r="H148" s="1769"/>
      <c r="I148" s="1769"/>
      <c r="J148" s="550">
        <v>5024269357</v>
      </c>
    </row>
    <row r="149" spans="1:10" s="1731" customFormat="1" ht="18.600000000000001" customHeight="1" x14ac:dyDescent="0.5">
      <c r="A149" s="1724"/>
      <c r="B149" s="3725"/>
      <c r="C149" s="1771" t="s">
        <v>793</v>
      </c>
      <c r="D149" s="1208" t="s">
        <v>719</v>
      </c>
      <c r="E149" s="1749">
        <f t="shared" si="6"/>
        <v>6933280962</v>
      </c>
      <c r="F149" s="1769"/>
      <c r="G149" s="1769"/>
      <c r="H149" s="1769"/>
      <c r="I149" s="1769"/>
      <c r="J149" s="1773">
        <v>6933280962</v>
      </c>
    </row>
    <row r="150" spans="1:10" s="1731" customFormat="1" ht="18.600000000000001" customHeight="1" x14ac:dyDescent="0.5">
      <c r="A150" s="1724"/>
      <c r="B150" s="3725"/>
      <c r="C150" s="1771" t="s">
        <v>794</v>
      </c>
      <c r="D150" s="1208" t="s">
        <v>720</v>
      </c>
      <c r="E150" s="1749">
        <f t="shared" si="6"/>
        <v>15338361145</v>
      </c>
      <c r="F150" s="1769"/>
      <c r="G150" s="1769"/>
      <c r="H150" s="1769"/>
      <c r="I150" s="1769"/>
      <c r="J150" s="1773">
        <v>15338361145</v>
      </c>
    </row>
    <row r="151" spans="1:10" s="1731" customFormat="1" ht="18.600000000000001" customHeight="1" x14ac:dyDescent="0.5">
      <c r="A151" s="1724"/>
      <c r="B151" s="3725"/>
      <c r="C151" s="1771" t="s">
        <v>795</v>
      </c>
      <c r="D151" s="1208" t="s">
        <v>721</v>
      </c>
      <c r="E151" s="1749">
        <f t="shared" si="6"/>
        <v>4125305524</v>
      </c>
      <c r="F151" s="1769"/>
      <c r="G151" s="1769"/>
      <c r="H151" s="1769"/>
      <c r="I151" s="1769"/>
      <c r="J151" s="1773">
        <v>4125305524</v>
      </c>
    </row>
    <row r="152" spans="1:10" s="1731" customFormat="1" ht="18.600000000000001" customHeight="1" x14ac:dyDescent="0.5">
      <c r="A152" s="1724"/>
      <c r="B152" s="3725"/>
      <c r="C152" s="1771" t="s">
        <v>796</v>
      </c>
      <c r="D152" s="1208" t="s">
        <v>722</v>
      </c>
      <c r="E152" s="1749">
        <f t="shared" si="6"/>
        <v>5121549362</v>
      </c>
      <c r="F152" s="1769"/>
      <c r="G152" s="1769"/>
      <c r="H152" s="1769"/>
      <c r="I152" s="1769"/>
      <c r="J152" s="1740">
        <v>5121549362</v>
      </c>
    </row>
    <row r="153" spans="1:10" s="1731" customFormat="1" ht="18.600000000000001" customHeight="1" x14ac:dyDescent="0.5">
      <c r="A153" s="1724"/>
      <c r="B153" s="3725"/>
      <c r="C153" s="1771" t="s">
        <v>797</v>
      </c>
      <c r="D153" s="1208" t="s">
        <v>682</v>
      </c>
      <c r="E153" s="1749">
        <f t="shared" si="6"/>
        <v>3017737546</v>
      </c>
      <c r="F153" s="1769"/>
      <c r="G153" s="1769"/>
      <c r="H153" s="1769"/>
      <c r="I153" s="1769"/>
      <c r="J153" s="1740">
        <v>3017737546</v>
      </c>
    </row>
    <row r="154" spans="1:10" s="1731" customFormat="1" ht="18.600000000000001" customHeight="1" x14ac:dyDescent="0.5">
      <c r="A154" s="1724"/>
      <c r="B154" s="3725"/>
      <c r="C154" s="1771" t="s">
        <v>800</v>
      </c>
      <c r="D154" s="1208" t="s">
        <v>723</v>
      </c>
      <c r="E154" s="1749">
        <f t="shared" si="6"/>
        <v>4229611114</v>
      </c>
      <c r="F154" s="1769"/>
      <c r="G154" s="1769"/>
      <c r="H154" s="1769"/>
      <c r="I154" s="1769"/>
      <c r="J154" s="1740">
        <v>4229611114</v>
      </c>
    </row>
    <row r="155" spans="1:10" s="1731" customFormat="1" ht="18.600000000000001" customHeight="1" x14ac:dyDescent="0.5">
      <c r="A155" s="1724"/>
      <c r="B155" s="3725"/>
      <c r="C155" s="1771" t="s">
        <v>801</v>
      </c>
      <c r="D155" s="1208" t="s">
        <v>710</v>
      </c>
      <c r="E155" s="1749">
        <f t="shared" si="6"/>
        <v>4650000000</v>
      </c>
      <c r="F155" s="1769"/>
      <c r="G155" s="1769"/>
      <c r="H155" s="1769"/>
      <c r="I155" s="1769"/>
      <c r="J155" s="1740">
        <v>4650000000</v>
      </c>
    </row>
    <row r="156" spans="1:10" s="1731" customFormat="1" ht="18.600000000000001" customHeight="1" x14ac:dyDescent="0.5">
      <c r="A156" s="1724"/>
      <c r="B156" s="3725"/>
      <c r="C156" s="1762" t="s">
        <v>724</v>
      </c>
      <c r="D156" s="1208" t="s">
        <v>710</v>
      </c>
      <c r="E156" s="1749">
        <f t="shared" si="6"/>
        <v>22555678260</v>
      </c>
      <c r="F156" s="1769"/>
      <c r="G156" s="1769"/>
      <c r="H156" s="1769"/>
      <c r="I156" s="1769"/>
      <c r="J156" s="1740">
        <v>22555678260</v>
      </c>
    </row>
    <row r="157" spans="1:10" s="1731" customFormat="1" ht="18.600000000000001" customHeight="1" x14ac:dyDescent="0.5">
      <c r="A157" s="1724"/>
      <c r="B157" s="3725"/>
      <c r="C157" s="1762" t="s">
        <v>726</v>
      </c>
      <c r="D157" s="1208" t="s">
        <v>725</v>
      </c>
      <c r="E157" s="1749">
        <f t="shared" si="6"/>
        <v>5556578663</v>
      </c>
      <c r="F157" s="1769"/>
      <c r="G157" s="1769"/>
      <c r="H157" s="1769"/>
      <c r="I157" s="1769"/>
      <c r="J157" s="1740">
        <v>5556578663</v>
      </c>
    </row>
    <row r="158" spans="1:10" s="1731" customFormat="1" ht="18.600000000000001" customHeight="1" x14ac:dyDescent="0.5">
      <c r="A158" s="1724"/>
      <c r="B158" s="3725"/>
      <c r="C158" s="1762" t="s">
        <v>728</v>
      </c>
      <c r="D158" s="1208" t="s">
        <v>727</v>
      </c>
      <c r="E158" s="1749">
        <f t="shared" si="6"/>
        <v>8386896883</v>
      </c>
      <c r="F158" s="1769"/>
      <c r="G158" s="1769"/>
      <c r="H158" s="1769"/>
      <c r="I158" s="1769"/>
      <c r="J158" s="1740">
        <v>8386896883</v>
      </c>
    </row>
    <row r="159" spans="1:10" s="1731" customFormat="1" ht="18.600000000000001" customHeight="1" x14ac:dyDescent="0.5">
      <c r="A159" s="1724"/>
      <c r="B159" s="3725"/>
      <c r="C159" s="1762" t="s">
        <v>666</v>
      </c>
      <c r="D159" s="1208" t="s">
        <v>729</v>
      </c>
      <c r="E159" s="1749">
        <f t="shared" si="6"/>
        <v>32214761709</v>
      </c>
      <c r="F159" s="1769"/>
      <c r="G159" s="1769"/>
      <c r="H159" s="1769"/>
      <c r="I159" s="1769"/>
      <c r="J159" s="1740">
        <v>32214761709</v>
      </c>
    </row>
    <row r="160" spans="1:10" s="1731" customFormat="1" ht="18.600000000000001" customHeight="1" x14ac:dyDescent="0.5">
      <c r="A160" s="1724"/>
      <c r="B160" s="3725"/>
      <c r="C160" s="1762" t="s">
        <v>731</v>
      </c>
      <c r="D160" s="1208" t="s">
        <v>730</v>
      </c>
      <c r="E160" s="1749">
        <f t="shared" si="6"/>
        <v>6867612564</v>
      </c>
      <c r="F160" s="1769"/>
      <c r="G160" s="1769"/>
      <c r="H160" s="1769"/>
      <c r="I160" s="1769"/>
      <c r="J160" s="1740">
        <v>6867612564</v>
      </c>
    </row>
    <row r="161" spans="1:10" s="1731" customFormat="1" ht="18.600000000000001" customHeight="1" x14ac:dyDescent="0.5">
      <c r="A161" s="1724"/>
      <c r="B161" s="3725"/>
      <c r="C161" s="1762" t="s">
        <v>733</v>
      </c>
      <c r="D161" s="1208" t="s">
        <v>732</v>
      </c>
      <c r="E161" s="1749">
        <f t="shared" si="6"/>
        <v>1635664202</v>
      </c>
      <c r="F161" s="1769"/>
      <c r="G161" s="1769"/>
      <c r="H161" s="1769"/>
      <c r="I161" s="1769"/>
      <c r="J161" s="1740">
        <v>1635664202</v>
      </c>
    </row>
    <row r="162" spans="1:10" s="1731" customFormat="1" ht="18.600000000000001" customHeight="1" x14ac:dyDescent="0.5">
      <c r="A162" s="1724"/>
      <c r="B162" s="3725"/>
      <c r="C162" s="1762" t="s">
        <v>735</v>
      </c>
      <c r="D162" s="1208" t="s">
        <v>734</v>
      </c>
      <c r="E162" s="1749">
        <f t="shared" si="6"/>
        <v>32316070948</v>
      </c>
      <c r="F162" s="1769"/>
      <c r="G162" s="1769"/>
      <c r="H162" s="1769"/>
      <c r="I162" s="1769">
        <v>14281804277</v>
      </c>
      <c r="J162" s="1740">
        <v>46597875225</v>
      </c>
    </row>
    <row r="163" spans="1:10" s="1731" customFormat="1" ht="18.600000000000001" customHeight="1" x14ac:dyDescent="0.5">
      <c r="A163" s="1724"/>
      <c r="B163" s="3725"/>
      <c r="C163" s="1762" t="s">
        <v>737</v>
      </c>
      <c r="D163" s="1208" t="s">
        <v>736</v>
      </c>
      <c r="E163" s="1749">
        <f t="shared" si="6"/>
        <v>5063574846</v>
      </c>
      <c r="F163" s="1769"/>
      <c r="G163" s="1769"/>
      <c r="H163" s="1769"/>
      <c r="I163" s="1769"/>
      <c r="J163" s="1740">
        <v>5063574846</v>
      </c>
    </row>
    <row r="164" spans="1:10" s="1731" customFormat="1" ht="18.600000000000001" customHeight="1" x14ac:dyDescent="0.5">
      <c r="A164" s="1724"/>
      <c r="B164" s="3725"/>
      <c r="C164" s="1762" t="s">
        <v>739</v>
      </c>
      <c r="D164" s="1208" t="s">
        <v>738</v>
      </c>
      <c r="E164" s="1749">
        <f t="shared" si="6"/>
        <v>11528604513</v>
      </c>
      <c r="F164" s="1769"/>
      <c r="G164" s="1769"/>
      <c r="H164" s="1769"/>
      <c r="I164" s="1769"/>
      <c r="J164" s="1740">
        <v>11528604513</v>
      </c>
    </row>
    <row r="165" spans="1:10" s="1731" customFormat="1" ht="18.600000000000001" customHeight="1" x14ac:dyDescent="0.5">
      <c r="A165" s="1724"/>
      <c r="B165" s="3725"/>
      <c r="C165" s="1762" t="s">
        <v>741</v>
      </c>
      <c r="D165" s="1208" t="s">
        <v>740</v>
      </c>
      <c r="E165" s="1749">
        <f t="shared" si="6"/>
        <v>3227807326</v>
      </c>
      <c r="F165" s="1769"/>
      <c r="G165" s="1769"/>
      <c r="H165" s="1769"/>
      <c r="I165" s="1769"/>
      <c r="J165" s="1740">
        <v>3227807326</v>
      </c>
    </row>
    <row r="166" spans="1:10" s="1731" customFormat="1" ht="18.600000000000001" customHeight="1" x14ac:dyDescent="0.5">
      <c r="A166" s="1724"/>
      <c r="B166" s="3725"/>
      <c r="C166" s="1762" t="s">
        <v>742</v>
      </c>
      <c r="D166" s="1208" t="s">
        <v>712</v>
      </c>
      <c r="E166" s="1749">
        <f t="shared" si="6"/>
        <v>75713424871</v>
      </c>
      <c r="F166" s="1769"/>
      <c r="G166" s="1769"/>
      <c r="H166" s="1769"/>
      <c r="I166" s="1769"/>
      <c r="J166" s="1740">
        <v>75713424871</v>
      </c>
    </row>
    <row r="167" spans="1:10" s="1731" customFormat="1" ht="18.600000000000001" customHeight="1" x14ac:dyDescent="0.5">
      <c r="A167" s="1724"/>
      <c r="B167" s="3725"/>
      <c r="C167" s="1771" t="s">
        <v>744</v>
      </c>
      <c r="D167" s="1208" t="s">
        <v>743</v>
      </c>
      <c r="E167" s="1749">
        <f t="shared" si="6"/>
        <v>4949224660</v>
      </c>
      <c r="F167" s="1769"/>
      <c r="G167" s="1769"/>
      <c r="H167" s="1769"/>
      <c r="I167" s="1769"/>
      <c r="J167" s="1774">
        <v>4949224660</v>
      </c>
    </row>
    <row r="168" spans="1:10" s="1731" customFormat="1" ht="18.600000000000001" customHeight="1" x14ac:dyDescent="0.5">
      <c r="A168" s="1724"/>
      <c r="B168" s="3727"/>
      <c r="C168" s="3712" t="s">
        <v>94</v>
      </c>
      <c r="D168" s="3713"/>
      <c r="E168" s="1775">
        <f t="shared" ref="E168:I168" si="7">SUM(E120:E167)</f>
        <v>43530880487924</v>
      </c>
      <c r="F168" s="1775">
        <f t="shared" si="7"/>
        <v>166598712492</v>
      </c>
      <c r="G168" s="1775">
        <f t="shared" si="7"/>
        <v>0</v>
      </c>
      <c r="H168" s="1775">
        <f t="shared" si="7"/>
        <v>11185213251</v>
      </c>
      <c r="I168" s="1775">
        <f t="shared" si="7"/>
        <v>193684284023</v>
      </c>
      <c r="J168" s="1775">
        <f>SUM(J120:J167)</f>
        <v>43902348697690</v>
      </c>
    </row>
    <row r="169" spans="1:10" s="1731" customFormat="1" ht="18.600000000000001" customHeight="1" x14ac:dyDescent="0.2">
      <c r="A169" s="1724"/>
      <c r="B169" s="1776"/>
      <c r="C169" s="1777"/>
      <c r="D169" s="1777"/>
      <c r="E169" s="1778"/>
      <c r="F169" s="1778"/>
      <c r="G169" s="1778"/>
      <c r="H169" s="1778"/>
      <c r="I169" s="1778"/>
      <c r="J169" s="1778"/>
    </row>
    <row r="170" spans="1:10" s="1731" customFormat="1" ht="18.600000000000001" customHeight="1" x14ac:dyDescent="0.2">
      <c r="A170" s="3714" t="s">
        <v>1820</v>
      </c>
      <c r="B170" s="3714"/>
      <c r="C170" s="3714"/>
      <c r="D170" s="3714"/>
      <c r="E170" s="3714"/>
      <c r="F170" s="3714"/>
      <c r="G170" s="3714"/>
      <c r="H170" s="3714"/>
      <c r="I170" s="3714"/>
      <c r="J170" s="3714"/>
    </row>
    <row r="171" spans="1:10" s="1731" customFormat="1" ht="19.149999999999999" customHeight="1" x14ac:dyDescent="0.2">
      <c r="A171" s="3300" t="s">
        <v>295</v>
      </c>
      <c r="B171" s="3300"/>
      <c r="C171" s="3300"/>
      <c r="D171" s="3300"/>
      <c r="E171" s="3300"/>
      <c r="F171" s="3300"/>
      <c r="G171" s="3300"/>
      <c r="H171" s="3300"/>
      <c r="I171" s="3300"/>
      <c r="J171" s="3300"/>
    </row>
    <row r="172" spans="1:10" s="1731" customFormat="1" ht="19.149999999999999" customHeight="1" x14ac:dyDescent="0.2">
      <c r="A172" s="3300" t="s">
        <v>45</v>
      </c>
      <c r="B172" s="3300"/>
      <c r="C172" s="3300"/>
      <c r="D172" s="3300"/>
      <c r="E172" s="3300"/>
      <c r="F172" s="3300"/>
      <c r="G172" s="3300"/>
      <c r="H172" s="3300"/>
      <c r="I172" s="3300"/>
      <c r="J172" s="3300"/>
    </row>
    <row r="173" spans="1:10" s="1731" customFormat="1" ht="19.149999999999999" customHeight="1" x14ac:dyDescent="0.2">
      <c r="A173" s="3300" t="s">
        <v>46</v>
      </c>
      <c r="B173" s="3300"/>
      <c r="C173" s="3300"/>
      <c r="D173" s="3300"/>
      <c r="E173" s="3300"/>
      <c r="F173" s="3300"/>
      <c r="G173" s="3300"/>
      <c r="H173" s="3300"/>
      <c r="I173" s="3300"/>
      <c r="J173" s="3300"/>
    </row>
    <row r="174" spans="1:10" s="1731" customFormat="1" ht="19.149999999999999" customHeight="1" x14ac:dyDescent="0.2">
      <c r="A174" s="3721" t="s">
        <v>1992</v>
      </c>
      <c r="B174" s="3721"/>
      <c r="C174" s="3721"/>
      <c r="D174" s="3721"/>
      <c r="E174" s="3721"/>
      <c r="F174" s="3721"/>
      <c r="G174" s="3721"/>
      <c r="H174" s="3721"/>
      <c r="I174" s="3721"/>
      <c r="J174" s="3721"/>
    </row>
    <row r="175" spans="1:10" s="1731" customFormat="1" ht="19.149999999999999" customHeight="1" x14ac:dyDescent="0.35">
      <c r="A175" s="1724"/>
      <c r="B175" s="3715" t="s">
        <v>1302</v>
      </c>
      <c r="C175" s="3715"/>
      <c r="D175" s="3715"/>
      <c r="E175" s="3715"/>
      <c r="F175" s="3715"/>
      <c r="G175" s="3715"/>
      <c r="H175" s="3715"/>
      <c r="I175" s="3718" t="s">
        <v>194</v>
      </c>
      <c r="J175" s="3718"/>
    </row>
    <row r="176" spans="1:10" s="1731" customFormat="1" ht="19.149999999999999" customHeight="1" x14ac:dyDescent="0.45">
      <c r="A176" s="1724"/>
      <c r="B176" s="3724" t="s">
        <v>180</v>
      </c>
      <c r="C176" s="3742" t="s">
        <v>196</v>
      </c>
      <c r="D176" s="3733" t="s">
        <v>197</v>
      </c>
      <c r="E176" s="3716" t="s">
        <v>381</v>
      </c>
      <c r="F176" s="3717"/>
      <c r="G176" s="3717"/>
      <c r="H176" s="3717"/>
      <c r="I176" s="3717"/>
      <c r="J176" s="3719" t="s">
        <v>27</v>
      </c>
    </row>
    <row r="177" spans="1:10" s="1731" customFormat="1" ht="19.149999999999999" customHeight="1" x14ac:dyDescent="0.45">
      <c r="A177" s="1724"/>
      <c r="B177" s="3725"/>
      <c r="C177" s="3742"/>
      <c r="D177" s="3733"/>
      <c r="E177" s="1754" t="s">
        <v>1280</v>
      </c>
      <c r="F177" s="1755" t="s">
        <v>1281</v>
      </c>
      <c r="G177" s="1755"/>
      <c r="H177" s="1755" t="s">
        <v>1282</v>
      </c>
      <c r="I177" s="1755" t="s">
        <v>1283</v>
      </c>
      <c r="J177" s="3720"/>
    </row>
    <row r="178" spans="1:10" s="1731" customFormat="1" ht="88.15" customHeight="1" x14ac:dyDescent="0.2">
      <c r="A178" s="1724"/>
      <c r="B178" s="3725"/>
      <c r="C178" s="3742"/>
      <c r="D178" s="3733"/>
      <c r="E178" s="1756" t="s">
        <v>1284</v>
      </c>
      <c r="F178" s="1757" t="s">
        <v>1285</v>
      </c>
      <c r="G178" s="1758" t="s">
        <v>382</v>
      </c>
      <c r="H178" s="1757" t="s">
        <v>1286</v>
      </c>
      <c r="I178" s="1757" t="s">
        <v>1287</v>
      </c>
      <c r="J178" s="3720"/>
    </row>
    <row r="179" spans="1:10" s="1731" customFormat="1" ht="22.9" customHeight="1" x14ac:dyDescent="0.2">
      <c r="A179" s="1724"/>
      <c r="B179" s="3725"/>
      <c r="C179" s="3722" t="s">
        <v>993</v>
      </c>
      <c r="D179" s="3737"/>
      <c r="E179" s="1779">
        <f t="shared" ref="E179:J179" si="8">E168</f>
        <v>43530880487924</v>
      </c>
      <c r="F179" s="1759">
        <f>F168</f>
        <v>166598712492</v>
      </c>
      <c r="G179" s="1759">
        <f t="shared" si="8"/>
        <v>0</v>
      </c>
      <c r="H179" s="1759">
        <f t="shared" si="8"/>
        <v>11185213251</v>
      </c>
      <c r="I179" s="1759">
        <f t="shared" si="8"/>
        <v>193684284023</v>
      </c>
      <c r="J179" s="1759">
        <f t="shared" si="8"/>
        <v>43902348697690</v>
      </c>
    </row>
    <row r="180" spans="1:10" s="1731" customFormat="1" ht="19.149999999999999" customHeight="1" x14ac:dyDescent="0.2">
      <c r="A180" s="1724"/>
      <c r="B180" s="3725"/>
      <c r="C180" s="1771" t="s">
        <v>746</v>
      </c>
      <c r="D180" s="1208" t="s">
        <v>745</v>
      </c>
      <c r="E180" s="1779">
        <f>J180-I180-H180-F180</f>
        <v>11335000000</v>
      </c>
      <c r="F180" s="1780"/>
      <c r="G180" s="1780"/>
      <c r="H180" s="1780"/>
      <c r="I180" s="1780"/>
      <c r="J180" s="1781">
        <v>11335000000</v>
      </c>
    </row>
    <row r="181" spans="1:10" s="1731" customFormat="1" ht="22.15" customHeight="1" x14ac:dyDescent="0.2">
      <c r="A181" s="1724"/>
      <c r="B181" s="3725"/>
      <c r="C181" s="1771" t="s">
        <v>748</v>
      </c>
      <c r="D181" s="1208" t="s">
        <v>747</v>
      </c>
      <c r="E181" s="1779">
        <f t="shared" ref="E181:E218" si="9">J181-I181-H181-F181</f>
        <v>532667464</v>
      </c>
      <c r="F181" s="1780"/>
      <c r="G181" s="1780"/>
      <c r="H181" s="1780"/>
      <c r="I181" s="1780"/>
      <c r="J181" s="550">
        <v>532667464</v>
      </c>
    </row>
    <row r="182" spans="1:10" s="1731" customFormat="1" ht="22.15" customHeight="1" x14ac:dyDescent="0.2">
      <c r="A182" s="1724"/>
      <c r="B182" s="3725"/>
      <c r="C182" s="1771" t="s">
        <v>750</v>
      </c>
      <c r="D182" s="1208" t="s">
        <v>749</v>
      </c>
      <c r="E182" s="1779">
        <f t="shared" si="9"/>
        <v>1000000000</v>
      </c>
      <c r="F182" s="1780"/>
      <c r="G182" s="1780"/>
      <c r="H182" s="1780"/>
      <c r="I182" s="1780"/>
      <c r="J182" s="1781">
        <v>1000000000</v>
      </c>
    </row>
    <row r="183" spans="1:10" s="1731" customFormat="1" ht="22.15" customHeight="1" x14ac:dyDescent="0.2">
      <c r="A183" s="1724"/>
      <c r="B183" s="3725"/>
      <c r="C183" s="1771" t="s">
        <v>752</v>
      </c>
      <c r="D183" s="1208" t="s">
        <v>751</v>
      </c>
      <c r="E183" s="1779">
        <f t="shared" si="9"/>
        <v>2639174621</v>
      </c>
      <c r="F183" s="1780"/>
      <c r="G183" s="1780"/>
      <c r="H183" s="1780"/>
      <c r="I183" s="1780"/>
      <c r="J183" s="1781">
        <v>2639174621</v>
      </c>
    </row>
    <row r="184" spans="1:10" s="1731" customFormat="1" ht="22.15" customHeight="1" x14ac:dyDescent="0.2">
      <c r="A184" s="1724"/>
      <c r="B184" s="3725"/>
      <c r="C184" s="1771" t="s">
        <v>754</v>
      </c>
      <c r="D184" s="1208" t="s">
        <v>753</v>
      </c>
      <c r="E184" s="1779">
        <f t="shared" si="9"/>
        <v>8133671669</v>
      </c>
      <c r="F184" s="1780"/>
      <c r="G184" s="1780"/>
      <c r="H184" s="1780"/>
      <c r="I184" s="1780"/>
      <c r="J184" s="1781">
        <v>8133671669</v>
      </c>
    </row>
    <row r="185" spans="1:10" s="1731" customFormat="1" ht="22.15" customHeight="1" x14ac:dyDescent="0.2">
      <c r="A185" s="1724"/>
      <c r="B185" s="3725"/>
      <c r="C185" s="1771" t="s">
        <v>788</v>
      </c>
      <c r="D185" s="1208" t="s">
        <v>683</v>
      </c>
      <c r="E185" s="1779">
        <f t="shared" si="9"/>
        <v>4200532598</v>
      </c>
      <c r="F185" s="1780"/>
      <c r="G185" s="1780"/>
      <c r="H185" s="1780"/>
      <c r="I185" s="1780"/>
      <c r="J185" s="1774">
        <v>4200532598</v>
      </c>
    </row>
    <row r="186" spans="1:10" s="1731" customFormat="1" ht="22.15" customHeight="1" x14ac:dyDescent="0.2">
      <c r="A186" s="1724"/>
      <c r="B186" s="3725"/>
      <c r="C186" s="1771" t="s">
        <v>787</v>
      </c>
      <c r="D186" s="1208" t="s">
        <v>684</v>
      </c>
      <c r="E186" s="1779">
        <f t="shared" si="9"/>
        <v>2042911786</v>
      </c>
      <c r="F186" s="1780"/>
      <c r="G186" s="1780"/>
      <c r="H186" s="1780"/>
      <c r="I186" s="1780"/>
      <c r="J186" s="1772">
        <v>2042911786</v>
      </c>
    </row>
    <row r="187" spans="1:10" s="1731" customFormat="1" ht="22.15" customHeight="1" x14ac:dyDescent="0.2">
      <c r="A187" s="1724"/>
      <c r="B187" s="3725"/>
      <c r="C187" s="1771" t="s">
        <v>802</v>
      </c>
      <c r="D187" s="1208" t="s">
        <v>757</v>
      </c>
      <c r="E187" s="1779">
        <f t="shared" si="9"/>
        <v>6800000000</v>
      </c>
      <c r="F187" s="1780"/>
      <c r="G187" s="1780"/>
      <c r="H187" s="1780"/>
      <c r="I187" s="1780"/>
      <c r="J187" s="1740">
        <v>6800000000</v>
      </c>
    </row>
    <row r="188" spans="1:10" s="1731" customFormat="1" ht="22.15" customHeight="1" x14ac:dyDescent="0.2">
      <c r="A188" s="1724"/>
      <c r="B188" s="3725"/>
      <c r="C188" s="1771" t="s">
        <v>803</v>
      </c>
      <c r="D188" s="1208" t="s">
        <v>712</v>
      </c>
      <c r="E188" s="1779">
        <f t="shared" si="9"/>
        <v>8067417650</v>
      </c>
      <c r="F188" s="1780"/>
      <c r="G188" s="1780"/>
      <c r="H188" s="1780"/>
      <c r="I188" s="1780"/>
      <c r="J188" s="1740">
        <v>8067417650</v>
      </c>
    </row>
    <row r="189" spans="1:10" s="1731" customFormat="1" ht="22.15" customHeight="1" x14ac:dyDescent="0.2">
      <c r="A189" s="1724"/>
      <c r="B189" s="3725"/>
      <c r="C189" s="1771" t="s">
        <v>804</v>
      </c>
      <c r="D189" s="1208" t="s">
        <v>758</v>
      </c>
      <c r="E189" s="1779">
        <f t="shared" si="9"/>
        <v>10390766753</v>
      </c>
      <c r="F189" s="1780"/>
      <c r="G189" s="1780"/>
      <c r="H189" s="1780"/>
      <c r="I189" s="1780"/>
      <c r="J189" s="1740">
        <v>10390766753</v>
      </c>
    </row>
    <row r="190" spans="1:10" s="1731" customFormat="1" ht="22.15" customHeight="1" x14ac:dyDescent="0.2">
      <c r="A190" s="1724"/>
      <c r="B190" s="3725"/>
      <c r="C190" s="1771" t="s">
        <v>805</v>
      </c>
      <c r="D190" s="1208" t="s">
        <v>759</v>
      </c>
      <c r="E190" s="1779">
        <f t="shared" si="9"/>
        <v>5318788275</v>
      </c>
      <c r="F190" s="1780"/>
      <c r="G190" s="1780"/>
      <c r="H190" s="1780"/>
      <c r="I190" s="1780"/>
      <c r="J190" s="1740">
        <v>5318788275</v>
      </c>
    </row>
    <row r="191" spans="1:10" s="1731" customFormat="1" ht="22.15" customHeight="1" x14ac:dyDescent="0.2">
      <c r="A191" s="1724"/>
      <c r="B191" s="3725"/>
      <c r="C191" s="1762" t="s">
        <v>761</v>
      </c>
      <c r="D191" s="1208" t="s">
        <v>760</v>
      </c>
      <c r="E191" s="1779">
        <f t="shared" si="9"/>
        <v>1640041808</v>
      </c>
      <c r="F191" s="1780"/>
      <c r="G191" s="1780"/>
      <c r="H191" s="1780"/>
      <c r="I191" s="1780"/>
      <c r="J191" s="1740">
        <v>1640041808</v>
      </c>
    </row>
    <row r="192" spans="1:10" s="1731" customFormat="1" ht="22.15" customHeight="1" x14ac:dyDescent="0.2">
      <c r="A192" s="1724"/>
      <c r="B192" s="3725"/>
      <c r="C192" s="1762" t="s">
        <v>763</v>
      </c>
      <c r="D192" s="1208" t="s">
        <v>762</v>
      </c>
      <c r="E192" s="1779">
        <f t="shared" si="9"/>
        <v>210624218</v>
      </c>
      <c r="F192" s="1780"/>
      <c r="G192" s="1780"/>
      <c r="H192" s="1780"/>
      <c r="I192" s="1780"/>
      <c r="J192" s="1740">
        <v>210624218</v>
      </c>
    </row>
    <row r="193" spans="1:10" s="1731" customFormat="1" ht="22.15" customHeight="1" x14ac:dyDescent="0.2">
      <c r="A193" s="1724"/>
      <c r="B193" s="3725"/>
      <c r="C193" s="1762" t="s">
        <v>765</v>
      </c>
      <c r="D193" s="1208" t="s">
        <v>764</v>
      </c>
      <c r="E193" s="1779">
        <f t="shared" si="9"/>
        <v>303000000</v>
      </c>
      <c r="F193" s="1780"/>
      <c r="G193" s="1780"/>
      <c r="H193" s="1780"/>
      <c r="I193" s="1780"/>
      <c r="J193" s="1740">
        <v>303000000</v>
      </c>
    </row>
    <row r="194" spans="1:10" s="1731" customFormat="1" ht="22.15" customHeight="1" x14ac:dyDescent="0.2">
      <c r="A194" s="1724"/>
      <c r="B194" s="3725"/>
      <c r="C194" s="1762" t="s">
        <v>767</v>
      </c>
      <c r="D194" s="1208" t="s">
        <v>766</v>
      </c>
      <c r="E194" s="1779">
        <f t="shared" si="9"/>
        <v>819867135</v>
      </c>
      <c r="F194" s="1780"/>
      <c r="G194" s="1780"/>
      <c r="H194" s="1780"/>
      <c r="I194" s="1780"/>
      <c r="J194" s="1740">
        <v>819867135</v>
      </c>
    </row>
    <row r="195" spans="1:10" s="1731" customFormat="1" ht="22.15" customHeight="1" x14ac:dyDescent="0.2">
      <c r="A195" s="1724"/>
      <c r="B195" s="3725"/>
      <c r="C195" s="1762" t="s">
        <v>769</v>
      </c>
      <c r="D195" s="1208" t="s">
        <v>768</v>
      </c>
      <c r="E195" s="1779">
        <f t="shared" si="9"/>
        <v>213884959</v>
      </c>
      <c r="F195" s="1780"/>
      <c r="G195" s="1780"/>
      <c r="H195" s="1780"/>
      <c r="I195" s="1780"/>
      <c r="J195" s="1740">
        <v>213884959</v>
      </c>
    </row>
    <row r="196" spans="1:10" s="1731" customFormat="1" ht="22.15" customHeight="1" x14ac:dyDescent="0.2">
      <c r="A196" s="1724"/>
      <c r="B196" s="3725"/>
      <c r="C196" s="1762" t="s">
        <v>771</v>
      </c>
      <c r="D196" s="1208" t="s">
        <v>770</v>
      </c>
      <c r="E196" s="1779">
        <f t="shared" si="9"/>
        <v>1019509766</v>
      </c>
      <c r="F196" s="1780"/>
      <c r="G196" s="1780"/>
      <c r="H196" s="1780"/>
      <c r="I196" s="1780"/>
      <c r="J196" s="1740">
        <v>1019509766</v>
      </c>
    </row>
    <row r="197" spans="1:10" s="1731" customFormat="1" ht="22.15" customHeight="1" x14ac:dyDescent="0.2">
      <c r="A197" s="1724"/>
      <c r="B197" s="3725"/>
      <c r="C197" s="1762" t="s">
        <v>773</v>
      </c>
      <c r="D197" s="1208" t="s">
        <v>772</v>
      </c>
      <c r="E197" s="1779">
        <f t="shared" si="9"/>
        <v>3079672574</v>
      </c>
      <c r="F197" s="1780"/>
      <c r="G197" s="1780"/>
      <c r="H197" s="1780"/>
      <c r="I197" s="1780"/>
      <c r="J197" s="1773">
        <v>3079672574</v>
      </c>
    </row>
    <row r="198" spans="1:10" s="1731" customFormat="1" ht="22.15" customHeight="1" x14ac:dyDescent="0.2">
      <c r="A198" s="1724"/>
      <c r="B198" s="3725"/>
      <c r="C198" s="1762" t="s">
        <v>775</v>
      </c>
      <c r="D198" s="1214" t="s">
        <v>774</v>
      </c>
      <c r="E198" s="1779">
        <f t="shared" si="9"/>
        <v>1808546934</v>
      </c>
      <c r="F198" s="1780"/>
      <c r="G198" s="1780"/>
      <c r="H198" s="1780"/>
      <c r="I198" s="1780"/>
      <c r="J198" s="1773">
        <v>1808546934</v>
      </c>
    </row>
    <row r="199" spans="1:10" s="1731" customFormat="1" ht="22.15" customHeight="1" x14ac:dyDescent="0.2">
      <c r="A199" s="1724"/>
      <c r="B199" s="3725"/>
      <c r="C199" s="1762" t="s">
        <v>777</v>
      </c>
      <c r="D199" s="1208" t="s">
        <v>776</v>
      </c>
      <c r="E199" s="1779">
        <f t="shared" si="9"/>
        <v>1000271852</v>
      </c>
      <c r="F199" s="1780"/>
      <c r="G199" s="1780"/>
      <c r="H199" s="1780"/>
      <c r="I199" s="1780"/>
      <c r="J199" s="1773">
        <v>1000271852</v>
      </c>
    </row>
    <row r="200" spans="1:10" s="1731" customFormat="1" ht="22.15" customHeight="1" x14ac:dyDescent="0.2">
      <c r="A200" s="1724"/>
      <c r="B200" s="3725"/>
      <c r="C200" s="1762" t="s">
        <v>779</v>
      </c>
      <c r="D200" s="1208" t="s">
        <v>778</v>
      </c>
      <c r="E200" s="1779">
        <f t="shared" si="9"/>
        <v>4692270963</v>
      </c>
      <c r="F200" s="1780"/>
      <c r="G200" s="1780"/>
      <c r="H200" s="1780"/>
      <c r="I200" s="1780"/>
      <c r="J200" s="1773">
        <v>4692270963</v>
      </c>
    </row>
    <row r="201" spans="1:10" s="1731" customFormat="1" ht="22.15" customHeight="1" x14ac:dyDescent="0.2">
      <c r="A201" s="1724"/>
      <c r="B201" s="3725"/>
      <c r="C201" s="1762" t="s">
        <v>781</v>
      </c>
      <c r="D201" s="1208" t="s">
        <v>780</v>
      </c>
      <c r="E201" s="1779">
        <f t="shared" si="9"/>
        <v>3189339143</v>
      </c>
      <c r="F201" s="1780"/>
      <c r="G201" s="1780"/>
      <c r="H201" s="1780"/>
      <c r="I201" s="1780"/>
      <c r="J201" s="1773">
        <v>3189339143</v>
      </c>
    </row>
    <row r="202" spans="1:10" s="1731" customFormat="1" ht="19.899999999999999" customHeight="1" x14ac:dyDescent="0.2">
      <c r="A202" s="1724"/>
      <c r="B202" s="3725"/>
      <c r="C202" s="1762" t="s">
        <v>782</v>
      </c>
      <c r="D202" s="1208" t="s">
        <v>712</v>
      </c>
      <c r="E202" s="1779">
        <f t="shared" si="9"/>
        <v>1689496574</v>
      </c>
      <c r="F202" s="1780"/>
      <c r="G202" s="1780"/>
      <c r="H202" s="1780"/>
      <c r="I202" s="1780"/>
      <c r="J202" s="1740">
        <v>1689496574</v>
      </c>
    </row>
    <row r="203" spans="1:10" s="1731" customFormat="1" ht="19.899999999999999" customHeight="1" x14ac:dyDescent="0.2">
      <c r="A203" s="1724"/>
      <c r="B203" s="3725"/>
      <c r="C203" s="1762" t="s">
        <v>784</v>
      </c>
      <c r="D203" s="1208" t="s">
        <v>783</v>
      </c>
      <c r="E203" s="1779">
        <f t="shared" si="9"/>
        <v>2000903840</v>
      </c>
      <c r="F203" s="1780"/>
      <c r="G203" s="1780"/>
      <c r="H203" s="1780"/>
      <c r="I203" s="1780"/>
      <c r="J203" s="1740">
        <v>2000903840</v>
      </c>
    </row>
    <row r="204" spans="1:10" s="1731" customFormat="1" ht="19.899999999999999" customHeight="1" x14ac:dyDescent="0.2">
      <c r="A204" s="1724"/>
      <c r="B204" s="3725"/>
      <c r="C204" s="1762" t="s">
        <v>785</v>
      </c>
      <c r="D204" s="1208" t="s">
        <v>712</v>
      </c>
      <c r="E204" s="1779">
        <f t="shared" si="9"/>
        <v>2953703431</v>
      </c>
      <c r="F204" s="1780"/>
      <c r="G204" s="1780"/>
      <c r="H204" s="1780"/>
      <c r="I204" s="1780"/>
      <c r="J204" s="1782">
        <v>2953703431</v>
      </c>
    </row>
    <row r="205" spans="1:10" s="1731" customFormat="1" ht="19.899999999999999" customHeight="1" x14ac:dyDescent="0.2">
      <c r="A205" s="1724"/>
      <c r="B205" s="3725"/>
      <c r="C205" s="1783" t="s">
        <v>929</v>
      </c>
      <c r="D205" s="1200" t="s">
        <v>918</v>
      </c>
      <c r="E205" s="1779">
        <f t="shared" si="9"/>
        <v>2244633333</v>
      </c>
      <c r="F205" s="1780"/>
      <c r="G205" s="1780"/>
      <c r="H205" s="1780"/>
      <c r="I205" s="1780"/>
      <c r="J205" s="1746">
        <v>2244633333</v>
      </c>
    </row>
    <row r="206" spans="1:10" s="1731" customFormat="1" ht="19.899999999999999" customHeight="1" x14ac:dyDescent="0.2">
      <c r="A206" s="1724"/>
      <c r="B206" s="3725"/>
      <c r="C206" s="272" t="s">
        <v>540</v>
      </c>
      <c r="D206" s="1353" t="s">
        <v>541</v>
      </c>
      <c r="E206" s="1779">
        <f t="shared" si="9"/>
        <v>481362399512</v>
      </c>
      <c r="F206" s="1780"/>
      <c r="G206" s="1780"/>
      <c r="H206" s="1780"/>
      <c r="I206" s="1780">
        <v>30397014776</v>
      </c>
      <c r="J206" s="550">
        <v>511759414288</v>
      </c>
    </row>
    <row r="207" spans="1:10" s="1731" customFormat="1" ht="19.899999999999999" customHeight="1" x14ac:dyDescent="0.2">
      <c r="A207" s="1724"/>
      <c r="B207" s="3725"/>
      <c r="C207" s="1784" t="s">
        <v>117</v>
      </c>
      <c r="D207" s="1200" t="s">
        <v>365</v>
      </c>
      <c r="E207" s="1779">
        <f t="shared" si="9"/>
        <v>4531142234</v>
      </c>
      <c r="F207" s="1780"/>
      <c r="G207" s="1780"/>
      <c r="H207" s="1780"/>
      <c r="I207" s="1780"/>
      <c r="J207" s="550">
        <v>4531142234</v>
      </c>
    </row>
    <row r="208" spans="1:10" s="1731" customFormat="1" ht="19.899999999999999" customHeight="1" x14ac:dyDescent="0.2">
      <c r="A208" s="1724"/>
      <c r="B208" s="3725"/>
      <c r="C208" s="1785" t="s">
        <v>158</v>
      </c>
      <c r="D208" s="1200" t="s">
        <v>349</v>
      </c>
      <c r="E208" s="1779">
        <f t="shared" si="9"/>
        <v>5322190720</v>
      </c>
      <c r="F208" s="1780"/>
      <c r="G208" s="1780"/>
      <c r="H208" s="1780"/>
      <c r="I208" s="1780"/>
      <c r="J208" s="1255">
        <v>5322190720</v>
      </c>
    </row>
    <row r="209" spans="1:10" s="1731" customFormat="1" ht="19.899999999999999" customHeight="1" x14ac:dyDescent="0.2">
      <c r="A209" s="1724"/>
      <c r="B209" s="3725"/>
      <c r="C209" s="1786" t="s">
        <v>113</v>
      </c>
      <c r="D209" s="1209" t="s">
        <v>114</v>
      </c>
      <c r="E209" s="1779">
        <f t="shared" si="9"/>
        <v>1660317872</v>
      </c>
      <c r="F209" s="1780"/>
      <c r="G209" s="1780"/>
      <c r="H209" s="1780"/>
      <c r="I209" s="1780"/>
      <c r="J209" s="1255">
        <v>1660317872</v>
      </c>
    </row>
    <row r="210" spans="1:10" s="1731" customFormat="1" ht="19.899999999999999" customHeight="1" x14ac:dyDescent="0.2">
      <c r="A210" s="1724"/>
      <c r="B210" s="3725"/>
      <c r="C210" s="1786" t="s">
        <v>99</v>
      </c>
      <c r="D210" s="1209" t="s">
        <v>100</v>
      </c>
      <c r="E210" s="1779">
        <f t="shared" si="9"/>
        <v>4260666648</v>
      </c>
      <c r="F210" s="1780"/>
      <c r="G210" s="1780"/>
      <c r="H210" s="1780"/>
      <c r="I210" s="1780"/>
      <c r="J210" s="1255">
        <v>4260666648</v>
      </c>
    </row>
    <row r="211" spans="1:10" s="1731" customFormat="1" ht="19.899999999999999" customHeight="1" x14ac:dyDescent="0.2">
      <c r="A211" s="1724"/>
      <c r="B211" s="3725"/>
      <c r="C211" s="1786" t="s">
        <v>101</v>
      </c>
      <c r="D211" s="1209" t="s">
        <v>102</v>
      </c>
      <c r="E211" s="1779">
        <f t="shared" si="9"/>
        <v>2940144864</v>
      </c>
      <c r="F211" s="1780"/>
      <c r="G211" s="1780"/>
      <c r="H211" s="1780"/>
      <c r="I211" s="1780"/>
      <c r="J211" s="1255">
        <v>2940144864</v>
      </c>
    </row>
    <row r="212" spans="1:10" s="1731" customFormat="1" ht="19.899999999999999" customHeight="1" x14ac:dyDescent="0.2">
      <c r="A212" s="1724"/>
      <c r="B212" s="3725"/>
      <c r="C212" s="1786" t="s">
        <v>96</v>
      </c>
      <c r="D212" s="1209" t="s">
        <v>97</v>
      </c>
      <c r="E212" s="1779">
        <f t="shared" si="9"/>
        <v>26401855711</v>
      </c>
      <c r="F212" s="1780"/>
      <c r="G212" s="1780"/>
      <c r="H212" s="1780"/>
      <c r="I212" s="1780"/>
      <c r="J212" s="1255">
        <v>26401855711</v>
      </c>
    </row>
    <row r="213" spans="1:10" s="1731" customFormat="1" ht="19.899999999999999" customHeight="1" x14ac:dyDescent="0.2">
      <c r="A213" s="1724"/>
      <c r="B213" s="3725"/>
      <c r="C213" s="1787" t="s">
        <v>810</v>
      </c>
      <c r="D213" s="1210" t="s">
        <v>1085</v>
      </c>
      <c r="E213" s="1779">
        <f t="shared" si="9"/>
        <v>7354000000</v>
      </c>
      <c r="F213" s="1780"/>
      <c r="G213" s="1780"/>
      <c r="H213" s="1780"/>
      <c r="I213" s="1780"/>
      <c r="J213" s="1255">
        <v>7354000000</v>
      </c>
    </row>
    <row r="214" spans="1:10" s="1731" customFormat="1" ht="19.899999999999999" customHeight="1" x14ac:dyDescent="0.2">
      <c r="A214" s="1724"/>
      <c r="B214" s="3725"/>
      <c r="C214" s="1788" t="s">
        <v>1089</v>
      </c>
      <c r="D214" s="1210" t="s">
        <v>1090</v>
      </c>
      <c r="E214" s="1779">
        <f t="shared" si="9"/>
        <v>33675146067</v>
      </c>
      <c r="F214" s="1780"/>
      <c r="G214" s="1780"/>
      <c r="H214" s="1780"/>
      <c r="I214" s="1780"/>
      <c r="J214" s="1740">
        <v>33675146067</v>
      </c>
    </row>
    <row r="215" spans="1:10" s="1731" customFormat="1" ht="19.899999999999999" customHeight="1" x14ac:dyDescent="0.2">
      <c r="A215" s="1724"/>
      <c r="B215" s="3725"/>
      <c r="C215" s="1787" t="s">
        <v>1080</v>
      </c>
      <c r="D215" s="1209" t="s">
        <v>1081</v>
      </c>
      <c r="E215" s="1779">
        <f t="shared" si="9"/>
        <v>143108878303</v>
      </c>
      <c r="F215" s="1780"/>
      <c r="G215" s="1780"/>
      <c r="H215" s="1780"/>
      <c r="I215" s="1780"/>
      <c r="J215" s="1740">
        <v>143108878303</v>
      </c>
    </row>
    <row r="216" spans="1:10" s="1731" customFormat="1" ht="19.899999999999999" customHeight="1" x14ac:dyDescent="0.2">
      <c r="A216" s="1724"/>
      <c r="B216" s="3725"/>
      <c r="C216" s="1788" t="s">
        <v>1083</v>
      </c>
      <c r="D216" s="1210" t="s">
        <v>1082</v>
      </c>
      <c r="E216" s="1779">
        <f>J216-I216-H216-F216</f>
        <v>297950182923</v>
      </c>
      <c r="F216" s="1780">
        <v>5591700000</v>
      </c>
      <c r="G216" s="1780"/>
      <c r="H216" s="1780"/>
      <c r="I216" s="1780">
        <v>12965647206</v>
      </c>
      <c r="J216" s="1740">
        <v>316507530129</v>
      </c>
    </row>
    <row r="217" spans="1:10" s="1731" customFormat="1" ht="19.899999999999999" customHeight="1" x14ac:dyDescent="0.2">
      <c r="A217" s="1724"/>
      <c r="B217" s="3725"/>
      <c r="C217" s="1787" t="s">
        <v>1078</v>
      </c>
      <c r="D217" s="1210" t="s">
        <v>1077</v>
      </c>
      <c r="E217" s="1779">
        <f t="shared" si="9"/>
        <v>142208321424</v>
      </c>
      <c r="F217" s="1780"/>
      <c r="G217" s="1780"/>
      <c r="H217" s="1780"/>
      <c r="I217" s="1780"/>
      <c r="J217" s="1782">
        <v>142208321424</v>
      </c>
    </row>
    <row r="218" spans="1:10" s="1731" customFormat="1" ht="19.899999999999999" customHeight="1" x14ac:dyDescent="0.2">
      <c r="A218" s="1724"/>
      <c r="B218" s="3725"/>
      <c r="C218" s="625" t="s">
        <v>301</v>
      </c>
      <c r="D218" s="1210" t="s">
        <v>302</v>
      </c>
      <c r="E218" s="1779">
        <f t="shared" si="9"/>
        <v>28484305</v>
      </c>
      <c r="F218" s="1780"/>
      <c r="G218" s="1780"/>
      <c r="H218" s="1780"/>
      <c r="I218" s="1780"/>
      <c r="J218" s="1255">
        <v>28484305</v>
      </c>
    </row>
    <row r="219" spans="1:10" s="1731" customFormat="1" ht="19.899999999999999" customHeight="1" x14ac:dyDescent="0.2">
      <c r="A219" s="1724"/>
      <c r="B219" s="3727"/>
      <c r="C219" s="3712" t="s">
        <v>94</v>
      </c>
      <c r="D219" s="3713"/>
      <c r="E219" s="1779">
        <f t="shared" ref="E219:J219" si="10">SUM(E179:E218)</f>
        <v>44769010915853</v>
      </c>
      <c r="F219" s="1779">
        <f t="shared" si="10"/>
        <v>172190412492</v>
      </c>
      <c r="G219" s="1779">
        <f t="shared" si="10"/>
        <v>0</v>
      </c>
      <c r="H219" s="1779">
        <f t="shared" si="10"/>
        <v>11185213251</v>
      </c>
      <c r="I219" s="1779">
        <f t="shared" si="10"/>
        <v>237046946005</v>
      </c>
      <c r="J219" s="1779">
        <f t="shared" si="10"/>
        <v>45189433487601</v>
      </c>
    </row>
    <row r="220" spans="1:10" s="1731" customFormat="1" ht="19.899999999999999" customHeight="1" x14ac:dyDescent="0.2">
      <c r="A220" s="1724"/>
      <c r="B220" s="1776"/>
      <c r="C220" s="1777"/>
      <c r="D220" s="1777"/>
      <c r="E220" s="1789"/>
      <c r="F220" s="1789"/>
      <c r="G220" s="1789"/>
      <c r="H220" s="1789"/>
      <c r="I220" s="1789"/>
      <c r="J220" s="1789"/>
    </row>
    <row r="221" spans="1:10" s="1731" customFormat="1" ht="15" customHeight="1" x14ac:dyDescent="0.2">
      <c r="A221" s="3747">
        <v>55</v>
      </c>
      <c r="B221" s="3747"/>
      <c r="C221" s="3747"/>
      <c r="D221" s="3747"/>
      <c r="E221" s="3747"/>
      <c r="F221" s="3747"/>
      <c r="G221" s="3747"/>
      <c r="H221" s="3747"/>
      <c r="I221" s="3747"/>
      <c r="J221" s="3747"/>
    </row>
    <row r="222" spans="1:10" s="1731" customFormat="1" ht="15" customHeight="1" x14ac:dyDescent="0.2">
      <c r="A222" s="1790"/>
      <c r="B222" s="1790"/>
      <c r="C222" s="1790"/>
      <c r="D222" s="1790"/>
      <c r="E222" s="1790"/>
      <c r="F222" s="1790"/>
      <c r="G222" s="1790"/>
      <c r="H222" s="1790"/>
      <c r="I222" s="1790"/>
      <c r="J222" s="1790"/>
    </row>
    <row r="223" spans="1:10" s="1731" customFormat="1" ht="30.6" customHeight="1" x14ac:dyDescent="0.2">
      <c r="A223" s="3300" t="s">
        <v>295</v>
      </c>
      <c r="B223" s="3300"/>
      <c r="C223" s="3300"/>
      <c r="D223" s="3300"/>
      <c r="E223" s="3300"/>
      <c r="F223" s="3300"/>
      <c r="G223" s="3300"/>
      <c r="H223" s="3300"/>
      <c r="I223" s="3300"/>
      <c r="J223" s="3300"/>
    </row>
    <row r="224" spans="1:10" s="1731" customFormat="1" ht="30.6" customHeight="1" x14ac:dyDescent="0.2">
      <c r="A224" s="3300" t="s">
        <v>45</v>
      </c>
      <c r="B224" s="3300"/>
      <c r="C224" s="3300"/>
      <c r="D224" s="3300"/>
      <c r="E224" s="3300"/>
      <c r="F224" s="3300"/>
      <c r="G224" s="3300"/>
      <c r="H224" s="3300"/>
      <c r="I224" s="3300"/>
      <c r="J224" s="3300"/>
    </row>
    <row r="225" spans="1:10" s="1731" customFormat="1" ht="30.6" customHeight="1" x14ac:dyDescent="0.2">
      <c r="A225" s="3300" t="s">
        <v>46</v>
      </c>
      <c r="B225" s="3300"/>
      <c r="C225" s="3300"/>
      <c r="D225" s="3300"/>
      <c r="E225" s="3300"/>
      <c r="F225" s="3300"/>
      <c r="G225" s="3300"/>
      <c r="H225" s="3300"/>
      <c r="I225" s="3300"/>
      <c r="J225" s="3300"/>
    </row>
    <row r="226" spans="1:10" s="1731" customFormat="1" ht="30.6" customHeight="1" x14ac:dyDescent="0.2">
      <c r="A226" s="3721" t="s">
        <v>1992</v>
      </c>
      <c r="B226" s="3721"/>
      <c r="C226" s="3721"/>
      <c r="D226" s="3721"/>
      <c r="E226" s="3721"/>
      <c r="F226" s="3721"/>
      <c r="G226" s="3721"/>
      <c r="H226" s="3721"/>
      <c r="I226" s="3721"/>
      <c r="J226" s="3721"/>
    </row>
    <row r="227" spans="1:10" s="1731" customFormat="1" ht="21" customHeight="1" x14ac:dyDescent="0.35">
      <c r="A227" s="1724"/>
      <c r="B227" s="3715" t="s">
        <v>1302</v>
      </c>
      <c r="C227" s="3715"/>
      <c r="D227" s="3715"/>
      <c r="E227" s="3715"/>
      <c r="F227" s="3715"/>
      <c r="G227" s="3715"/>
      <c r="H227" s="3715"/>
      <c r="I227" s="3718" t="s">
        <v>194</v>
      </c>
      <c r="J227" s="3718"/>
    </row>
    <row r="228" spans="1:10" s="1731" customFormat="1" ht="14.45" customHeight="1" x14ac:dyDescent="0.45">
      <c r="A228" s="1724"/>
      <c r="B228" s="3729" t="s">
        <v>180</v>
      </c>
      <c r="C228" s="3732" t="s">
        <v>196</v>
      </c>
      <c r="D228" s="3733" t="s">
        <v>197</v>
      </c>
      <c r="E228" s="3716" t="s">
        <v>381</v>
      </c>
      <c r="F228" s="3717"/>
      <c r="G228" s="3717"/>
      <c r="H228" s="3717"/>
      <c r="I228" s="3717"/>
      <c r="J228" s="3719" t="s">
        <v>27</v>
      </c>
    </row>
    <row r="229" spans="1:10" s="1731" customFormat="1" ht="14.45" customHeight="1" x14ac:dyDescent="0.45">
      <c r="A229" s="1724"/>
      <c r="B229" s="3730"/>
      <c r="C229" s="3732"/>
      <c r="D229" s="3733"/>
      <c r="E229" s="1754" t="s">
        <v>1280</v>
      </c>
      <c r="F229" s="1755" t="s">
        <v>1281</v>
      </c>
      <c r="G229" s="1755"/>
      <c r="H229" s="1755" t="s">
        <v>1282</v>
      </c>
      <c r="I229" s="1755" t="s">
        <v>1283</v>
      </c>
      <c r="J229" s="3720"/>
    </row>
    <row r="230" spans="1:10" s="1731" customFormat="1" ht="96.6" customHeight="1" x14ac:dyDescent="0.2">
      <c r="A230" s="1724"/>
      <c r="B230" s="3730"/>
      <c r="C230" s="3732"/>
      <c r="D230" s="3733"/>
      <c r="E230" s="1756" t="s">
        <v>1284</v>
      </c>
      <c r="F230" s="1757" t="s">
        <v>1285</v>
      </c>
      <c r="G230" s="1758" t="s">
        <v>382</v>
      </c>
      <c r="H230" s="1757" t="s">
        <v>1286</v>
      </c>
      <c r="I230" s="1757" t="s">
        <v>1287</v>
      </c>
      <c r="J230" s="3720"/>
    </row>
    <row r="231" spans="1:10" s="1731" customFormat="1" ht="28.9" customHeight="1" x14ac:dyDescent="0.2">
      <c r="A231" s="1724"/>
      <c r="B231" s="3730"/>
      <c r="C231" s="3736" t="s">
        <v>993</v>
      </c>
      <c r="D231" s="3737"/>
      <c r="E231" s="1759">
        <f t="shared" ref="E231:J231" si="11">E219</f>
        <v>44769010915853</v>
      </c>
      <c r="F231" s="1759">
        <f t="shared" si="11"/>
        <v>172190412492</v>
      </c>
      <c r="G231" s="1759">
        <f t="shared" si="11"/>
        <v>0</v>
      </c>
      <c r="H231" s="1759">
        <f t="shared" si="11"/>
        <v>11185213251</v>
      </c>
      <c r="I231" s="1759">
        <f t="shared" si="11"/>
        <v>237046946005</v>
      </c>
      <c r="J231" s="1759">
        <f t="shared" si="11"/>
        <v>45189433487601</v>
      </c>
    </row>
    <row r="232" spans="1:10" s="1731" customFormat="1" ht="24.6" customHeight="1" x14ac:dyDescent="0.2">
      <c r="A232" s="1724"/>
      <c r="B232" s="3730"/>
      <c r="C232" s="545" t="s">
        <v>1330</v>
      </c>
      <c r="D232" s="1705" t="s">
        <v>1329</v>
      </c>
      <c r="E232" s="1779">
        <f>J232-I232-H232-F232</f>
        <v>3226296770389</v>
      </c>
      <c r="F232" s="1780"/>
      <c r="G232" s="1780"/>
      <c r="H232" s="1780"/>
      <c r="I232" s="1780"/>
      <c r="J232" s="1782">
        <v>3226296770389</v>
      </c>
    </row>
    <row r="233" spans="1:10" s="1731" customFormat="1" ht="24.6" customHeight="1" x14ac:dyDescent="0.2">
      <c r="A233" s="1724"/>
      <c r="B233" s="3730"/>
      <c r="C233" s="2344" t="s">
        <v>1402</v>
      </c>
      <c r="D233" s="1200" t="s">
        <v>1403</v>
      </c>
      <c r="E233" s="1779">
        <f t="shared" ref="E233:E311" si="12">J233-I233-H233-F233</f>
        <v>2841800000</v>
      </c>
      <c r="F233" s="1780"/>
      <c r="G233" s="1780"/>
      <c r="H233" s="1780"/>
      <c r="I233" s="1780">
        <v>7158200000</v>
      </c>
      <c r="J233" s="1740">
        <v>10000000000</v>
      </c>
    </row>
    <row r="234" spans="1:10" s="1731" customFormat="1" ht="24.6" customHeight="1" x14ac:dyDescent="0.2">
      <c r="A234" s="1724"/>
      <c r="B234" s="3730"/>
      <c r="C234" s="2345" t="s">
        <v>558</v>
      </c>
      <c r="D234" s="2332" t="s">
        <v>1000</v>
      </c>
      <c r="E234" s="1779">
        <f t="shared" si="12"/>
        <v>250000000</v>
      </c>
      <c r="F234" s="1793"/>
      <c r="G234" s="1793"/>
      <c r="H234" s="1793"/>
      <c r="I234" s="1793"/>
      <c r="J234" s="1740">
        <v>250000000</v>
      </c>
    </row>
    <row r="235" spans="1:10" s="1731" customFormat="1" ht="24.6" customHeight="1" x14ac:dyDescent="0.2">
      <c r="A235" s="1724"/>
      <c r="B235" s="3730"/>
      <c r="C235" s="2346" t="s">
        <v>269</v>
      </c>
      <c r="D235" s="2333" t="s">
        <v>270</v>
      </c>
      <c r="E235" s="1779">
        <f t="shared" si="12"/>
        <v>110000000</v>
      </c>
      <c r="F235" s="1780"/>
      <c r="G235" s="1780"/>
      <c r="H235" s="1780"/>
      <c r="I235" s="1780"/>
      <c r="J235" s="1255">
        <v>110000000</v>
      </c>
    </row>
    <row r="236" spans="1:10" s="1731" customFormat="1" ht="24.6" customHeight="1" x14ac:dyDescent="0.4">
      <c r="A236" s="1724"/>
      <c r="B236" s="3730"/>
      <c r="C236" s="2347" t="s">
        <v>2143</v>
      </c>
      <c r="D236" s="2334" t="s">
        <v>2142</v>
      </c>
      <c r="E236" s="1779">
        <f t="shared" si="12"/>
        <v>63002245867</v>
      </c>
      <c r="F236" s="1780"/>
      <c r="G236" s="1780"/>
      <c r="H236" s="1780"/>
      <c r="I236" s="1780"/>
      <c r="J236" s="1740">
        <v>63002245867</v>
      </c>
    </row>
    <row r="237" spans="1:10" s="1731" customFormat="1" ht="24.6" customHeight="1" x14ac:dyDescent="0.2">
      <c r="A237" s="1724"/>
      <c r="B237" s="3730"/>
      <c r="C237" s="2348" t="s">
        <v>292</v>
      </c>
      <c r="D237" s="2335" t="s">
        <v>1079</v>
      </c>
      <c r="E237" s="1779">
        <f t="shared" si="12"/>
        <v>26506798867</v>
      </c>
      <c r="F237" s="1799"/>
      <c r="G237" s="1799"/>
      <c r="H237" s="1799"/>
      <c r="I237" s="1799"/>
      <c r="J237" s="1740">
        <v>26506798867</v>
      </c>
    </row>
    <row r="238" spans="1:10" s="1731" customFormat="1" ht="24.6" customHeight="1" x14ac:dyDescent="0.4">
      <c r="A238" s="1724"/>
      <c r="B238" s="3730"/>
      <c r="C238" s="2349" t="s">
        <v>2049</v>
      </c>
      <c r="D238" s="2336" t="s">
        <v>2025</v>
      </c>
      <c r="E238" s="1779">
        <f t="shared" si="12"/>
        <v>440986567197</v>
      </c>
      <c r="F238" s="1799"/>
      <c r="G238" s="1799"/>
      <c r="H238" s="1799"/>
      <c r="I238" s="1799"/>
      <c r="J238" s="1740">
        <v>440986567197</v>
      </c>
    </row>
    <row r="239" spans="1:10" s="1731" customFormat="1" ht="24.6" customHeight="1" x14ac:dyDescent="0.4">
      <c r="A239" s="1724"/>
      <c r="B239" s="3730"/>
      <c r="C239" s="2349" t="s">
        <v>2057</v>
      </c>
      <c r="D239" s="1801" t="s">
        <v>2034</v>
      </c>
      <c r="E239" s="1779">
        <f t="shared" si="12"/>
        <v>148320272599</v>
      </c>
      <c r="F239" s="1799"/>
      <c r="G239" s="1799"/>
      <c r="H239" s="1799"/>
      <c r="I239" s="1799"/>
      <c r="J239" s="1740">
        <v>148320272599</v>
      </c>
    </row>
    <row r="240" spans="1:10" s="1731" customFormat="1" ht="24.6" customHeight="1" x14ac:dyDescent="0.4">
      <c r="A240" s="1724"/>
      <c r="B240" s="3730"/>
      <c r="C240" s="2349" t="s">
        <v>2056</v>
      </c>
      <c r="D240" s="1801" t="s">
        <v>2197</v>
      </c>
      <c r="E240" s="1779">
        <f t="shared" si="12"/>
        <v>442132408873</v>
      </c>
      <c r="F240" s="1799"/>
      <c r="G240" s="1799"/>
      <c r="H240" s="1799"/>
      <c r="I240" s="1799"/>
      <c r="J240" s="1740">
        <v>442132408873</v>
      </c>
    </row>
    <row r="241" spans="1:10" s="1731" customFormat="1" ht="24.6" customHeight="1" x14ac:dyDescent="0.4">
      <c r="A241" s="1724"/>
      <c r="B241" s="3730"/>
      <c r="C241" s="2349" t="s">
        <v>2062</v>
      </c>
      <c r="D241" s="1801" t="s">
        <v>2144</v>
      </c>
      <c r="E241" s="1779">
        <f t="shared" si="12"/>
        <v>94359986794</v>
      </c>
      <c r="F241" s="1799"/>
      <c r="G241" s="1799"/>
      <c r="H241" s="1799"/>
      <c r="I241" s="1799"/>
      <c r="J241" s="1740">
        <v>94359986794</v>
      </c>
    </row>
    <row r="242" spans="1:10" s="1731" customFormat="1" ht="24.6" customHeight="1" x14ac:dyDescent="0.4">
      <c r="A242" s="1724"/>
      <c r="B242" s="3730"/>
      <c r="C242" s="2340" t="s">
        <v>2067</v>
      </c>
      <c r="D242" s="1803" t="s">
        <v>2045</v>
      </c>
      <c r="E242" s="1779">
        <f t="shared" si="12"/>
        <v>138865375683</v>
      </c>
      <c r="F242" s="1799"/>
      <c r="G242" s="1799"/>
      <c r="H242" s="1799"/>
      <c r="I242" s="1799"/>
      <c r="J242" s="1740">
        <v>138865375683</v>
      </c>
    </row>
    <row r="243" spans="1:10" s="1731" customFormat="1" ht="24.6" customHeight="1" x14ac:dyDescent="0.4">
      <c r="A243" s="1724"/>
      <c r="B243" s="3730"/>
      <c r="C243" s="2349" t="s">
        <v>2053</v>
      </c>
      <c r="D243" s="1801" t="s">
        <v>2031</v>
      </c>
      <c r="E243" s="1779">
        <f t="shared" si="12"/>
        <v>155755365645</v>
      </c>
      <c r="F243" s="1799"/>
      <c r="G243" s="1799"/>
      <c r="H243" s="1799"/>
      <c r="I243" s="1799"/>
      <c r="J243" s="1740">
        <v>155755365645</v>
      </c>
    </row>
    <row r="244" spans="1:10" s="1731" customFormat="1" ht="24.6" customHeight="1" x14ac:dyDescent="0.4">
      <c r="A244" s="1724"/>
      <c r="B244" s="3730"/>
      <c r="C244" s="2349" t="s">
        <v>2058</v>
      </c>
      <c r="D244" s="1801" t="s">
        <v>2035</v>
      </c>
      <c r="E244" s="1779">
        <f t="shared" si="12"/>
        <v>96097102415</v>
      </c>
      <c r="F244" s="1799"/>
      <c r="G244" s="1799"/>
      <c r="H244" s="1799"/>
      <c r="I244" s="1799">
        <v>5115238814</v>
      </c>
      <c r="J244" s="1740">
        <v>101212341229</v>
      </c>
    </row>
    <row r="245" spans="1:10" s="1731" customFormat="1" ht="24.6" customHeight="1" x14ac:dyDescent="0.4">
      <c r="A245" s="1724"/>
      <c r="B245" s="3730"/>
      <c r="C245" s="2192" t="s">
        <v>2051</v>
      </c>
      <c r="D245" s="1804" t="s">
        <v>2029</v>
      </c>
      <c r="E245" s="1779">
        <f t="shared" si="12"/>
        <v>95739717264</v>
      </c>
      <c r="F245" s="1780"/>
      <c r="G245" s="1780"/>
      <c r="H245" s="1780"/>
      <c r="I245" s="1780"/>
      <c r="J245" s="1740">
        <v>95739717264</v>
      </c>
    </row>
    <row r="246" spans="1:10" s="1731" customFormat="1" ht="24.6" customHeight="1" x14ac:dyDescent="0.4">
      <c r="A246" s="1724"/>
      <c r="B246" s="3730"/>
      <c r="C246" s="2349" t="s">
        <v>2050</v>
      </c>
      <c r="D246" s="1805" t="s">
        <v>2028</v>
      </c>
      <c r="E246" s="1779">
        <f t="shared" si="12"/>
        <v>259498142573</v>
      </c>
      <c r="F246" s="1780"/>
      <c r="G246" s="1780"/>
      <c r="H246" s="1780"/>
      <c r="I246" s="1780">
        <v>1759942311</v>
      </c>
      <c r="J246" s="1740">
        <v>261258084884</v>
      </c>
    </row>
    <row r="247" spans="1:10" s="1731" customFormat="1" ht="24.6" customHeight="1" x14ac:dyDescent="0.4">
      <c r="A247" s="1724"/>
      <c r="B247" s="3730"/>
      <c r="C247" s="2350" t="s">
        <v>2071</v>
      </c>
      <c r="D247" s="1807" t="s">
        <v>2048</v>
      </c>
      <c r="E247" s="1779">
        <f t="shared" si="12"/>
        <v>19435166668</v>
      </c>
      <c r="F247" s="1780"/>
      <c r="G247" s="1780"/>
      <c r="H247" s="1780"/>
      <c r="I247" s="1780"/>
      <c r="J247" s="1740">
        <v>19435166668</v>
      </c>
    </row>
    <row r="248" spans="1:10" s="1731" customFormat="1" ht="24.6" customHeight="1" x14ac:dyDescent="0.4">
      <c r="A248" s="1724"/>
      <c r="B248" s="3730"/>
      <c r="C248" s="2192" t="s">
        <v>2055</v>
      </c>
      <c r="D248" s="1804" t="s">
        <v>2033</v>
      </c>
      <c r="E248" s="1779">
        <f t="shared" si="12"/>
        <v>59179240787</v>
      </c>
      <c r="F248" s="1780"/>
      <c r="G248" s="1780"/>
      <c r="H248" s="1780"/>
      <c r="I248" s="1780"/>
      <c r="J248" s="1740">
        <v>59179240787</v>
      </c>
    </row>
    <row r="249" spans="1:10" s="1731" customFormat="1" ht="24.6" customHeight="1" x14ac:dyDescent="0.4">
      <c r="A249" s="1724"/>
      <c r="B249" s="3730"/>
      <c r="C249" s="2349" t="s">
        <v>2061</v>
      </c>
      <c r="D249" s="1805" t="s">
        <v>2038</v>
      </c>
      <c r="E249" s="1779">
        <f t="shared" si="12"/>
        <v>64590917722</v>
      </c>
      <c r="F249" s="1780"/>
      <c r="G249" s="1780"/>
      <c r="H249" s="1780"/>
      <c r="I249" s="1780">
        <v>4406651693</v>
      </c>
      <c r="J249" s="1740">
        <v>68997569415</v>
      </c>
    </row>
    <row r="250" spans="1:10" s="1731" customFormat="1" ht="24.6" customHeight="1" x14ac:dyDescent="0.4">
      <c r="A250" s="1724"/>
      <c r="B250" s="3730"/>
      <c r="C250" s="2349" t="s">
        <v>2052</v>
      </c>
      <c r="D250" s="1808" t="s">
        <v>2030</v>
      </c>
      <c r="E250" s="1779">
        <f t="shared" si="12"/>
        <v>83693559591</v>
      </c>
      <c r="F250" s="1780">
        <v>5499648000</v>
      </c>
      <c r="G250" s="1780"/>
      <c r="H250" s="1780"/>
      <c r="I250" s="1780">
        <v>3350453627</v>
      </c>
      <c r="J250" s="1740">
        <v>92543661218</v>
      </c>
    </row>
    <row r="251" spans="1:10" s="1731" customFormat="1" ht="24.6" customHeight="1" x14ac:dyDescent="0.4">
      <c r="A251" s="1724"/>
      <c r="B251" s="3730"/>
      <c r="C251" s="2192" t="s">
        <v>2054</v>
      </c>
      <c r="D251" s="1809" t="s">
        <v>2032</v>
      </c>
      <c r="E251" s="1779">
        <f t="shared" si="12"/>
        <v>2963722192</v>
      </c>
      <c r="F251" s="1780"/>
      <c r="G251" s="1780"/>
      <c r="H251" s="1780"/>
      <c r="I251" s="1780">
        <v>1569440595</v>
      </c>
      <c r="J251" s="1740">
        <v>4533162787</v>
      </c>
    </row>
    <row r="252" spans="1:10" s="1731" customFormat="1" ht="24.6" customHeight="1" x14ac:dyDescent="0.4">
      <c r="A252" s="1724"/>
      <c r="B252" s="3730"/>
      <c r="C252" s="2192" t="s">
        <v>2065</v>
      </c>
      <c r="D252" s="1809" t="s">
        <v>2043</v>
      </c>
      <c r="E252" s="1779">
        <f t="shared" si="12"/>
        <v>63487377167</v>
      </c>
      <c r="F252" s="1780"/>
      <c r="G252" s="1780"/>
      <c r="H252" s="1780"/>
      <c r="I252" s="1780"/>
      <c r="J252" s="1740">
        <v>63487377167</v>
      </c>
    </row>
    <row r="253" spans="1:10" s="1731" customFormat="1" ht="24.6" customHeight="1" x14ac:dyDescent="0.4">
      <c r="A253" s="1724"/>
      <c r="B253" s="3730"/>
      <c r="C253" s="2349" t="s">
        <v>2060</v>
      </c>
      <c r="D253" s="1808" t="s">
        <v>2037</v>
      </c>
      <c r="E253" s="1779">
        <f t="shared" si="12"/>
        <v>272011470824</v>
      </c>
      <c r="F253" s="1780"/>
      <c r="G253" s="1780"/>
      <c r="H253" s="1780"/>
      <c r="I253" s="1780"/>
      <c r="J253" s="1740">
        <v>272011470824</v>
      </c>
    </row>
    <row r="254" spans="1:10" s="1731" customFormat="1" ht="24.6" customHeight="1" x14ac:dyDescent="0.4">
      <c r="A254" s="1724"/>
      <c r="B254" s="3730"/>
      <c r="C254" s="2349" t="s">
        <v>2064</v>
      </c>
      <c r="D254" s="1808" t="s">
        <v>2042</v>
      </c>
      <c r="E254" s="1779">
        <f t="shared" si="12"/>
        <v>459952134</v>
      </c>
      <c r="F254" s="1780"/>
      <c r="G254" s="1780"/>
      <c r="H254" s="1780"/>
      <c r="I254" s="1780"/>
      <c r="J254" s="1740">
        <v>459952134</v>
      </c>
    </row>
    <row r="255" spans="1:10" s="1731" customFormat="1" ht="24.6" customHeight="1" x14ac:dyDescent="0.4">
      <c r="A255" s="1724"/>
      <c r="B255" s="3730"/>
      <c r="C255" s="2351" t="s">
        <v>2063</v>
      </c>
      <c r="D255" s="1809" t="s">
        <v>2039</v>
      </c>
      <c r="E255" s="1779">
        <f t="shared" si="12"/>
        <v>16100906742</v>
      </c>
      <c r="F255" s="1780"/>
      <c r="G255" s="1780"/>
      <c r="H255" s="1780"/>
      <c r="I255" s="1780"/>
      <c r="J255" s="1740">
        <v>16100906742</v>
      </c>
    </row>
    <row r="256" spans="1:10" s="1731" customFormat="1" ht="24.6" customHeight="1" x14ac:dyDescent="0.4">
      <c r="A256" s="1724"/>
      <c r="B256" s="3730"/>
      <c r="C256" s="2347" t="s">
        <v>2041</v>
      </c>
      <c r="D256" s="1808" t="s">
        <v>2040</v>
      </c>
      <c r="E256" s="1779">
        <f t="shared" si="12"/>
        <v>1110590978891</v>
      </c>
      <c r="F256" s="1780"/>
      <c r="G256" s="1780"/>
      <c r="H256" s="1780"/>
      <c r="I256" s="1780"/>
      <c r="J256" s="1740">
        <v>1110590978891</v>
      </c>
    </row>
    <row r="257" spans="1:10" s="1731" customFormat="1" ht="24.6" customHeight="1" x14ac:dyDescent="0.2">
      <c r="A257" s="1724"/>
      <c r="B257" s="3730"/>
      <c r="C257" s="2352" t="s">
        <v>2066</v>
      </c>
      <c r="D257" s="2001" t="s">
        <v>2044</v>
      </c>
      <c r="E257" s="1779">
        <f t="shared" si="12"/>
        <v>17085281265</v>
      </c>
      <c r="F257" s="1780"/>
      <c r="G257" s="1780"/>
      <c r="H257" s="1780"/>
      <c r="I257" s="1780"/>
      <c r="J257" s="1740">
        <v>17085281265</v>
      </c>
    </row>
    <row r="258" spans="1:10" s="1731" customFormat="1" ht="24.6" customHeight="1" x14ac:dyDescent="0.4">
      <c r="A258" s="1724"/>
      <c r="B258" s="3730"/>
      <c r="C258" s="2340" t="s">
        <v>2153</v>
      </c>
      <c r="D258" s="1803" t="s">
        <v>2036</v>
      </c>
      <c r="E258" s="1779">
        <f t="shared" si="12"/>
        <v>275593699418</v>
      </c>
      <c r="F258" s="1780">
        <v>48989496913</v>
      </c>
      <c r="G258" s="1780"/>
      <c r="H258" s="1780"/>
      <c r="I258" s="1780"/>
      <c r="J258" s="1740">
        <v>324583196331</v>
      </c>
    </row>
    <row r="259" spans="1:10" s="1731" customFormat="1" ht="24.6" customHeight="1" x14ac:dyDescent="0.4">
      <c r="A259" s="1724"/>
      <c r="B259" s="3730"/>
      <c r="C259" s="2353" t="s">
        <v>2069</v>
      </c>
      <c r="D259" s="1807" t="s">
        <v>2047</v>
      </c>
      <c r="E259" s="1779">
        <f t="shared" si="12"/>
        <v>112260500</v>
      </c>
      <c r="F259" s="1780"/>
      <c r="G259" s="1780"/>
      <c r="H259" s="1780"/>
      <c r="I259" s="1780"/>
      <c r="J259" s="1740">
        <v>112260500</v>
      </c>
    </row>
    <row r="260" spans="1:10" s="1731" customFormat="1" ht="24.6" customHeight="1" thickBot="1" x14ac:dyDescent="0.45">
      <c r="A260" s="1724"/>
      <c r="B260" s="3730"/>
      <c r="C260" s="2354" t="s">
        <v>2068</v>
      </c>
      <c r="D260" s="1814" t="s">
        <v>2070</v>
      </c>
      <c r="E260" s="1815">
        <f>J260-I260-H260-F260</f>
        <v>36348645118</v>
      </c>
      <c r="F260" s="1799"/>
      <c r="G260" s="1799"/>
      <c r="H260" s="1799"/>
      <c r="I260" s="1799">
        <v>2307447064</v>
      </c>
      <c r="J260" s="1782">
        <v>38656092182</v>
      </c>
    </row>
    <row r="261" spans="1:10" s="1731" customFormat="1" ht="32.450000000000003" customHeight="1" thickBot="1" x14ac:dyDescent="0.25">
      <c r="A261" s="1724"/>
      <c r="B261" s="3731"/>
      <c r="C261" s="3734" t="s">
        <v>221</v>
      </c>
      <c r="D261" s="3735"/>
      <c r="E261" s="1816">
        <f>SUM(E231:E260)</f>
        <v>51981426649038</v>
      </c>
      <c r="F261" s="1816">
        <f t="shared" ref="F261:J261" si="13">SUM(F231:F260)</f>
        <v>226679557405</v>
      </c>
      <c r="G261" s="1816">
        <f t="shared" si="13"/>
        <v>0</v>
      </c>
      <c r="H261" s="1816">
        <f t="shared" si="13"/>
        <v>11185213251</v>
      </c>
      <c r="I261" s="1816">
        <f t="shared" si="13"/>
        <v>262714320109</v>
      </c>
      <c r="J261" s="2355">
        <f t="shared" si="13"/>
        <v>52482005739803</v>
      </c>
    </row>
    <row r="262" spans="1:10" s="1731" customFormat="1" ht="15.6" customHeight="1" x14ac:dyDescent="0.2">
      <c r="A262" s="1724"/>
      <c r="B262" s="2343"/>
      <c r="C262" s="2337"/>
      <c r="D262" s="2337"/>
      <c r="E262" s="1789"/>
      <c r="F262" s="1789"/>
      <c r="G262" s="1789"/>
      <c r="H262" s="1789"/>
      <c r="I262" s="1789"/>
      <c r="J262" s="1789"/>
    </row>
    <row r="263" spans="1:10" s="1731" customFormat="1" ht="15.6" customHeight="1" x14ac:dyDescent="0.2">
      <c r="A263" s="1724"/>
      <c r="B263" s="2343"/>
      <c r="C263" s="2337"/>
      <c r="D263" s="2337"/>
      <c r="E263" s="1789"/>
      <c r="F263" s="1789"/>
      <c r="G263" s="1789"/>
      <c r="H263" s="1789"/>
      <c r="I263" s="1789"/>
      <c r="J263" s="1789"/>
    </row>
    <row r="264" spans="1:10" s="1731" customFormat="1" ht="15.6" customHeight="1" x14ac:dyDescent="0.2">
      <c r="A264" s="1724"/>
      <c r="B264" s="2343"/>
      <c r="C264" s="2337"/>
      <c r="D264" s="2337"/>
      <c r="E264" s="1789"/>
      <c r="F264" s="1789"/>
      <c r="G264" s="1789"/>
      <c r="H264" s="1789"/>
      <c r="I264" s="1789"/>
      <c r="J264" s="1789"/>
    </row>
    <row r="265" spans="1:10" s="1731" customFormat="1" ht="15.6" customHeight="1" x14ac:dyDescent="0.2">
      <c r="A265" s="1724"/>
      <c r="B265" s="2343"/>
      <c r="C265" s="2337"/>
      <c r="D265" s="2337"/>
      <c r="E265" s="1789"/>
      <c r="F265" s="1789"/>
      <c r="G265" s="1789"/>
      <c r="H265" s="1789"/>
      <c r="I265" s="1789"/>
      <c r="J265" s="1789"/>
    </row>
    <row r="266" spans="1:10" s="1731" customFormat="1" ht="15.6" customHeight="1" x14ac:dyDescent="0.2">
      <c r="A266" s="1724"/>
      <c r="B266" s="2343"/>
      <c r="C266" s="2337"/>
      <c r="D266" s="2337"/>
      <c r="E266" s="1789"/>
      <c r="F266" s="1789"/>
      <c r="G266" s="1789"/>
      <c r="H266" s="1789"/>
      <c r="I266" s="1789"/>
      <c r="J266" s="1789"/>
    </row>
    <row r="267" spans="1:10" s="1731" customFormat="1" ht="15.6" customHeight="1" x14ac:dyDescent="0.2">
      <c r="A267" s="3565">
        <v>56000000</v>
      </c>
      <c r="B267" s="3565"/>
      <c r="C267" s="3565"/>
      <c r="D267" s="3565"/>
      <c r="E267" s="3565"/>
      <c r="F267" s="3565"/>
      <c r="G267" s="3565"/>
      <c r="H267" s="3565"/>
      <c r="I267" s="3565"/>
      <c r="J267" s="3565"/>
    </row>
    <row r="268" spans="1:10" s="1731" customFormat="1" ht="28.9" customHeight="1" x14ac:dyDescent="0.2">
      <c r="A268" s="1724"/>
      <c r="B268" s="2343"/>
      <c r="C268" s="2337"/>
      <c r="D268" s="2337"/>
      <c r="E268" s="1789"/>
      <c r="F268" s="1789"/>
      <c r="G268" s="1789"/>
      <c r="H268" s="1789"/>
      <c r="I268" s="1789"/>
      <c r="J268" s="1789"/>
    </row>
    <row r="269" spans="1:10" s="1731" customFormat="1" ht="24.6" customHeight="1" x14ac:dyDescent="0.2">
      <c r="A269" s="3300" t="s">
        <v>295</v>
      </c>
      <c r="B269" s="3300"/>
      <c r="C269" s="3300"/>
      <c r="D269" s="3300"/>
      <c r="E269" s="3300"/>
      <c r="F269" s="3300"/>
      <c r="G269" s="3300"/>
      <c r="H269" s="3300"/>
      <c r="I269" s="3300"/>
      <c r="J269" s="3300"/>
    </row>
    <row r="270" spans="1:10" s="1731" customFormat="1" ht="24.6" customHeight="1" x14ac:dyDescent="0.2">
      <c r="A270" s="3300" t="s">
        <v>45</v>
      </c>
      <c r="B270" s="3300"/>
      <c r="C270" s="3300"/>
      <c r="D270" s="3300"/>
      <c r="E270" s="3300"/>
      <c r="F270" s="3300"/>
      <c r="G270" s="3300"/>
      <c r="H270" s="3300"/>
      <c r="I270" s="3300"/>
      <c r="J270" s="3300"/>
    </row>
    <row r="271" spans="1:10" s="1731" customFormat="1" ht="24.6" customHeight="1" x14ac:dyDescent="0.2">
      <c r="A271" s="3300" t="s">
        <v>46</v>
      </c>
      <c r="B271" s="3300"/>
      <c r="C271" s="3300"/>
      <c r="D271" s="3300"/>
      <c r="E271" s="3300"/>
      <c r="F271" s="3300"/>
      <c r="G271" s="3300"/>
      <c r="H271" s="3300"/>
      <c r="I271" s="3300"/>
      <c r="J271" s="3300"/>
    </row>
    <row r="272" spans="1:10" s="1731" customFormat="1" ht="24.6" customHeight="1" x14ac:dyDescent="0.2">
      <c r="A272" s="3721" t="s">
        <v>1992</v>
      </c>
      <c r="B272" s="3721"/>
      <c r="C272" s="3721"/>
      <c r="D272" s="3721"/>
      <c r="E272" s="3721"/>
      <c r="F272" s="3721"/>
      <c r="G272" s="3721"/>
      <c r="H272" s="3721"/>
      <c r="I272" s="3721"/>
      <c r="J272" s="3721"/>
    </row>
    <row r="273" spans="1:10" s="1731" customFormat="1" ht="24.6" customHeight="1" x14ac:dyDescent="0.35">
      <c r="A273" s="1724"/>
      <c r="B273" s="3715" t="s">
        <v>1302</v>
      </c>
      <c r="C273" s="3715"/>
      <c r="D273" s="3715"/>
      <c r="E273" s="3715"/>
      <c r="F273" s="3715"/>
      <c r="G273" s="3715"/>
      <c r="H273" s="3715"/>
      <c r="I273" s="3718" t="s">
        <v>194</v>
      </c>
      <c r="J273" s="3718"/>
    </row>
    <row r="274" spans="1:10" s="1731" customFormat="1" ht="24.6" customHeight="1" x14ac:dyDescent="0.45">
      <c r="A274" s="1724"/>
      <c r="B274" s="3745" t="s">
        <v>1102</v>
      </c>
      <c r="C274" s="3742" t="s">
        <v>196</v>
      </c>
      <c r="D274" s="3733" t="s">
        <v>197</v>
      </c>
      <c r="E274" s="3743" t="s">
        <v>381</v>
      </c>
      <c r="F274" s="3743"/>
      <c r="G274" s="3743"/>
      <c r="H274" s="3743"/>
      <c r="I274" s="3743"/>
      <c r="J274" s="3744" t="s">
        <v>27</v>
      </c>
    </row>
    <row r="275" spans="1:10" s="1731" customFormat="1" ht="24.6" customHeight="1" x14ac:dyDescent="0.45">
      <c r="A275" s="1724"/>
      <c r="B275" s="3745"/>
      <c r="C275" s="3742"/>
      <c r="D275" s="3733"/>
      <c r="E275" s="1732" t="s">
        <v>1280</v>
      </c>
      <c r="F275" s="1732" t="s">
        <v>1281</v>
      </c>
      <c r="G275" s="1732"/>
      <c r="H275" s="1732" t="s">
        <v>1282</v>
      </c>
      <c r="I275" s="1732" t="s">
        <v>1283</v>
      </c>
      <c r="J275" s="3744"/>
    </row>
    <row r="276" spans="1:10" s="1731" customFormat="1" ht="91.9" customHeight="1" x14ac:dyDescent="0.2">
      <c r="A276" s="1724"/>
      <c r="B276" s="3745"/>
      <c r="C276" s="3742"/>
      <c r="D276" s="3733"/>
      <c r="E276" s="1733" t="s">
        <v>1284</v>
      </c>
      <c r="F276" s="1733" t="s">
        <v>1285</v>
      </c>
      <c r="G276" s="1734" t="s">
        <v>382</v>
      </c>
      <c r="H276" s="1733" t="s">
        <v>1286</v>
      </c>
      <c r="I276" s="1733" t="s">
        <v>1287</v>
      </c>
      <c r="J276" s="3744"/>
    </row>
    <row r="277" spans="1:10" s="1731" customFormat="1" ht="19.899999999999999" customHeight="1" x14ac:dyDescent="0.2">
      <c r="A277" s="1724"/>
      <c r="B277" s="3745"/>
      <c r="C277" s="2338">
        <v>1503002046</v>
      </c>
      <c r="D277" s="1713" t="s">
        <v>83</v>
      </c>
      <c r="E277" s="1817">
        <f t="shared" si="12"/>
        <v>153017575574</v>
      </c>
      <c r="F277" s="1818"/>
      <c r="G277" s="1818"/>
      <c r="H277" s="1818"/>
      <c r="I277" s="1818"/>
      <c r="J277" s="1819">
        <v>153017575574</v>
      </c>
    </row>
    <row r="278" spans="1:10" s="1731" customFormat="1" ht="19.899999999999999" customHeight="1" x14ac:dyDescent="0.2">
      <c r="A278" s="1724"/>
      <c r="B278" s="3745"/>
      <c r="C278" s="2339" t="s">
        <v>608</v>
      </c>
      <c r="D278" s="1714" t="s">
        <v>1145</v>
      </c>
      <c r="E278" s="1779">
        <f t="shared" si="12"/>
        <v>1986399928742</v>
      </c>
      <c r="F278" s="1780"/>
      <c r="G278" s="1780"/>
      <c r="H278" s="1780"/>
      <c r="I278" s="1780"/>
      <c r="J278" s="550">
        <v>1986399928742</v>
      </c>
    </row>
    <row r="279" spans="1:10" s="1731" customFormat="1" ht="19.899999999999999" customHeight="1" x14ac:dyDescent="0.2">
      <c r="A279" s="1724"/>
      <c r="B279" s="3745"/>
      <c r="C279" s="2339" t="s">
        <v>346</v>
      </c>
      <c r="D279" s="1714" t="s">
        <v>323</v>
      </c>
      <c r="E279" s="1779">
        <f t="shared" si="12"/>
        <v>2776482645233</v>
      </c>
      <c r="F279" s="1780"/>
      <c r="G279" s="1780"/>
      <c r="H279" s="1780"/>
      <c r="I279" s="1780"/>
      <c r="J279" s="550">
        <v>2776482645233</v>
      </c>
    </row>
    <row r="280" spans="1:10" s="1731" customFormat="1" ht="19.899999999999999" customHeight="1" x14ac:dyDescent="0.4">
      <c r="A280" s="1724"/>
      <c r="B280" s="3745"/>
      <c r="C280" s="2340" t="s">
        <v>2153</v>
      </c>
      <c r="D280" s="1820" t="s">
        <v>2036</v>
      </c>
      <c r="E280" s="1779">
        <f t="shared" si="12"/>
        <v>36481816170</v>
      </c>
      <c r="F280" s="1780"/>
      <c r="G280" s="1780"/>
      <c r="H280" s="1780"/>
      <c r="I280" s="1780"/>
      <c r="J280" s="550">
        <v>36481816170</v>
      </c>
    </row>
    <row r="281" spans="1:10" s="1731" customFormat="1" ht="19.899999999999999" customHeight="1" x14ac:dyDescent="0.2">
      <c r="A281" s="1724"/>
      <c r="B281" s="3745"/>
      <c r="C281" s="2339" t="s">
        <v>626</v>
      </c>
      <c r="D281" s="1714" t="s">
        <v>602</v>
      </c>
      <c r="E281" s="1779">
        <f t="shared" si="12"/>
        <v>46319015140</v>
      </c>
      <c r="F281" s="1780"/>
      <c r="G281" s="1780"/>
      <c r="H281" s="1780"/>
      <c r="I281" s="1780"/>
      <c r="J281" s="550">
        <v>46319015140</v>
      </c>
    </row>
    <row r="282" spans="1:10" s="1731" customFormat="1" ht="19.899999999999999" customHeight="1" x14ac:dyDescent="0.2">
      <c r="A282" s="1724"/>
      <c r="B282" s="3745"/>
      <c r="C282" s="2341" t="s">
        <v>206</v>
      </c>
      <c r="D282" s="1714" t="s">
        <v>377</v>
      </c>
      <c r="E282" s="1779">
        <f t="shared" si="12"/>
        <v>10155500606</v>
      </c>
      <c r="F282" s="1780"/>
      <c r="G282" s="1780"/>
      <c r="H282" s="1780"/>
      <c r="I282" s="1780"/>
      <c r="J282" s="550">
        <v>10155500606</v>
      </c>
    </row>
    <row r="283" spans="1:10" s="1731" customFormat="1" ht="19.899999999999999" customHeight="1" x14ac:dyDescent="0.2">
      <c r="A283" s="1724"/>
      <c r="B283" s="3745"/>
      <c r="C283" s="2153">
        <v>1307002010</v>
      </c>
      <c r="D283" s="1715" t="s">
        <v>592</v>
      </c>
      <c r="E283" s="1779">
        <f t="shared" si="12"/>
        <v>668740027405</v>
      </c>
      <c r="F283" s="1780"/>
      <c r="G283" s="1780"/>
      <c r="H283" s="1780"/>
      <c r="I283" s="1780"/>
      <c r="J283" s="550">
        <v>668740027405</v>
      </c>
    </row>
    <row r="284" spans="1:10" s="1731" customFormat="1" ht="19.899999999999999" customHeight="1" x14ac:dyDescent="0.2">
      <c r="A284" s="1724"/>
      <c r="B284" s="3745"/>
      <c r="C284" s="2342" t="s">
        <v>125</v>
      </c>
      <c r="D284" s="1713" t="s">
        <v>371</v>
      </c>
      <c r="E284" s="1779">
        <f t="shared" si="12"/>
        <v>8654065107</v>
      </c>
      <c r="F284" s="1780"/>
      <c r="G284" s="1780"/>
      <c r="H284" s="1780"/>
      <c r="I284" s="1780"/>
      <c r="J284" s="1740">
        <v>8654065107</v>
      </c>
    </row>
    <row r="285" spans="1:10" s="1731" customFormat="1" ht="19.899999999999999" customHeight="1" x14ac:dyDescent="0.2">
      <c r="A285" s="1724"/>
      <c r="B285" s="3745"/>
      <c r="C285" s="2341">
        <v>1503002096</v>
      </c>
      <c r="D285" s="1714" t="s">
        <v>84</v>
      </c>
      <c r="E285" s="1779">
        <f t="shared" si="12"/>
        <v>7171118321</v>
      </c>
      <c r="F285" s="1780"/>
      <c r="G285" s="1780"/>
      <c r="H285" s="1780"/>
      <c r="I285" s="1780"/>
      <c r="J285" s="1746">
        <v>7171118321</v>
      </c>
    </row>
    <row r="286" spans="1:10" s="1731" customFormat="1" ht="19.899999999999999" customHeight="1" x14ac:dyDescent="0.2">
      <c r="A286" s="1724"/>
      <c r="B286" s="3745"/>
      <c r="C286" s="2339" t="s">
        <v>1083</v>
      </c>
      <c r="D286" s="1716" t="s">
        <v>1082</v>
      </c>
      <c r="E286" s="1779">
        <f t="shared" si="12"/>
        <v>96365154614</v>
      </c>
      <c r="F286" s="1780"/>
      <c r="G286" s="1780"/>
      <c r="H286" s="1780"/>
      <c r="I286" s="1780"/>
      <c r="J286" s="1746">
        <v>96365154614</v>
      </c>
    </row>
    <row r="287" spans="1:10" s="1731" customFormat="1" ht="19.899999999999999" customHeight="1" x14ac:dyDescent="0.2">
      <c r="A287" s="1724"/>
      <c r="B287" s="3745"/>
      <c r="C287" s="2192" t="s">
        <v>542</v>
      </c>
      <c r="D287" s="1714" t="s">
        <v>335</v>
      </c>
      <c r="E287" s="1779">
        <f t="shared" si="12"/>
        <v>3564016156</v>
      </c>
      <c r="F287" s="1780"/>
      <c r="G287" s="1780"/>
      <c r="H287" s="1780"/>
      <c r="I287" s="1780"/>
      <c r="J287" s="550">
        <v>3564016156</v>
      </c>
    </row>
    <row r="288" spans="1:10" s="1731" customFormat="1" ht="19.899999999999999" customHeight="1" x14ac:dyDescent="0.2">
      <c r="A288" s="1724"/>
      <c r="B288" s="3745"/>
      <c r="C288" s="2192" t="s">
        <v>546</v>
      </c>
      <c r="D288" s="1714" t="s">
        <v>545</v>
      </c>
      <c r="E288" s="1779">
        <f t="shared" si="12"/>
        <v>3000000000</v>
      </c>
      <c r="F288" s="1780"/>
      <c r="G288" s="1780"/>
      <c r="H288" s="1780"/>
      <c r="I288" s="1780"/>
      <c r="J288" s="550">
        <v>3000000000</v>
      </c>
    </row>
    <row r="289" spans="1:10" s="1731" customFormat="1" ht="19.899999999999999" customHeight="1" x14ac:dyDescent="0.2">
      <c r="A289" s="1724"/>
      <c r="B289" s="3745"/>
      <c r="C289" s="2192" t="s">
        <v>609</v>
      </c>
      <c r="D289" s="1714" t="s">
        <v>607</v>
      </c>
      <c r="E289" s="1779">
        <f t="shared" si="12"/>
        <v>59987375153</v>
      </c>
      <c r="F289" s="1780"/>
      <c r="G289" s="1780"/>
      <c r="H289" s="1780"/>
      <c r="I289" s="1780"/>
      <c r="J289" s="1746">
        <v>59987375153</v>
      </c>
    </row>
    <row r="290" spans="1:10" s="1731" customFormat="1" ht="19.899999999999999" customHeight="1" x14ac:dyDescent="0.2">
      <c r="A290" s="1724"/>
      <c r="B290" s="3745"/>
      <c r="C290" s="547" t="s">
        <v>540</v>
      </c>
      <c r="D290" s="1209" t="s">
        <v>541</v>
      </c>
      <c r="E290" s="1779">
        <f t="shared" si="12"/>
        <v>40873823325</v>
      </c>
      <c r="F290" s="1780"/>
      <c r="G290" s="1780"/>
      <c r="H290" s="1780"/>
      <c r="I290" s="1780"/>
      <c r="J290" s="1746">
        <v>40873823325</v>
      </c>
    </row>
    <row r="291" spans="1:10" s="1731" customFormat="1" ht="19.899999999999999" customHeight="1" x14ac:dyDescent="0.2">
      <c r="A291" s="1724"/>
      <c r="B291" s="3745"/>
      <c r="C291" s="2341" t="s">
        <v>182</v>
      </c>
      <c r="D291" s="1209" t="s">
        <v>335</v>
      </c>
      <c r="E291" s="1779">
        <f t="shared" si="12"/>
        <v>1813671406</v>
      </c>
      <c r="F291" s="1780"/>
      <c r="G291" s="1780"/>
      <c r="H291" s="1780"/>
      <c r="I291" s="1780"/>
      <c r="J291" s="1746">
        <v>1813671406</v>
      </c>
    </row>
    <row r="292" spans="1:10" s="1731" customFormat="1" ht="19.899999999999999" customHeight="1" x14ac:dyDescent="0.2">
      <c r="A292" s="1724"/>
      <c r="B292" s="3745"/>
      <c r="C292" s="2341" t="s">
        <v>68</v>
      </c>
      <c r="D292" s="1209" t="s">
        <v>70</v>
      </c>
      <c r="E292" s="1779">
        <f t="shared" si="12"/>
        <v>2470527633</v>
      </c>
      <c r="F292" s="1780"/>
      <c r="G292" s="1780"/>
      <c r="H292" s="1780"/>
      <c r="I292" s="1780"/>
      <c r="J292" s="550">
        <v>2470527633</v>
      </c>
    </row>
    <row r="293" spans="1:10" s="1731" customFormat="1" ht="19.899999999999999" customHeight="1" x14ac:dyDescent="0.2">
      <c r="A293" s="1724"/>
      <c r="B293" s="3745"/>
      <c r="C293" s="2192" t="s">
        <v>634</v>
      </c>
      <c r="D293" s="1209" t="s">
        <v>598</v>
      </c>
      <c r="E293" s="1779">
        <f t="shared" si="12"/>
        <v>1772376364</v>
      </c>
      <c r="F293" s="1780"/>
      <c r="G293" s="1780"/>
      <c r="H293" s="1780"/>
      <c r="I293" s="1780"/>
      <c r="J293" s="1746">
        <v>1772376364</v>
      </c>
    </row>
    <row r="294" spans="1:10" s="1731" customFormat="1" ht="19.899999999999999" customHeight="1" x14ac:dyDescent="0.2">
      <c r="A294" s="1724"/>
      <c r="B294" s="3745"/>
      <c r="C294" s="2192" t="s">
        <v>548</v>
      </c>
      <c r="D294" s="1209" t="s">
        <v>547</v>
      </c>
      <c r="E294" s="1779">
        <f t="shared" si="12"/>
        <v>153192277544</v>
      </c>
      <c r="F294" s="1780"/>
      <c r="G294" s="1780"/>
      <c r="H294" s="1780"/>
      <c r="I294" s="1780"/>
      <c r="J294" s="552">
        <v>153192277544</v>
      </c>
    </row>
    <row r="295" spans="1:10" s="1731" customFormat="1" ht="19.899999999999999" customHeight="1" x14ac:dyDescent="0.2">
      <c r="A295" s="1724"/>
      <c r="B295" s="3745"/>
      <c r="C295" s="2341">
        <v>1503002173</v>
      </c>
      <c r="D295" s="1209" t="s">
        <v>376</v>
      </c>
      <c r="E295" s="1779">
        <f t="shared" si="12"/>
        <v>97398088902</v>
      </c>
      <c r="F295" s="1780"/>
      <c r="G295" s="1780"/>
      <c r="H295" s="1780"/>
      <c r="I295" s="1780"/>
      <c r="J295" s="550">
        <v>97398088902</v>
      </c>
    </row>
    <row r="296" spans="1:10" s="1731" customFormat="1" ht="19.899999999999999" customHeight="1" x14ac:dyDescent="0.2">
      <c r="A296" s="1724"/>
      <c r="B296" s="3745"/>
      <c r="C296" s="2341">
        <v>1503002067</v>
      </c>
      <c r="D296" s="1209" t="s">
        <v>86</v>
      </c>
      <c r="E296" s="1779">
        <f t="shared" si="12"/>
        <v>1000000000</v>
      </c>
      <c r="F296" s="1780"/>
      <c r="G296" s="1780"/>
      <c r="H296" s="1780"/>
      <c r="I296" s="1780"/>
      <c r="J296" s="550">
        <v>1000000000</v>
      </c>
    </row>
    <row r="297" spans="1:10" s="1731" customFormat="1" ht="19.899999999999999" customHeight="1" x14ac:dyDescent="0.2">
      <c r="A297" s="1724"/>
      <c r="B297" s="3745"/>
      <c r="C297" s="2341" t="s">
        <v>104</v>
      </c>
      <c r="D297" s="1209" t="s">
        <v>198</v>
      </c>
      <c r="E297" s="1779">
        <f t="shared" si="12"/>
        <v>500000000</v>
      </c>
      <c r="F297" s="1780"/>
      <c r="G297" s="1780"/>
      <c r="H297" s="1780"/>
      <c r="I297" s="1780"/>
      <c r="J297" s="550">
        <v>500000000</v>
      </c>
    </row>
    <row r="298" spans="1:10" s="1731" customFormat="1" ht="19.899999999999999" customHeight="1" x14ac:dyDescent="0.2">
      <c r="A298" s="1724"/>
      <c r="B298" s="3745"/>
      <c r="C298" s="2341" t="s">
        <v>98</v>
      </c>
      <c r="D298" s="1209" t="s">
        <v>219</v>
      </c>
      <c r="E298" s="1779">
        <f t="shared" si="12"/>
        <v>40398689</v>
      </c>
      <c r="F298" s="1780"/>
      <c r="G298" s="1780"/>
      <c r="H298" s="1780"/>
      <c r="I298" s="1780"/>
      <c r="J298" s="550">
        <v>40398689</v>
      </c>
    </row>
    <row r="299" spans="1:10" s="1731" customFormat="1" ht="19.899999999999999" customHeight="1" x14ac:dyDescent="0.2">
      <c r="A299" s="1724"/>
      <c r="B299" s="3745"/>
      <c r="C299" s="2192" t="s">
        <v>622</v>
      </c>
      <c r="D299" s="1209" t="s">
        <v>620</v>
      </c>
      <c r="E299" s="1779">
        <f t="shared" si="12"/>
        <v>53609614447</v>
      </c>
      <c r="F299" s="1780"/>
      <c r="G299" s="1780"/>
      <c r="H299" s="1780"/>
      <c r="I299" s="1780"/>
      <c r="J299" s="550">
        <v>53609614447</v>
      </c>
    </row>
    <row r="300" spans="1:10" s="1731" customFormat="1" ht="19.899999999999999" customHeight="1" x14ac:dyDescent="0.2">
      <c r="A300" s="1724"/>
      <c r="B300" s="3745"/>
      <c r="C300" s="2192" t="s">
        <v>81</v>
      </c>
      <c r="D300" s="1209" t="s">
        <v>82</v>
      </c>
      <c r="E300" s="1779">
        <f t="shared" si="12"/>
        <v>131520000</v>
      </c>
      <c r="F300" s="1780"/>
      <c r="G300" s="1780"/>
      <c r="H300" s="1780"/>
      <c r="I300" s="1780"/>
      <c r="J300" s="550">
        <v>131520000</v>
      </c>
    </row>
    <row r="301" spans="1:10" s="1731" customFormat="1" ht="19.899999999999999" customHeight="1" x14ac:dyDescent="0.2">
      <c r="A301" s="1724"/>
      <c r="B301" s="3745"/>
      <c r="C301" s="2357" t="s">
        <v>77</v>
      </c>
      <c r="D301" s="1209" t="s">
        <v>143</v>
      </c>
      <c r="E301" s="1779">
        <f t="shared" si="12"/>
        <v>22415805</v>
      </c>
      <c r="F301" s="1780"/>
      <c r="G301" s="1780"/>
      <c r="H301" s="1780"/>
      <c r="I301" s="1780"/>
      <c r="J301" s="1746">
        <v>22415805</v>
      </c>
    </row>
    <row r="302" spans="1:10" s="1731" customFormat="1" ht="19.899999999999999" customHeight="1" x14ac:dyDescent="0.2">
      <c r="A302" s="1724"/>
      <c r="B302" s="3745"/>
      <c r="C302" s="2358" t="s">
        <v>637</v>
      </c>
      <c r="D302" s="1216" t="s">
        <v>613</v>
      </c>
      <c r="E302" s="1779">
        <f t="shared" si="12"/>
        <v>6408149755</v>
      </c>
      <c r="F302" s="1780"/>
      <c r="G302" s="1780"/>
      <c r="H302" s="1780"/>
      <c r="I302" s="1780"/>
      <c r="J302" s="1823">
        <v>6408149755</v>
      </c>
    </row>
    <row r="303" spans="1:10" s="1731" customFormat="1" ht="19.899999999999999" customHeight="1" x14ac:dyDescent="0.2">
      <c r="A303" s="1724"/>
      <c r="B303" s="3745"/>
      <c r="C303" s="2192" t="s">
        <v>645</v>
      </c>
      <c r="D303" s="1210" t="s">
        <v>644</v>
      </c>
      <c r="E303" s="1779">
        <f t="shared" si="12"/>
        <v>1607391678</v>
      </c>
      <c r="F303" s="1780"/>
      <c r="G303" s="1780"/>
      <c r="H303" s="1780"/>
      <c r="I303" s="1780"/>
      <c r="J303" s="1746">
        <v>1607391678</v>
      </c>
    </row>
    <row r="304" spans="1:10" s="1731" customFormat="1" ht="19.899999999999999" customHeight="1" x14ac:dyDescent="0.2">
      <c r="A304" s="1724"/>
      <c r="B304" s="3745"/>
      <c r="C304" s="2192" t="s">
        <v>677</v>
      </c>
      <c r="D304" s="1210" t="s">
        <v>676</v>
      </c>
      <c r="E304" s="1779">
        <f t="shared" si="12"/>
        <v>7050548136</v>
      </c>
      <c r="F304" s="1780"/>
      <c r="G304" s="1780"/>
      <c r="H304" s="1780"/>
      <c r="I304" s="1780"/>
      <c r="J304" s="1746">
        <v>7050548136</v>
      </c>
    </row>
    <row r="305" spans="1:11" s="1731" customFormat="1" ht="19.899999999999999" customHeight="1" x14ac:dyDescent="0.2">
      <c r="A305" s="1724"/>
      <c r="B305" s="3745"/>
      <c r="C305" s="2192" t="s">
        <v>610</v>
      </c>
      <c r="D305" s="1209" t="s">
        <v>596</v>
      </c>
      <c r="E305" s="1779">
        <f t="shared" si="12"/>
        <v>42550169332</v>
      </c>
      <c r="F305" s="1780"/>
      <c r="G305" s="1780"/>
      <c r="H305" s="1780"/>
      <c r="I305" s="1780"/>
      <c r="J305" s="1746">
        <v>42550169332</v>
      </c>
    </row>
    <row r="306" spans="1:11" s="1731" customFormat="1" ht="19.899999999999999" customHeight="1" x14ac:dyDescent="0.2">
      <c r="A306" s="1724"/>
      <c r="B306" s="3745"/>
      <c r="C306" s="2192" t="s">
        <v>624</v>
      </c>
      <c r="D306" s="1209" t="s">
        <v>600</v>
      </c>
      <c r="E306" s="1779">
        <f t="shared" si="12"/>
        <v>42497881394</v>
      </c>
      <c r="F306" s="1780"/>
      <c r="G306" s="1780"/>
      <c r="H306" s="1780"/>
      <c r="I306" s="1780"/>
      <c r="J306" s="1746">
        <v>42497881394</v>
      </c>
    </row>
    <row r="307" spans="1:11" s="1731" customFormat="1" ht="19.899999999999999" customHeight="1" x14ac:dyDescent="0.2">
      <c r="A307" s="1724"/>
      <c r="B307" s="3745"/>
      <c r="C307" s="2192" t="s">
        <v>625</v>
      </c>
      <c r="D307" s="1209" t="s">
        <v>601</v>
      </c>
      <c r="E307" s="1779">
        <f t="shared" si="12"/>
        <v>4188634033</v>
      </c>
      <c r="F307" s="1780"/>
      <c r="G307" s="1780"/>
      <c r="H307" s="1780"/>
      <c r="I307" s="1780"/>
      <c r="J307" s="1746">
        <v>4188634033</v>
      </c>
    </row>
    <row r="308" spans="1:11" s="1731" customFormat="1" ht="19.899999999999999" customHeight="1" x14ac:dyDescent="0.2">
      <c r="A308" s="1724"/>
      <c r="B308" s="3745"/>
      <c r="C308" s="2192" t="s">
        <v>642</v>
      </c>
      <c r="D308" s="1209" t="s">
        <v>631</v>
      </c>
      <c r="E308" s="1779">
        <f t="shared" si="12"/>
        <v>4492241640</v>
      </c>
      <c r="F308" s="1780"/>
      <c r="G308" s="1780"/>
      <c r="H308" s="1780"/>
      <c r="I308" s="1780"/>
      <c r="J308" s="1746">
        <v>4492241640</v>
      </c>
    </row>
    <row r="309" spans="1:11" s="1731" customFormat="1" ht="19.899999999999999" customHeight="1" x14ac:dyDescent="0.2">
      <c r="A309" s="1724"/>
      <c r="B309" s="3745"/>
      <c r="C309" s="2192" t="s">
        <v>643</v>
      </c>
      <c r="D309" s="1209" t="s">
        <v>632</v>
      </c>
      <c r="E309" s="1779">
        <f t="shared" si="12"/>
        <v>27411915340</v>
      </c>
      <c r="F309" s="1780"/>
      <c r="G309" s="1780"/>
      <c r="H309" s="1780"/>
      <c r="I309" s="1780"/>
      <c r="J309" s="1746">
        <v>27411915340</v>
      </c>
    </row>
    <row r="310" spans="1:11" s="1731" customFormat="1" ht="19.899999999999999" customHeight="1" x14ac:dyDescent="0.4">
      <c r="A310" s="1724"/>
      <c r="B310" s="3745"/>
      <c r="C310" s="2349" t="s">
        <v>2061</v>
      </c>
      <c r="D310" s="1805" t="s">
        <v>2038</v>
      </c>
      <c r="E310" s="1779">
        <f t="shared" si="12"/>
        <v>11745746176</v>
      </c>
      <c r="F310" s="1799"/>
      <c r="G310" s="1799"/>
      <c r="H310" s="1799"/>
      <c r="I310" s="1799"/>
      <c r="J310" s="1746">
        <v>11745746176</v>
      </c>
      <c r="K310" s="1824"/>
    </row>
    <row r="311" spans="1:11" s="1824" customFormat="1" ht="19.899999999999999" customHeight="1" x14ac:dyDescent="0.2">
      <c r="A311" s="1724"/>
      <c r="B311" s="3745"/>
      <c r="C311" s="3728" t="s">
        <v>1902</v>
      </c>
      <c r="D311" s="3422"/>
      <c r="E311" s="1779">
        <f t="shared" si="12"/>
        <v>3000000000</v>
      </c>
      <c r="F311" s="1799"/>
      <c r="G311" s="1799"/>
      <c r="H311" s="1799"/>
      <c r="I311" s="1799"/>
      <c r="J311" s="1255">
        <v>3000000000</v>
      </c>
    </row>
    <row r="312" spans="1:11" s="1824" customFormat="1" ht="19.899999999999999" customHeight="1" thickBot="1" x14ac:dyDescent="0.25">
      <c r="A312" s="1825"/>
      <c r="B312" s="3745"/>
      <c r="C312" s="3738" t="s">
        <v>222</v>
      </c>
      <c r="D312" s="3739"/>
      <c r="E312" s="848">
        <f>SUM(E277:E311)</f>
        <v>6360115629820</v>
      </c>
      <c r="F312" s="848">
        <f t="shared" ref="F312:J312" si="14">SUM(F277:F311)</f>
        <v>0</v>
      </c>
      <c r="G312" s="848">
        <f t="shared" si="14"/>
        <v>0</v>
      </c>
      <c r="H312" s="848">
        <f t="shared" si="14"/>
        <v>0</v>
      </c>
      <c r="I312" s="848">
        <f t="shared" si="14"/>
        <v>0</v>
      </c>
      <c r="J312" s="848">
        <f t="shared" si="14"/>
        <v>6360115629820</v>
      </c>
      <c r="K312" s="1719"/>
    </row>
    <row r="313" spans="1:11" ht="19.899999999999999" customHeight="1" thickBot="1" x14ac:dyDescent="0.25">
      <c r="A313" s="1825"/>
      <c r="B313" s="3745"/>
      <c r="C313" s="3740" t="s">
        <v>195</v>
      </c>
      <c r="D313" s="3741"/>
      <c r="E313" s="1826">
        <f>E312+E261-2000000</f>
        <v>58341540278858</v>
      </c>
      <c r="F313" s="1826">
        <f>F312+F261</f>
        <v>226679557405</v>
      </c>
      <c r="G313" s="1826">
        <f>G312+G261</f>
        <v>0</v>
      </c>
      <c r="H313" s="1826">
        <f>H312+H261</f>
        <v>11185213251</v>
      </c>
      <c r="I313" s="1826">
        <f>I312+I261</f>
        <v>262714320109</v>
      </c>
      <c r="J313" s="1827">
        <f>J312+J261</f>
        <v>58842121369623</v>
      </c>
    </row>
    <row r="314" spans="1:11" ht="15.6" customHeight="1" x14ac:dyDescent="0.2">
      <c r="A314" s="1825"/>
      <c r="B314" s="1776"/>
      <c r="C314" s="1828"/>
      <c r="D314" s="1828"/>
      <c r="E314" s="1829"/>
      <c r="F314" s="1829"/>
      <c r="G314" s="1829"/>
      <c r="H314" s="1829"/>
      <c r="I314" s="1829"/>
      <c r="J314" s="1830" t="s">
        <v>1346</v>
      </c>
    </row>
    <row r="315" spans="1:11" ht="15.6" customHeight="1" x14ac:dyDescent="0.2">
      <c r="A315" s="1825"/>
      <c r="B315" s="1776"/>
      <c r="C315" s="1828"/>
      <c r="D315" s="1828"/>
      <c r="E315" s="1829"/>
      <c r="F315" s="1829"/>
      <c r="G315" s="1829"/>
      <c r="H315" s="1829"/>
      <c r="I315" s="1829"/>
      <c r="J315" s="1830"/>
    </row>
    <row r="316" spans="1:11" ht="15.6" customHeight="1" x14ac:dyDescent="0.2">
      <c r="A316" s="1825"/>
      <c r="B316" s="1776"/>
      <c r="C316" s="1828"/>
      <c r="D316" s="1828"/>
      <c r="E316" s="1829"/>
      <c r="F316" s="1829"/>
      <c r="G316" s="1829"/>
      <c r="H316" s="1829"/>
      <c r="I316" s="1829"/>
      <c r="J316" s="1830"/>
    </row>
    <row r="317" spans="1:11" ht="15.6" customHeight="1" x14ac:dyDescent="0.2">
      <c r="A317" s="1825"/>
      <c r="B317" s="1776"/>
      <c r="C317" s="1828"/>
      <c r="D317" s="1828"/>
      <c r="E317" s="1829"/>
      <c r="F317" s="1829"/>
      <c r="G317" s="1829"/>
      <c r="H317" s="1829"/>
      <c r="I317" s="1829"/>
      <c r="J317" s="1830"/>
    </row>
    <row r="318" spans="1:11" ht="15.6" customHeight="1" x14ac:dyDescent="0.2">
      <c r="A318" s="3714" t="s">
        <v>2270</v>
      </c>
      <c r="B318" s="3714"/>
      <c r="C318" s="3714"/>
      <c r="D318" s="3714"/>
      <c r="E318" s="3714"/>
      <c r="F318" s="3714"/>
      <c r="G318" s="3714"/>
      <c r="H318" s="3714"/>
      <c r="I318" s="3714"/>
      <c r="J318" s="3714"/>
    </row>
    <row r="319" spans="1:11" ht="15.6" customHeight="1" x14ac:dyDescent="0.35">
      <c r="A319" s="1831"/>
    </row>
    <row r="320" spans="1:11" ht="14.25" customHeight="1" x14ac:dyDescent="0.35">
      <c r="E320" s="1728">
        <v>145106774544</v>
      </c>
    </row>
    <row r="321" spans="5:8" ht="14.25" customHeight="1" x14ac:dyDescent="0.35">
      <c r="E321" s="1728">
        <f>E320-F313</f>
        <v>-81572782861</v>
      </c>
    </row>
    <row r="322" spans="5:8" ht="14.25" customHeight="1" x14ac:dyDescent="0.35">
      <c r="H322" s="1728">
        <f>E313+F313+H313+I313</f>
        <v>58842119369623</v>
      </c>
    </row>
  </sheetData>
  <mergeCells count="84">
    <mergeCell ref="A225:J225"/>
    <mergeCell ref="A223:J223"/>
    <mergeCell ref="A224:J224"/>
    <mergeCell ref="A221:J221"/>
    <mergeCell ref="B176:B219"/>
    <mergeCell ref="C176:C178"/>
    <mergeCell ref="D176:D178"/>
    <mergeCell ref="C179:D179"/>
    <mergeCell ref="C219:D219"/>
    <mergeCell ref="B116:H116"/>
    <mergeCell ref="A170:J170"/>
    <mergeCell ref="A171:J171"/>
    <mergeCell ref="J176:J178"/>
    <mergeCell ref="E176:I176"/>
    <mergeCell ref="A172:J172"/>
    <mergeCell ref="A173:J173"/>
    <mergeCell ref="A174:J174"/>
    <mergeCell ref="D117:D119"/>
    <mergeCell ref="B117:B168"/>
    <mergeCell ref="C168:D168"/>
    <mergeCell ref="C117:C119"/>
    <mergeCell ref="A1:J1"/>
    <mergeCell ref="A2:J2"/>
    <mergeCell ref="A3:J3"/>
    <mergeCell ref="A4:J4"/>
    <mergeCell ref="B7:J7"/>
    <mergeCell ref="I8:J8"/>
    <mergeCell ref="A58:J58"/>
    <mergeCell ref="A59:J59"/>
    <mergeCell ref="D63:D65"/>
    <mergeCell ref="E63:I63"/>
    <mergeCell ref="J63:J65"/>
    <mergeCell ref="A61:J61"/>
    <mergeCell ref="B62:H62"/>
    <mergeCell ref="I62:J62"/>
    <mergeCell ref="C63:C65"/>
    <mergeCell ref="C9:C11"/>
    <mergeCell ref="D9:D11"/>
    <mergeCell ref="E9:I9"/>
    <mergeCell ref="A57:J57"/>
    <mergeCell ref="A60:J60"/>
    <mergeCell ref="J9:J11"/>
    <mergeCell ref="A318:J318"/>
    <mergeCell ref="B228:B261"/>
    <mergeCell ref="C228:C230"/>
    <mergeCell ref="D228:D230"/>
    <mergeCell ref="C261:D261"/>
    <mergeCell ref="E228:I228"/>
    <mergeCell ref="C231:D231"/>
    <mergeCell ref="C312:D312"/>
    <mergeCell ref="C313:D313"/>
    <mergeCell ref="B273:H273"/>
    <mergeCell ref="I273:J273"/>
    <mergeCell ref="C274:C276"/>
    <mergeCell ref="D274:D276"/>
    <mergeCell ref="E274:I274"/>
    <mergeCell ref="J274:J276"/>
    <mergeCell ref="B274:B313"/>
    <mergeCell ref="A226:J226"/>
    <mergeCell ref="J228:J230"/>
    <mergeCell ref="B227:H227"/>
    <mergeCell ref="I227:J227"/>
    <mergeCell ref="C311:D311"/>
    <mergeCell ref="A267:J267"/>
    <mergeCell ref="A269:J269"/>
    <mergeCell ref="A270:J270"/>
    <mergeCell ref="A271:J271"/>
    <mergeCell ref="A272:J272"/>
    <mergeCell ref="C110:D110"/>
    <mergeCell ref="C56:D56"/>
    <mergeCell ref="A111:J111"/>
    <mergeCell ref="B175:H175"/>
    <mergeCell ref="E117:I117"/>
    <mergeCell ref="I175:J175"/>
    <mergeCell ref="J117:J119"/>
    <mergeCell ref="A112:J112"/>
    <mergeCell ref="A113:J113"/>
    <mergeCell ref="A114:J114"/>
    <mergeCell ref="A115:J115"/>
    <mergeCell ref="C120:D120"/>
    <mergeCell ref="C66:D66"/>
    <mergeCell ref="B9:B56"/>
    <mergeCell ref="B63:B110"/>
    <mergeCell ref="I116:J116"/>
  </mergeCells>
  <printOptions horizontalCentered="1"/>
  <pageMargins left="0.196850393700787" right="0.15748031496063" top="0" bottom="0" header="0" footer="0"/>
  <pageSetup scale="67" fitToWidth="0" fitToHeight="0" orientation="portrait" r:id="rId1"/>
  <headerFooter alignWithMargins="0"/>
  <rowBreaks count="3" manualBreakCount="3">
    <brk id="57" max="16383" man="1"/>
    <brk id="111" max="10" man="1"/>
    <brk id="222" max="10"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2060"/>
  </sheetPr>
  <dimension ref="A1:O219"/>
  <sheetViews>
    <sheetView rightToLeft="1" view="pageBreakPreview" zoomScale="37" zoomScaleNormal="100" zoomScaleSheetLayoutView="37" workbookViewId="0">
      <selection activeCell="A104" sqref="A104"/>
    </sheetView>
  </sheetViews>
  <sheetFormatPr defaultColWidth="9.140625" defaultRowHeight="14.25" customHeight="1" x14ac:dyDescent="0.35"/>
  <cols>
    <col min="1" max="1" width="1.85546875" style="1719" customWidth="1"/>
    <col min="2" max="2" width="3.42578125" style="1725" customWidth="1"/>
    <col min="3" max="3" width="14.140625" style="1726" customWidth="1"/>
    <col min="4" max="4" width="45.28515625" style="1727" customWidth="1"/>
    <col min="5" max="5" width="13.7109375" style="1728" customWidth="1"/>
    <col min="6" max="6" width="11.28515625" style="1728" customWidth="1"/>
    <col min="7" max="7" width="0.28515625" style="1728" hidden="1" customWidth="1"/>
    <col min="8" max="8" width="6.42578125" style="1728" hidden="1" customWidth="1"/>
    <col min="9" max="9" width="10.7109375" style="1728" customWidth="1"/>
    <col min="10" max="10" width="13.5703125" style="2360" customWidth="1"/>
    <col min="11" max="11" width="1.42578125" style="1719" customWidth="1"/>
    <col min="12" max="16384" width="9.140625" style="1719"/>
  </cols>
  <sheetData>
    <row r="1" spans="1:11" ht="19.149999999999999" customHeight="1" x14ac:dyDescent="0.2">
      <c r="A1" s="3300" t="s">
        <v>295</v>
      </c>
      <c r="B1" s="3300"/>
      <c r="C1" s="3300"/>
      <c r="D1" s="3300"/>
      <c r="E1" s="3300"/>
      <c r="F1" s="3300"/>
      <c r="G1" s="3300"/>
      <c r="H1" s="3300"/>
      <c r="I1" s="3300"/>
      <c r="J1" s="3300"/>
    </row>
    <row r="2" spans="1:11" ht="19.149999999999999" customHeight="1" x14ac:dyDescent="0.2">
      <c r="A2" s="3300" t="s">
        <v>45</v>
      </c>
      <c r="B2" s="3300"/>
      <c r="C2" s="3300"/>
      <c r="D2" s="3300"/>
      <c r="E2" s="3300"/>
      <c r="F2" s="3300"/>
      <c r="G2" s="3300"/>
      <c r="H2" s="3300"/>
      <c r="I2" s="3300"/>
      <c r="J2" s="3300"/>
    </row>
    <row r="3" spans="1:11" ht="19.149999999999999" customHeight="1" x14ac:dyDescent="0.2">
      <c r="A3" s="3300" t="s">
        <v>46</v>
      </c>
      <c r="B3" s="3300"/>
      <c r="C3" s="3300"/>
      <c r="D3" s="3300"/>
      <c r="E3" s="3300"/>
      <c r="F3" s="3300"/>
      <c r="G3" s="3300"/>
      <c r="H3" s="3300"/>
      <c r="I3" s="3300"/>
      <c r="J3" s="3300"/>
    </row>
    <row r="4" spans="1:11" ht="19.149999999999999" customHeight="1" x14ac:dyDescent="0.2">
      <c r="A4" s="3721" t="s">
        <v>1992</v>
      </c>
      <c r="B4" s="3721"/>
      <c r="C4" s="3721"/>
      <c r="D4" s="3721"/>
      <c r="E4" s="3721"/>
      <c r="F4" s="3721"/>
      <c r="G4" s="3721"/>
      <c r="H4" s="3721"/>
      <c r="I4" s="3721"/>
      <c r="J4" s="3721"/>
      <c r="K4" s="1721"/>
    </row>
    <row r="5" spans="1:11" ht="19.149999999999999" customHeight="1" x14ac:dyDescent="0.35">
      <c r="A5" s="1722"/>
      <c r="B5" s="1722"/>
      <c r="C5" s="1722"/>
      <c r="D5" s="1720"/>
      <c r="E5" s="1723"/>
      <c r="F5" s="1723"/>
      <c r="G5" s="1723"/>
      <c r="H5" s="1723"/>
      <c r="I5" s="1723"/>
      <c r="J5" s="2359"/>
      <c r="K5" s="1721"/>
    </row>
    <row r="6" spans="1:11" ht="19.149999999999999" customHeight="1" x14ac:dyDescent="0.35">
      <c r="A6" s="1724"/>
    </row>
    <row r="7" spans="1:11" ht="19.149999999999999" customHeight="1" x14ac:dyDescent="0.2">
      <c r="A7" s="1724"/>
      <c r="B7" s="3746" t="s">
        <v>1975</v>
      </c>
      <c r="C7" s="3746"/>
      <c r="D7" s="3746"/>
      <c r="E7" s="3746"/>
      <c r="F7" s="3746"/>
      <c r="G7" s="3746"/>
      <c r="H7" s="3746"/>
      <c r="I7" s="3746"/>
      <c r="J7" s="3746"/>
    </row>
    <row r="8" spans="1:11" ht="19.149999999999999" customHeight="1" x14ac:dyDescent="0.35">
      <c r="A8" s="1724"/>
      <c r="B8" s="1729"/>
      <c r="C8" s="1730"/>
      <c r="I8" s="3718" t="s">
        <v>194</v>
      </c>
      <c r="J8" s="3718"/>
    </row>
    <row r="9" spans="1:11" s="1731" customFormat="1" ht="19.149999999999999" customHeight="1" x14ac:dyDescent="0.45">
      <c r="A9" s="1724"/>
      <c r="B9" s="3724" t="s">
        <v>180</v>
      </c>
      <c r="C9" s="3742" t="s">
        <v>196</v>
      </c>
      <c r="D9" s="3733" t="s">
        <v>197</v>
      </c>
      <c r="E9" s="3716" t="s">
        <v>381</v>
      </c>
      <c r="F9" s="3717"/>
      <c r="G9" s="3717"/>
      <c r="H9" s="3717"/>
      <c r="I9" s="3717"/>
      <c r="J9" s="3748" t="s">
        <v>27</v>
      </c>
    </row>
    <row r="10" spans="1:11" s="1731" customFormat="1" ht="16.149999999999999" customHeight="1" x14ac:dyDescent="0.2">
      <c r="A10" s="1724"/>
      <c r="B10" s="3725"/>
      <c r="C10" s="3742"/>
      <c r="D10" s="3733"/>
      <c r="E10" s="2361" t="s">
        <v>1280</v>
      </c>
      <c r="F10" s="1758" t="s">
        <v>1281</v>
      </c>
      <c r="G10" s="1758"/>
      <c r="H10" s="1758" t="s">
        <v>1282</v>
      </c>
      <c r="I10" s="1758" t="s">
        <v>1283</v>
      </c>
      <c r="J10" s="3749"/>
    </row>
    <row r="11" spans="1:11" s="1731" customFormat="1" ht="86.45" customHeight="1" x14ac:dyDescent="0.2">
      <c r="A11" s="1724"/>
      <c r="B11" s="3725"/>
      <c r="C11" s="3742"/>
      <c r="D11" s="3733"/>
      <c r="E11" s="1756" t="s">
        <v>1284</v>
      </c>
      <c r="F11" s="1757" t="s">
        <v>1285</v>
      </c>
      <c r="G11" s="1758" t="s">
        <v>382</v>
      </c>
      <c r="H11" s="1757" t="s">
        <v>1286</v>
      </c>
      <c r="I11" s="1757" t="s">
        <v>1287</v>
      </c>
      <c r="J11" s="3749"/>
    </row>
    <row r="12" spans="1:11" s="1731" customFormat="1" ht="19.149999999999999" customHeight="1" x14ac:dyDescent="0.2">
      <c r="A12" s="1724"/>
      <c r="B12" s="3725"/>
      <c r="C12" s="1737">
        <v>1307002010</v>
      </c>
      <c r="D12" s="1195" t="s">
        <v>592</v>
      </c>
      <c r="E12" s="1759">
        <f>J12-I12-H12-F12</f>
        <v>1151119744551</v>
      </c>
      <c r="F12" s="1749">
        <v>20000000000</v>
      </c>
      <c r="G12" s="1749"/>
      <c r="H12" s="1749"/>
      <c r="I12" s="1749">
        <v>15322000000</v>
      </c>
      <c r="J12" s="1244">
        <v>1186441744551</v>
      </c>
    </row>
    <row r="13" spans="1:11" s="1731" customFormat="1" ht="19.149999999999999" customHeight="1" x14ac:dyDescent="0.2">
      <c r="A13" s="1724"/>
      <c r="B13" s="3725"/>
      <c r="C13" s="1741">
        <v>1307002080</v>
      </c>
      <c r="D13" s="1195" t="s">
        <v>323</v>
      </c>
      <c r="E13" s="1759">
        <f t="shared" ref="E13:E55" si="0">J13-I13-H13-F13</f>
        <v>6167312799322</v>
      </c>
      <c r="F13" s="1749"/>
      <c r="G13" s="1749"/>
      <c r="H13" s="1749"/>
      <c r="I13" s="1749"/>
      <c r="J13" s="1244">
        <v>6167312799322</v>
      </c>
    </row>
    <row r="14" spans="1:11" s="1731" customFormat="1" ht="19.149999999999999" customHeight="1" x14ac:dyDescent="0.2">
      <c r="A14" s="1724"/>
      <c r="B14" s="3725"/>
      <c r="C14" s="1737">
        <v>1503002046</v>
      </c>
      <c r="D14" s="1195" t="s">
        <v>83</v>
      </c>
      <c r="E14" s="1759">
        <f t="shared" si="0"/>
        <v>904642224854</v>
      </c>
      <c r="F14" s="1759"/>
      <c r="G14" s="1749"/>
      <c r="H14" s="1749"/>
      <c r="I14" s="1749"/>
      <c r="J14" s="1244">
        <v>904642224854</v>
      </c>
    </row>
    <row r="15" spans="1:11" s="1731" customFormat="1" ht="19.149999999999999" customHeight="1" x14ac:dyDescent="0.2">
      <c r="A15" s="1724"/>
      <c r="B15" s="3725"/>
      <c r="C15" s="1737">
        <v>1503002096</v>
      </c>
      <c r="D15" s="1195" t="s">
        <v>84</v>
      </c>
      <c r="E15" s="1759">
        <f t="shared" si="0"/>
        <v>58449850334</v>
      </c>
      <c r="F15" s="1749"/>
      <c r="G15" s="1749"/>
      <c r="H15" s="1749"/>
      <c r="I15" s="1749"/>
      <c r="J15" s="1244">
        <v>58449850334</v>
      </c>
    </row>
    <row r="16" spans="1:11" s="1731" customFormat="1" ht="19.149999999999999" customHeight="1" x14ac:dyDescent="0.2">
      <c r="A16" s="1724"/>
      <c r="B16" s="3725"/>
      <c r="C16" s="1737">
        <v>1503002173</v>
      </c>
      <c r="D16" s="1195" t="s">
        <v>85</v>
      </c>
      <c r="E16" s="1759">
        <f t="shared" si="0"/>
        <v>437848190035</v>
      </c>
      <c r="F16" s="1749"/>
      <c r="G16" s="1749"/>
      <c r="H16" s="1749"/>
      <c r="I16" s="1749"/>
      <c r="J16" s="1244">
        <v>437848190035</v>
      </c>
    </row>
    <row r="17" spans="1:12" s="1731" customFormat="1" ht="19.149999999999999" customHeight="1" x14ac:dyDescent="0.2">
      <c r="A17" s="1724"/>
      <c r="B17" s="3725"/>
      <c r="C17" s="1737">
        <v>1503002067</v>
      </c>
      <c r="D17" s="1195" t="s">
        <v>86</v>
      </c>
      <c r="E17" s="1759">
        <f t="shared" si="0"/>
        <v>3455171004</v>
      </c>
      <c r="F17" s="1749"/>
      <c r="G17" s="1749"/>
      <c r="H17" s="1749"/>
      <c r="I17" s="1749">
        <v>3775000000</v>
      </c>
      <c r="J17" s="1244">
        <v>7230171004</v>
      </c>
    </row>
    <row r="18" spans="1:12" s="1731" customFormat="1" ht="19.149999999999999" customHeight="1" x14ac:dyDescent="0.2">
      <c r="A18" s="1724"/>
      <c r="B18" s="3725"/>
      <c r="C18" s="1737">
        <v>1307006001</v>
      </c>
      <c r="D18" s="1195" t="s">
        <v>87</v>
      </c>
      <c r="E18" s="1759">
        <f t="shared" si="0"/>
        <v>723504859743</v>
      </c>
      <c r="F18" s="1749"/>
      <c r="G18" s="1749"/>
      <c r="H18" s="1749"/>
      <c r="I18" s="1749"/>
      <c r="J18" s="1244">
        <v>723504859743</v>
      </c>
    </row>
    <row r="19" spans="1:12" s="1731" customFormat="1" ht="19.149999999999999" customHeight="1" x14ac:dyDescent="0.2">
      <c r="A19" s="1724"/>
      <c r="B19" s="3725"/>
      <c r="C19" s="1737" t="s">
        <v>162</v>
      </c>
      <c r="D19" s="1197" t="s">
        <v>256</v>
      </c>
      <c r="E19" s="1759">
        <f t="shared" si="0"/>
        <v>775685</v>
      </c>
      <c r="F19" s="1749"/>
      <c r="G19" s="1749"/>
      <c r="H19" s="1749"/>
      <c r="I19" s="1749"/>
      <c r="J19" s="510">
        <v>775685</v>
      </c>
    </row>
    <row r="20" spans="1:12" s="1731" customFormat="1" ht="19.149999999999999" customHeight="1" x14ac:dyDescent="0.2">
      <c r="A20" s="1724"/>
      <c r="B20" s="3725"/>
      <c r="C20" s="1737">
        <v>1502001005</v>
      </c>
      <c r="D20" s="1197" t="s">
        <v>233</v>
      </c>
      <c r="E20" s="1759">
        <f t="shared" si="0"/>
        <v>164857692737</v>
      </c>
      <c r="F20" s="1749"/>
      <c r="G20" s="1749"/>
      <c r="H20" s="1749"/>
      <c r="I20" s="1749"/>
      <c r="J20" s="510">
        <v>164857692737</v>
      </c>
    </row>
    <row r="21" spans="1:12" s="1731" customFormat="1" ht="19.149999999999999" customHeight="1" x14ac:dyDescent="0.2">
      <c r="A21" s="1724"/>
      <c r="B21" s="3725"/>
      <c r="C21" s="1737" t="s">
        <v>361</v>
      </c>
      <c r="D21" s="1197" t="s">
        <v>362</v>
      </c>
      <c r="E21" s="1759">
        <f t="shared" si="0"/>
        <v>8999992</v>
      </c>
      <c r="F21" s="1749"/>
      <c r="G21" s="1749"/>
      <c r="H21" s="1749"/>
      <c r="I21" s="1749"/>
      <c r="J21" s="510">
        <v>8999992</v>
      </c>
    </row>
    <row r="22" spans="1:12" s="1731" customFormat="1" ht="19.149999999999999" customHeight="1" x14ac:dyDescent="0.2">
      <c r="A22" s="1724"/>
      <c r="B22" s="3725"/>
      <c r="C22" s="1737">
        <v>1503003007</v>
      </c>
      <c r="D22" s="1197" t="s">
        <v>538</v>
      </c>
      <c r="E22" s="1759">
        <f t="shared" si="0"/>
        <v>619000000</v>
      </c>
      <c r="F22" s="1749"/>
      <c r="G22" s="1749"/>
      <c r="H22" s="1749"/>
      <c r="I22" s="1749"/>
      <c r="J22" s="1243">
        <v>619000000</v>
      </c>
    </row>
    <row r="23" spans="1:12" s="1731" customFormat="1" ht="19.149999999999999" customHeight="1" x14ac:dyDescent="0.2">
      <c r="A23" s="1724"/>
      <c r="B23" s="3725"/>
      <c r="C23" s="214" t="s">
        <v>366</v>
      </c>
      <c r="D23" s="1197" t="s">
        <v>367</v>
      </c>
      <c r="E23" s="1759">
        <f t="shared" si="0"/>
        <v>316000000</v>
      </c>
      <c r="F23" s="1749"/>
      <c r="G23" s="1749"/>
      <c r="H23" s="1749"/>
      <c r="I23" s="1749"/>
      <c r="J23" s="1243">
        <v>316000000</v>
      </c>
    </row>
    <row r="24" spans="1:12" s="1731" customFormat="1" ht="19.149999999999999" customHeight="1" x14ac:dyDescent="0.2">
      <c r="A24" s="1724"/>
      <c r="B24" s="3725"/>
      <c r="C24" s="2191" t="s">
        <v>542</v>
      </c>
      <c r="D24" s="1207" t="s">
        <v>335</v>
      </c>
      <c r="E24" s="1759">
        <f t="shared" si="0"/>
        <v>15144468453</v>
      </c>
      <c r="F24" s="1749"/>
      <c r="G24" s="1749"/>
      <c r="H24" s="1749"/>
      <c r="I24" s="1749"/>
      <c r="J24" s="510">
        <v>15144468453</v>
      </c>
    </row>
    <row r="25" spans="1:12" s="1731" customFormat="1" ht="19.149999999999999" customHeight="1" x14ac:dyDescent="0.2">
      <c r="A25" s="1724"/>
      <c r="B25" s="3725"/>
      <c r="C25" s="2191" t="s">
        <v>546</v>
      </c>
      <c r="D25" s="1207" t="s">
        <v>545</v>
      </c>
      <c r="E25" s="1759">
        <f t="shared" si="0"/>
        <v>55274973242</v>
      </c>
      <c r="F25" s="1749"/>
      <c r="G25" s="1749"/>
      <c r="H25" s="1749"/>
      <c r="I25" s="1749"/>
      <c r="J25" s="510">
        <v>55274973242</v>
      </c>
    </row>
    <row r="26" spans="1:12" s="1731" customFormat="1" ht="19.149999999999999" customHeight="1" x14ac:dyDescent="0.2">
      <c r="A26" s="1724"/>
      <c r="B26" s="3725"/>
      <c r="C26" s="2191" t="s">
        <v>555</v>
      </c>
      <c r="D26" s="1207" t="s">
        <v>545</v>
      </c>
      <c r="E26" s="1759">
        <f t="shared" si="0"/>
        <v>154330202660</v>
      </c>
      <c r="F26" s="1749"/>
      <c r="G26" s="1749"/>
      <c r="H26" s="1749"/>
      <c r="I26" s="1749"/>
      <c r="J26" s="510">
        <v>154330202660</v>
      </c>
    </row>
    <row r="27" spans="1:12" s="1731" customFormat="1" ht="19.149999999999999" customHeight="1" x14ac:dyDescent="0.2">
      <c r="A27" s="1724"/>
      <c r="B27" s="3725"/>
      <c r="C27" s="2191" t="s">
        <v>550</v>
      </c>
      <c r="D27" s="1207" t="s">
        <v>556</v>
      </c>
      <c r="E27" s="1759">
        <f t="shared" si="0"/>
        <v>15369352992</v>
      </c>
      <c r="F27" s="1749"/>
      <c r="G27" s="1749"/>
      <c r="H27" s="1749"/>
      <c r="I27" s="1749"/>
      <c r="J27" s="510">
        <v>15369352992</v>
      </c>
      <c r="L27" s="1731">
        <v>978965146591</v>
      </c>
    </row>
    <row r="28" spans="1:12" s="1731" customFormat="1" ht="19.149999999999999" customHeight="1" x14ac:dyDescent="0.2">
      <c r="A28" s="1724"/>
      <c r="B28" s="3725"/>
      <c r="C28" s="1762" t="s">
        <v>608</v>
      </c>
      <c r="D28" s="1200" t="s">
        <v>1289</v>
      </c>
      <c r="E28" s="1759">
        <f t="shared" si="0"/>
        <v>767612455218</v>
      </c>
      <c r="F28" s="1749">
        <v>7083637948</v>
      </c>
      <c r="G28" s="1749"/>
      <c r="H28" s="1749"/>
      <c r="I28" s="1749"/>
      <c r="J28" s="510">
        <v>774696093166</v>
      </c>
      <c r="L28" s="1731">
        <v>120069964449</v>
      </c>
    </row>
    <row r="29" spans="1:12" s="1731" customFormat="1" ht="19.149999999999999" customHeight="1" x14ac:dyDescent="0.2">
      <c r="A29" s="1724"/>
      <c r="B29" s="3725"/>
      <c r="C29" s="1762" t="s">
        <v>609</v>
      </c>
      <c r="D29" s="1200" t="s">
        <v>607</v>
      </c>
      <c r="E29" s="1759">
        <f t="shared" si="0"/>
        <v>220247295318</v>
      </c>
      <c r="F29" s="1749"/>
      <c r="G29" s="1749"/>
      <c r="H29" s="1749"/>
      <c r="I29" s="1749"/>
      <c r="J29" s="510">
        <v>220247295318</v>
      </c>
      <c r="L29" s="1731">
        <v>136697141944</v>
      </c>
    </row>
    <row r="30" spans="1:12" s="1731" customFormat="1" ht="19.149999999999999" customHeight="1" x14ac:dyDescent="0.2">
      <c r="A30" s="1724"/>
      <c r="B30" s="3725"/>
      <c r="C30" s="1762" t="s">
        <v>610</v>
      </c>
      <c r="D30" s="1200" t="s">
        <v>596</v>
      </c>
      <c r="E30" s="1759">
        <f t="shared" si="0"/>
        <v>7278386404</v>
      </c>
      <c r="F30" s="1749"/>
      <c r="G30" s="1749"/>
      <c r="H30" s="1749"/>
      <c r="I30" s="1749"/>
      <c r="J30" s="510">
        <v>7278386404</v>
      </c>
    </row>
    <row r="31" spans="1:12" s="1731" customFormat="1" ht="19.149999999999999" customHeight="1" x14ac:dyDescent="0.2">
      <c r="A31" s="1724"/>
      <c r="B31" s="3725"/>
      <c r="C31" s="1762" t="s">
        <v>634</v>
      </c>
      <c r="D31" s="1200" t="s">
        <v>598</v>
      </c>
      <c r="E31" s="1759">
        <f t="shared" si="0"/>
        <v>60595648376</v>
      </c>
      <c r="F31" s="1749"/>
      <c r="G31" s="1749"/>
      <c r="H31" s="1749"/>
      <c r="I31" s="1749"/>
      <c r="J31" s="510">
        <v>60595648376</v>
      </c>
    </row>
    <row r="32" spans="1:12" s="1731" customFormat="1" ht="19.149999999999999" customHeight="1" x14ac:dyDescent="0.2">
      <c r="A32" s="1724"/>
      <c r="B32" s="3725"/>
      <c r="C32" s="1762" t="s">
        <v>641</v>
      </c>
      <c r="D32" s="1200" t="s">
        <v>640</v>
      </c>
      <c r="E32" s="1759">
        <f t="shared" si="0"/>
        <v>65651397865</v>
      </c>
      <c r="F32" s="1749"/>
      <c r="G32" s="1749"/>
      <c r="H32" s="1749"/>
      <c r="I32" s="1749"/>
      <c r="J32" s="510">
        <v>65651397865</v>
      </c>
    </row>
    <row r="33" spans="1:10" s="1731" customFormat="1" ht="19.149999999999999" customHeight="1" x14ac:dyDescent="0.2">
      <c r="A33" s="1724"/>
      <c r="B33" s="3725"/>
      <c r="C33" s="1762" t="s">
        <v>622</v>
      </c>
      <c r="D33" s="1213" t="s">
        <v>620</v>
      </c>
      <c r="E33" s="1759">
        <f t="shared" si="0"/>
        <v>316477617926</v>
      </c>
      <c r="F33" s="1749"/>
      <c r="G33" s="1749"/>
      <c r="H33" s="1749"/>
      <c r="I33" s="1749"/>
      <c r="J33" s="510">
        <v>316477617926</v>
      </c>
    </row>
    <row r="34" spans="1:10" s="1731" customFormat="1" ht="19.149999999999999" customHeight="1" x14ac:dyDescent="0.2">
      <c r="A34" s="1724"/>
      <c r="B34" s="3725"/>
      <c r="C34" s="1762" t="s">
        <v>642</v>
      </c>
      <c r="D34" s="1213" t="s">
        <v>631</v>
      </c>
      <c r="E34" s="1759">
        <f t="shared" si="0"/>
        <v>102116215853</v>
      </c>
      <c r="F34" s="1749"/>
      <c r="G34" s="1749"/>
      <c r="H34" s="1749"/>
      <c r="I34" s="1749"/>
      <c r="J34" s="510">
        <v>102116215853</v>
      </c>
    </row>
    <row r="35" spans="1:10" s="1731" customFormat="1" ht="19.149999999999999" customHeight="1" x14ac:dyDescent="0.2">
      <c r="A35" s="1724"/>
      <c r="B35" s="3725"/>
      <c r="C35" s="1762" t="s">
        <v>623</v>
      </c>
      <c r="D35" s="1200" t="s">
        <v>599</v>
      </c>
      <c r="E35" s="1759">
        <f t="shared" si="0"/>
        <v>11046943360</v>
      </c>
      <c r="F35" s="1749"/>
      <c r="G35" s="1749"/>
      <c r="H35" s="1749"/>
      <c r="I35" s="1749"/>
      <c r="J35" s="510">
        <v>11046943360</v>
      </c>
    </row>
    <row r="36" spans="1:10" s="1731" customFormat="1" ht="19.149999999999999" customHeight="1" x14ac:dyDescent="0.2">
      <c r="A36" s="1724"/>
      <c r="B36" s="3725"/>
      <c r="C36" s="1762" t="s">
        <v>643</v>
      </c>
      <c r="D36" s="1200" t="s">
        <v>632</v>
      </c>
      <c r="E36" s="1759">
        <f t="shared" si="0"/>
        <v>269002077342</v>
      </c>
      <c r="F36" s="1749"/>
      <c r="G36" s="1749"/>
      <c r="H36" s="1749"/>
      <c r="I36" s="1749"/>
      <c r="J36" s="510">
        <v>269002077342</v>
      </c>
    </row>
    <row r="37" spans="1:10" s="1731" customFormat="1" ht="19.149999999999999" customHeight="1" x14ac:dyDescent="0.2">
      <c r="A37" s="1724"/>
      <c r="B37" s="3725"/>
      <c r="C37" s="1762" t="s">
        <v>624</v>
      </c>
      <c r="D37" s="1213" t="s">
        <v>600</v>
      </c>
      <c r="E37" s="1759">
        <f t="shared" si="0"/>
        <v>132790583013</v>
      </c>
      <c r="F37" s="1749"/>
      <c r="G37" s="1749"/>
      <c r="H37" s="1749"/>
      <c r="I37" s="1749"/>
      <c r="J37" s="510">
        <v>132790583013</v>
      </c>
    </row>
    <row r="38" spans="1:10" s="1731" customFormat="1" ht="19.149999999999999" customHeight="1" x14ac:dyDescent="0.2">
      <c r="A38" s="1724"/>
      <c r="B38" s="3725"/>
      <c r="C38" s="1762" t="s">
        <v>625</v>
      </c>
      <c r="D38" s="1200" t="s">
        <v>601</v>
      </c>
      <c r="E38" s="1759">
        <f t="shared" si="0"/>
        <v>91192569673</v>
      </c>
      <c r="F38" s="1749"/>
      <c r="G38" s="1749"/>
      <c r="H38" s="1749"/>
      <c r="I38" s="1749"/>
      <c r="J38" s="510">
        <v>91192569673</v>
      </c>
    </row>
    <row r="39" spans="1:10" s="1731" customFormat="1" ht="19.149999999999999" customHeight="1" x14ac:dyDescent="0.2">
      <c r="A39" s="1724"/>
      <c r="B39" s="3725"/>
      <c r="C39" s="1762" t="s">
        <v>626</v>
      </c>
      <c r="D39" s="1200" t="s">
        <v>602</v>
      </c>
      <c r="E39" s="1759">
        <f t="shared" si="0"/>
        <v>12058172875</v>
      </c>
      <c r="F39" s="1749"/>
      <c r="G39" s="1749"/>
      <c r="H39" s="1749"/>
      <c r="I39" s="1749"/>
      <c r="J39" s="510">
        <v>12058172875</v>
      </c>
    </row>
    <row r="40" spans="1:10" s="1731" customFormat="1" ht="19.149999999999999" customHeight="1" x14ac:dyDescent="0.2">
      <c r="A40" s="1724"/>
      <c r="B40" s="3725"/>
      <c r="C40" s="1762" t="s">
        <v>627</v>
      </c>
      <c r="D40" s="1200" t="s">
        <v>603</v>
      </c>
      <c r="E40" s="1759">
        <f t="shared" si="0"/>
        <v>63608995050</v>
      </c>
      <c r="F40" s="1749"/>
      <c r="G40" s="1749"/>
      <c r="H40" s="1749"/>
      <c r="I40" s="1749"/>
      <c r="J40" s="510">
        <v>63608995050</v>
      </c>
    </row>
    <row r="41" spans="1:10" s="1731" customFormat="1" ht="19.149999999999999" customHeight="1" x14ac:dyDescent="0.2">
      <c r="A41" s="1724"/>
      <c r="B41" s="3725"/>
      <c r="C41" s="1762" t="s">
        <v>629</v>
      </c>
      <c r="D41" s="1200" t="s">
        <v>605</v>
      </c>
      <c r="E41" s="1759">
        <f t="shared" si="0"/>
        <v>3971044096</v>
      </c>
      <c r="F41" s="1749"/>
      <c r="G41" s="1749"/>
      <c r="H41" s="1749"/>
      <c r="I41" s="1749"/>
      <c r="J41" s="240">
        <v>3971044096</v>
      </c>
    </row>
    <row r="42" spans="1:10" s="1731" customFormat="1" ht="19.149999999999999" customHeight="1" x14ac:dyDescent="0.2">
      <c r="A42" s="1724"/>
      <c r="B42" s="3725"/>
      <c r="C42" s="1762" t="s">
        <v>677</v>
      </c>
      <c r="D42" s="1208" t="s">
        <v>676</v>
      </c>
      <c r="E42" s="1759">
        <f t="shared" si="0"/>
        <v>51801985159</v>
      </c>
      <c r="F42" s="1749"/>
      <c r="G42" s="1749"/>
      <c r="H42" s="1749"/>
      <c r="I42" s="1749"/>
      <c r="J42" s="240">
        <v>51801985159</v>
      </c>
    </row>
    <row r="43" spans="1:10" s="1731" customFormat="1" ht="36" customHeight="1" x14ac:dyDescent="0.2">
      <c r="A43" s="1724"/>
      <c r="B43" s="3725"/>
      <c r="C43" s="272" t="s">
        <v>540</v>
      </c>
      <c r="D43" s="1353" t="s">
        <v>541</v>
      </c>
      <c r="E43" s="1759">
        <f t="shared" si="0"/>
        <v>143446891867</v>
      </c>
      <c r="F43" s="1749"/>
      <c r="G43" s="1749"/>
      <c r="H43" s="1749"/>
      <c r="I43" s="1749"/>
      <c r="J43" s="1780">
        <v>143446891867</v>
      </c>
    </row>
    <row r="44" spans="1:10" s="1731" customFormat="1" ht="19.149999999999999" customHeight="1" x14ac:dyDescent="0.2">
      <c r="A44" s="1724"/>
      <c r="B44" s="3725"/>
      <c r="C44" s="1788" t="s">
        <v>1089</v>
      </c>
      <c r="D44" s="1210" t="s">
        <v>1090</v>
      </c>
      <c r="E44" s="1759">
        <f t="shared" si="0"/>
        <v>19120836113</v>
      </c>
      <c r="F44" s="1749"/>
      <c r="G44" s="1749"/>
      <c r="H44" s="1749"/>
      <c r="I44" s="1749"/>
      <c r="J44" s="1780">
        <v>19120836113</v>
      </c>
    </row>
    <row r="45" spans="1:10" s="1731" customFormat="1" ht="19.149999999999999" customHeight="1" x14ac:dyDescent="0.2">
      <c r="A45" s="1724"/>
      <c r="B45" s="3725"/>
      <c r="C45" s="1787" t="s">
        <v>1080</v>
      </c>
      <c r="D45" s="1209" t="s">
        <v>1081</v>
      </c>
      <c r="E45" s="1759">
        <f t="shared" si="0"/>
        <v>2721086329</v>
      </c>
      <c r="F45" s="1749"/>
      <c r="G45" s="1749"/>
      <c r="H45" s="1749"/>
      <c r="I45" s="1749"/>
      <c r="J45" s="1780">
        <v>2721086329</v>
      </c>
    </row>
    <row r="46" spans="1:10" s="1731" customFormat="1" ht="19.149999999999999" customHeight="1" x14ac:dyDescent="0.2">
      <c r="A46" s="1724"/>
      <c r="B46" s="3725"/>
      <c r="C46" s="1788" t="s">
        <v>1083</v>
      </c>
      <c r="D46" s="1210" t="s">
        <v>1082</v>
      </c>
      <c r="E46" s="1759">
        <f t="shared" si="0"/>
        <v>173393830971</v>
      </c>
      <c r="F46" s="1749"/>
      <c r="G46" s="1749"/>
      <c r="H46" s="1749"/>
      <c r="I46" s="1749"/>
      <c r="J46" s="1780">
        <v>173393830971</v>
      </c>
    </row>
    <row r="47" spans="1:10" s="1731" customFormat="1" ht="19.149999999999999" customHeight="1" x14ac:dyDescent="0.2">
      <c r="A47" s="1724"/>
      <c r="B47" s="3725"/>
      <c r="C47" s="1787" t="s">
        <v>1078</v>
      </c>
      <c r="D47" s="1210" t="s">
        <v>1077</v>
      </c>
      <c r="E47" s="1759">
        <f t="shared" si="0"/>
        <v>28978669768</v>
      </c>
      <c r="F47" s="1749"/>
      <c r="G47" s="1749"/>
      <c r="H47" s="1749"/>
      <c r="I47" s="1749"/>
      <c r="J47" s="1780">
        <v>28978669768</v>
      </c>
    </row>
    <row r="48" spans="1:10" s="1731" customFormat="1" ht="19.149999999999999" customHeight="1" x14ac:dyDescent="0.2">
      <c r="A48" s="1724"/>
      <c r="B48" s="3725"/>
      <c r="C48" s="1692" t="s">
        <v>1330</v>
      </c>
      <c r="D48" s="1705" t="s">
        <v>1329</v>
      </c>
      <c r="E48" s="1759">
        <f t="shared" si="0"/>
        <v>658896863513</v>
      </c>
      <c r="F48" s="1749"/>
      <c r="G48" s="1749"/>
      <c r="H48" s="1749"/>
      <c r="I48" s="1749"/>
      <c r="J48" s="1780">
        <v>658896863513</v>
      </c>
    </row>
    <row r="49" spans="1:10" s="1731" customFormat="1" ht="19.149999999999999" customHeight="1" x14ac:dyDescent="0.2">
      <c r="A49" s="1724"/>
      <c r="B49" s="3725"/>
      <c r="C49" s="1791" t="s">
        <v>1402</v>
      </c>
      <c r="D49" s="1200" t="s">
        <v>1403</v>
      </c>
      <c r="E49" s="1759">
        <f t="shared" si="0"/>
        <v>857350000</v>
      </c>
      <c r="F49" s="1749"/>
      <c r="G49" s="1749"/>
      <c r="H49" s="1749"/>
      <c r="I49" s="1749"/>
      <c r="J49" s="1780">
        <v>857350000</v>
      </c>
    </row>
    <row r="50" spans="1:10" s="1731" customFormat="1" ht="19.149999999999999" customHeight="1" x14ac:dyDescent="0.4">
      <c r="A50" s="1724"/>
      <c r="B50" s="3725"/>
      <c r="C50" s="1795" t="s">
        <v>2143</v>
      </c>
      <c r="D50" s="1796" t="s">
        <v>2142</v>
      </c>
      <c r="E50" s="1759">
        <f t="shared" si="0"/>
        <v>69333000000</v>
      </c>
      <c r="F50" s="1749"/>
      <c r="G50" s="1749"/>
      <c r="H50" s="1749"/>
      <c r="I50" s="1749"/>
      <c r="J50" s="1780">
        <v>69333000000</v>
      </c>
    </row>
    <row r="51" spans="1:10" s="1731" customFormat="1" ht="19.149999999999999" customHeight="1" x14ac:dyDescent="0.2">
      <c r="A51" s="1724"/>
      <c r="B51" s="3725"/>
      <c r="C51" s="1797" t="s">
        <v>292</v>
      </c>
      <c r="D51" s="1798" t="s">
        <v>1079</v>
      </c>
      <c r="E51" s="1759">
        <f t="shared" si="0"/>
        <v>40790873099</v>
      </c>
      <c r="F51" s="1749"/>
      <c r="G51" s="1749"/>
      <c r="H51" s="1749"/>
      <c r="I51" s="1749"/>
      <c r="J51" s="1780">
        <v>40790873099</v>
      </c>
    </row>
    <row r="52" spans="1:10" s="1731" customFormat="1" ht="19.149999999999999" customHeight="1" x14ac:dyDescent="0.4">
      <c r="A52" s="1724"/>
      <c r="B52" s="3725"/>
      <c r="C52" s="1800" t="s">
        <v>2049</v>
      </c>
      <c r="D52" s="1801" t="s">
        <v>2025</v>
      </c>
      <c r="E52" s="1759">
        <f t="shared" si="0"/>
        <v>385018931985</v>
      </c>
      <c r="F52" s="1749"/>
      <c r="G52" s="1749"/>
      <c r="H52" s="1749"/>
      <c r="I52" s="1749"/>
      <c r="J52" s="1780">
        <v>385018931985</v>
      </c>
    </row>
    <row r="53" spans="1:10" s="1731" customFormat="1" ht="19.149999999999999" customHeight="1" x14ac:dyDescent="0.4">
      <c r="A53" s="1724"/>
      <c r="B53" s="3725"/>
      <c r="C53" s="1800" t="s">
        <v>2057</v>
      </c>
      <c r="D53" s="1801" t="s">
        <v>2034</v>
      </c>
      <c r="E53" s="1759">
        <f t="shared" si="0"/>
        <v>156777850617</v>
      </c>
      <c r="F53" s="1749"/>
      <c r="G53" s="1749"/>
      <c r="H53" s="1749"/>
      <c r="I53" s="1749"/>
      <c r="J53" s="1780">
        <v>156777850617</v>
      </c>
    </row>
    <row r="54" spans="1:10" s="1731" customFormat="1" ht="19.149999999999999" customHeight="1" x14ac:dyDescent="0.4">
      <c r="A54" s="1724"/>
      <c r="B54" s="3725"/>
      <c r="C54" s="1800" t="s">
        <v>2056</v>
      </c>
      <c r="D54" s="1801" t="s">
        <v>2197</v>
      </c>
      <c r="E54" s="1759">
        <f t="shared" si="0"/>
        <v>439873994462</v>
      </c>
      <c r="F54" s="1749"/>
      <c r="G54" s="1749"/>
      <c r="H54" s="1749"/>
      <c r="I54" s="1749"/>
      <c r="J54" s="1780">
        <v>439873994462</v>
      </c>
    </row>
    <row r="55" spans="1:10" s="1731" customFormat="1" ht="19.149999999999999" customHeight="1" x14ac:dyDescent="0.4">
      <c r="A55" s="1724"/>
      <c r="B55" s="3725"/>
      <c r="C55" s="1800" t="s">
        <v>2062</v>
      </c>
      <c r="D55" s="1801" t="s">
        <v>2144</v>
      </c>
      <c r="E55" s="1759">
        <f t="shared" si="0"/>
        <v>95372406184</v>
      </c>
      <c r="F55" s="1749"/>
      <c r="G55" s="1749"/>
      <c r="H55" s="1749"/>
      <c r="I55" s="1749"/>
      <c r="J55" s="1780">
        <v>95372406184</v>
      </c>
    </row>
    <row r="56" spans="1:10" s="1731" customFormat="1" ht="19.149999999999999" customHeight="1" x14ac:dyDescent="0.2">
      <c r="A56" s="1724"/>
      <c r="B56" s="3726"/>
      <c r="C56" s="3712" t="s">
        <v>94</v>
      </c>
      <c r="D56" s="3713"/>
      <c r="E56" s="1753">
        <f>SUM(E12:E55)</f>
        <v>14242288278040</v>
      </c>
      <c r="F56" s="1753">
        <f>SUM(F12:F55)</f>
        <v>27083637948</v>
      </c>
      <c r="G56" s="1753">
        <f t="shared" ref="G56:H56" si="1">SUM(G12:G55)+1000000</f>
        <v>1000000</v>
      </c>
      <c r="H56" s="1753">
        <f t="shared" si="1"/>
        <v>1000000</v>
      </c>
      <c r="I56" s="1753">
        <f>SUM(I12:I55)</f>
        <v>19097000000</v>
      </c>
      <c r="J56" s="1753">
        <f>SUM(J12:J55)</f>
        <v>14288468915988</v>
      </c>
    </row>
    <row r="57" spans="1:10" s="1731" customFormat="1" ht="19.149999999999999" customHeight="1" x14ac:dyDescent="0.2">
      <c r="A57" s="3714" t="s">
        <v>2271</v>
      </c>
      <c r="B57" s="3714"/>
      <c r="C57" s="3714"/>
      <c r="D57" s="3714"/>
      <c r="E57" s="3714"/>
      <c r="F57" s="3714"/>
      <c r="G57" s="3714"/>
      <c r="H57" s="3714"/>
      <c r="I57" s="3714"/>
      <c r="J57" s="3714"/>
    </row>
    <row r="58" spans="1:10" s="1731" customFormat="1" ht="27" customHeight="1" x14ac:dyDescent="0.2">
      <c r="A58" s="3300" t="s">
        <v>295</v>
      </c>
      <c r="B58" s="3300"/>
      <c r="C58" s="3300"/>
      <c r="D58" s="3300"/>
      <c r="E58" s="3300"/>
      <c r="F58" s="3300"/>
      <c r="G58" s="3300"/>
      <c r="H58" s="3300"/>
      <c r="I58" s="3300"/>
      <c r="J58" s="3300"/>
    </row>
    <row r="59" spans="1:10" s="1731" customFormat="1" ht="27" customHeight="1" x14ac:dyDescent="0.2">
      <c r="A59" s="3300" t="s">
        <v>45</v>
      </c>
      <c r="B59" s="3300"/>
      <c r="C59" s="3300"/>
      <c r="D59" s="3300"/>
      <c r="E59" s="3300"/>
      <c r="F59" s="3300"/>
      <c r="G59" s="3300"/>
      <c r="H59" s="3300"/>
      <c r="I59" s="3300"/>
      <c r="J59" s="3300"/>
    </row>
    <row r="60" spans="1:10" s="1731" customFormat="1" ht="27" customHeight="1" x14ac:dyDescent="0.2">
      <c r="A60" s="3300" t="s">
        <v>46</v>
      </c>
      <c r="B60" s="3300"/>
      <c r="C60" s="3300"/>
      <c r="D60" s="3300"/>
      <c r="E60" s="3300"/>
      <c r="F60" s="3300"/>
      <c r="G60" s="3300"/>
      <c r="H60" s="3300"/>
      <c r="I60" s="3300"/>
      <c r="J60" s="3300"/>
    </row>
    <row r="61" spans="1:10" s="1731" customFormat="1" ht="27" customHeight="1" x14ac:dyDescent="0.2">
      <c r="A61" s="3721" t="s">
        <v>1992</v>
      </c>
      <c r="B61" s="3721"/>
      <c r="C61" s="3721"/>
      <c r="D61" s="3721"/>
      <c r="E61" s="3721"/>
      <c r="F61" s="3721"/>
      <c r="G61" s="3721"/>
      <c r="H61" s="3721"/>
      <c r="I61" s="3721"/>
      <c r="J61" s="3721"/>
    </row>
    <row r="62" spans="1:10" s="1731" customFormat="1" ht="19.149999999999999" customHeight="1" x14ac:dyDescent="0.2">
      <c r="A62" s="1720"/>
      <c r="B62" s="1720"/>
      <c r="C62" s="1720"/>
      <c r="D62" s="1720"/>
      <c r="E62" s="2359"/>
      <c r="F62" s="2359"/>
      <c r="G62" s="2359"/>
      <c r="H62" s="2359"/>
      <c r="I62" s="2359"/>
      <c r="J62" s="2359"/>
    </row>
    <row r="63" spans="1:10" s="1731" customFormat="1" ht="19.149999999999999" customHeight="1" x14ac:dyDescent="0.35">
      <c r="A63" s="1724"/>
      <c r="B63" s="3715" t="s">
        <v>1335</v>
      </c>
      <c r="C63" s="3715"/>
      <c r="D63" s="3715"/>
      <c r="E63" s="3715"/>
      <c r="F63" s="3715"/>
      <c r="G63" s="3715"/>
      <c r="H63" s="3715"/>
      <c r="I63" s="3718" t="s">
        <v>194</v>
      </c>
      <c r="J63" s="3718"/>
    </row>
    <row r="64" spans="1:10" s="1731" customFormat="1" ht="19.149999999999999" customHeight="1" x14ac:dyDescent="0.2">
      <c r="A64" s="1724"/>
      <c r="B64" s="3745" t="s">
        <v>419</v>
      </c>
      <c r="C64" s="3742" t="s">
        <v>196</v>
      </c>
      <c r="D64" s="3733" t="s">
        <v>197</v>
      </c>
      <c r="E64" s="3752" t="s">
        <v>381</v>
      </c>
      <c r="F64" s="3753"/>
      <c r="G64" s="3753"/>
      <c r="H64" s="3753"/>
      <c r="I64" s="3753"/>
      <c r="J64" s="3748" t="s">
        <v>27</v>
      </c>
    </row>
    <row r="65" spans="1:10" s="1731" customFormat="1" ht="28.9" customHeight="1" x14ac:dyDescent="0.2">
      <c r="A65" s="1724"/>
      <c r="B65" s="3745"/>
      <c r="C65" s="3742"/>
      <c r="D65" s="3733"/>
      <c r="E65" s="2361" t="s">
        <v>1280</v>
      </c>
      <c r="F65" s="1758" t="s">
        <v>1281</v>
      </c>
      <c r="G65" s="1758"/>
      <c r="H65" s="1758" t="s">
        <v>1282</v>
      </c>
      <c r="I65" s="1758" t="s">
        <v>1283</v>
      </c>
      <c r="J65" s="3749"/>
    </row>
    <row r="66" spans="1:10" s="1731" customFormat="1" ht="86.45" customHeight="1" x14ac:dyDescent="0.2">
      <c r="A66" s="1724"/>
      <c r="B66" s="3745"/>
      <c r="C66" s="3750"/>
      <c r="D66" s="3751"/>
      <c r="E66" s="1756" t="s">
        <v>1284</v>
      </c>
      <c r="F66" s="1757" t="s">
        <v>1285</v>
      </c>
      <c r="G66" s="1758" t="s">
        <v>382</v>
      </c>
      <c r="H66" s="1757" t="s">
        <v>1286</v>
      </c>
      <c r="I66" s="1757" t="s">
        <v>1287</v>
      </c>
      <c r="J66" s="3749"/>
    </row>
    <row r="67" spans="1:10" s="1731" customFormat="1" ht="37.9" customHeight="1" x14ac:dyDescent="0.2">
      <c r="A67" s="1724"/>
      <c r="B67" s="2356"/>
      <c r="C67" s="3710" t="s">
        <v>181</v>
      </c>
      <c r="D67" s="3710"/>
      <c r="E67" s="1733">
        <f>E56</f>
        <v>14242288278040</v>
      </c>
      <c r="F67" s="1733">
        <f t="shared" ref="F67:J67" si="2">F56</f>
        <v>27083637948</v>
      </c>
      <c r="G67" s="1733">
        <f t="shared" si="2"/>
        <v>1000000</v>
      </c>
      <c r="H67" s="1733">
        <f t="shared" si="2"/>
        <v>1000000</v>
      </c>
      <c r="I67" s="1733">
        <f t="shared" si="2"/>
        <v>19097000000</v>
      </c>
      <c r="J67" s="1733">
        <f t="shared" si="2"/>
        <v>14288468915988</v>
      </c>
    </row>
    <row r="68" spans="1:10" s="1731" customFormat="1" ht="24.6" customHeight="1" x14ac:dyDescent="0.4">
      <c r="A68" s="1724"/>
      <c r="B68" s="2356"/>
      <c r="C68" s="1802" t="s">
        <v>2067</v>
      </c>
      <c r="D68" s="1803" t="s">
        <v>2045</v>
      </c>
      <c r="E68" s="1733">
        <f t="shared" ref="E68:E86" si="3">J68-I68-H68-F68</f>
        <v>138865375683</v>
      </c>
      <c r="F68" s="1733"/>
      <c r="G68" s="1734"/>
      <c r="H68" s="1733"/>
      <c r="I68" s="1733"/>
      <c r="J68" s="1780">
        <v>138865375683</v>
      </c>
    </row>
    <row r="69" spans="1:10" s="1731" customFormat="1" ht="24.6" customHeight="1" x14ac:dyDescent="0.4">
      <c r="A69" s="1724"/>
      <c r="B69" s="2356"/>
      <c r="C69" s="1800" t="s">
        <v>2053</v>
      </c>
      <c r="D69" s="1796" t="s">
        <v>2031</v>
      </c>
      <c r="E69" s="1733">
        <f t="shared" si="3"/>
        <v>162013135308</v>
      </c>
      <c r="F69" s="1733"/>
      <c r="G69" s="1734"/>
      <c r="H69" s="1733"/>
      <c r="I69" s="1733"/>
      <c r="J69" s="1780">
        <v>162013135308</v>
      </c>
    </row>
    <row r="70" spans="1:10" s="1731" customFormat="1" ht="24.6" customHeight="1" x14ac:dyDescent="0.4">
      <c r="A70" s="1724"/>
      <c r="B70" s="2356"/>
      <c r="C70" s="1800" t="s">
        <v>2058</v>
      </c>
      <c r="D70" s="1796" t="s">
        <v>2035</v>
      </c>
      <c r="E70" s="1733">
        <f t="shared" si="3"/>
        <v>109301215811</v>
      </c>
      <c r="F70" s="1733"/>
      <c r="G70" s="1734"/>
      <c r="H70" s="1733"/>
      <c r="I70" s="1733">
        <v>5115238814</v>
      </c>
      <c r="J70" s="1780">
        <v>114416454625</v>
      </c>
    </row>
    <row r="71" spans="1:10" s="1731" customFormat="1" ht="24.6" customHeight="1" x14ac:dyDescent="0.4">
      <c r="A71" s="1724"/>
      <c r="B71" s="2356"/>
      <c r="C71" s="1762" t="s">
        <v>2051</v>
      </c>
      <c r="D71" s="2362" t="s">
        <v>2029</v>
      </c>
      <c r="E71" s="1733">
        <f t="shared" si="3"/>
        <v>89281022069</v>
      </c>
      <c r="F71" s="1733"/>
      <c r="G71" s="1734"/>
      <c r="H71" s="1733"/>
      <c r="I71" s="1733"/>
      <c r="J71" s="1780">
        <v>89281022069</v>
      </c>
    </row>
    <row r="72" spans="1:10" s="1731" customFormat="1" ht="24.6" customHeight="1" x14ac:dyDescent="0.4">
      <c r="A72" s="1724"/>
      <c r="B72" s="2356"/>
      <c r="C72" s="1800" t="s">
        <v>2050</v>
      </c>
      <c r="D72" s="1796" t="s">
        <v>2028</v>
      </c>
      <c r="E72" s="1733">
        <f t="shared" si="3"/>
        <v>249452963216</v>
      </c>
      <c r="F72" s="1733"/>
      <c r="G72" s="1734"/>
      <c r="H72" s="1733"/>
      <c r="I72" s="1733">
        <v>1759942311</v>
      </c>
      <c r="J72" s="1780">
        <v>251212905527</v>
      </c>
    </row>
    <row r="73" spans="1:10" s="1731" customFormat="1" ht="24.6" customHeight="1" x14ac:dyDescent="0.4">
      <c r="A73" s="1724"/>
      <c r="B73" s="2356"/>
      <c r="C73" s="1806" t="s">
        <v>2071</v>
      </c>
      <c r="D73" s="2011" t="s">
        <v>2048</v>
      </c>
      <c r="E73" s="1733">
        <f t="shared" si="3"/>
        <v>19435166668</v>
      </c>
      <c r="F73" s="1733"/>
      <c r="G73" s="1734"/>
      <c r="H73" s="1733"/>
      <c r="I73" s="1733"/>
      <c r="J73" s="1780">
        <v>19435166668</v>
      </c>
    </row>
    <row r="74" spans="1:10" s="1731" customFormat="1" ht="24.6" customHeight="1" x14ac:dyDescent="0.4">
      <c r="A74" s="1724"/>
      <c r="B74" s="2356"/>
      <c r="C74" s="1762" t="s">
        <v>2055</v>
      </c>
      <c r="D74" s="2362" t="s">
        <v>2033</v>
      </c>
      <c r="E74" s="1733">
        <f t="shared" si="3"/>
        <v>59179240787</v>
      </c>
      <c r="F74" s="1733"/>
      <c r="G74" s="1734"/>
      <c r="H74" s="1733"/>
      <c r="I74" s="1733"/>
      <c r="J74" s="1780">
        <v>59179240787</v>
      </c>
    </row>
    <row r="75" spans="1:10" s="1731" customFormat="1" ht="24.6" customHeight="1" x14ac:dyDescent="0.4">
      <c r="A75" s="1724"/>
      <c r="B75" s="2356"/>
      <c r="C75" s="1800" t="s">
        <v>2061</v>
      </c>
      <c r="D75" s="1796" t="s">
        <v>2038</v>
      </c>
      <c r="E75" s="1733">
        <f t="shared" si="3"/>
        <v>69777649622</v>
      </c>
      <c r="F75" s="1733"/>
      <c r="G75" s="1734"/>
      <c r="H75" s="1733"/>
      <c r="I75" s="1733">
        <v>4406651693</v>
      </c>
      <c r="J75" s="1780">
        <v>74184301315</v>
      </c>
    </row>
    <row r="76" spans="1:10" s="1731" customFormat="1" ht="24.6" customHeight="1" x14ac:dyDescent="0.4">
      <c r="A76" s="1724"/>
      <c r="B76" s="2356"/>
      <c r="C76" s="1800" t="s">
        <v>2052</v>
      </c>
      <c r="D76" s="1796" t="s">
        <v>2030</v>
      </c>
      <c r="E76" s="1733">
        <f t="shared" si="3"/>
        <v>95821237066</v>
      </c>
      <c r="F76" s="1733">
        <v>5499648000</v>
      </c>
      <c r="G76" s="1734"/>
      <c r="H76" s="1733"/>
      <c r="I76" s="1733">
        <v>3350453627</v>
      </c>
      <c r="J76" s="1780">
        <v>104671338693</v>
      </c>
    </row>
    <row r="77" spans="1:10" s="1731" customFormat="1" ht="24.6" customHeight="1" x14ac:dyDescent="0.4">
      <c r="A77" s="1724"/>
      <c r="B77" s="2356"/>
      <c r="C77" s="1762" t="s">
        <v>2054</v>
      </c>
      <c r="D77" s="2362" t="s">
        <v>2032</v>
      </c>
      <c r="E77" s="1733">
        <f t="shared" si="3"/>
        <v>2963722192</v>
      </c>
      <c r="F77" s="1733"/>
      <c r="G77" s="1734"/>
      <c r="H77" s="1733"/>
      <c r="I77" s="1733">
        <v>1569440595</v>
      </c>
      <c r="J77" s="1780">
        <v>4533162787</v>
      </c>
    </row>
    <row r="78" spans="1:10" s="1731" customFormat="1" ht="27" customHeight="1" x14ac:dyDescent="0.4">
      <c r="A78" s="1724"/>
      <c r="B78" s="2356"/>
      <c r="C78" s="1762" t="s">
        <v>2065</v>
      </c>
      <c r="D78" s="2362" t="s">
        <v>2043</v>
      </c>
      <c r="E78" s="1733">
        <f t="shared" si="3"/>
        <v>49203302935</v>
      </c>
      <c r="F78" s="1733"/>
      <c r="G78" s="1734"/>
      <c r="H78" s="1733"/>
      <c r="I78" s="1733"/>
      <c r="J78" s="1780">
        <v>49203302935</v>
      </c>
    </row>
    <row r="79" spans="1:10" s="1731" customFormat="1" ht="27" customHeight="1" x14ac:dyDescent="0.4">
      <c r="A79" s="1724"/>
      <c r="B79" s="2356"/>
      <c r="C79" s="1800" t="s">
        <v>2060</v>
      </c>
      <c r="D79" s="1796" t="s">
        <v>2037</v>
      </c>
      <c r="E79" s="1733">
        <f t="shared" si="3"/>
        <v>273030597751</v>
      </c>
      <c r="F79" s="1733"/>
      <c r="G79" s="1734"/>
      <c r="H79" s="1733"/>
      <c r="I79" s="1733"/>
      <c r="J79" s="1780">
        <v>273030597751</v>
      </c>
    </row>
    <row r="80" spans="1:10" s="1731" customFormat="1" ht="27" customHeight="1" x14ac:dyDescent="0.4">
      <c r="A80" s="1724"/>
      <c r="B80" s="2356"/>
      <c r="C80" s="1800" t="s">
        <v>2064</v>
      </c>
      <c r="D80" s="1796" t="s">
        <v>2042</v>
      </c>
      <c r="E80" s="1733">
        <f t="shared" si="3"/>
        <v>2348155774</v>
      </c>
      <c r="F80" s="1733"/>
      <c r="G80" s="1734"/>
      <c r="H80" s="1733"/>
      <c r="I80" s="1733"/>
      <c r="J80" s="1780">
        <v>2348155774</v>
      </c>
    </row>
    <row r="81" spans="1:10" s="1731" customFormat="1" ht="27" customHeight="1" x14ac:dyDescent="0.4">
      <c r="A81" s="1724"/>
      <c r="B81" s="2356"/>
      <c r="C81" s="1810" t="s">
        <v>2063</v>
      </c>
      <c r="D81" s="2362" t="s">
        <v>2039</v>
      </c>
      <c r="E81" s="1733">
        <f t="shared" si="3"/>
        <v>16100906742</v>
      </c>
      <c r="F81" s="1733"/>
      <c r="G81" s="1734"/>
      <c r="H81" s="1733"/>
      <c r="I81" s="1733"/>
      <c r="J81" s="1780">
        <v>16100906742</v>
      </c>
    </row>
    <row r="82" spans="1:10" s="1731" customFormat="1" ht="27" customHeight="1" x14ac:dyDescent="0.4">
      <c r="A82" s="1724"/>
      <c r="B82" s="2356"/>
      <c r="C82" s="1795" t="s">
        <v>2041</v>
      </c>
      <c r="D82" s="1796" t="s">
        <v>2040</v>
      </c>
      <c r="E82" s="1733">
        <f t="shared" si="3"/>
        <v>1129994964064</v>
      </c>
      <c r="F82" s="1733"/>
      <c r="G82" s="1734"/>
      <c r="H82" s="1733"/>
      <c r="I82" s="1733"/>
      <c r="J82" s="1780">
        <v>1129994964064</v>
      </c>
    </row>
    <row r="83" spans="1:10" s="1731" customFormat="1" ht="27" customHeight="1" x14ac:dyDescent="0.2">
      <c r="A83" s="1724"/>
      <c r="B83" s="2356"/>
      <c r="C83" s="1530" t="s">
        <v>2066</v>
      </c>
      <c r="D83" s="2363" t="s">
        <v>2044</v>
      </c>
      <c r="E83" s="1733">
        <f t="shared" si="3"/>
        <v>17085281265</v>
      </c>
      <c r="F83" s="1733"/>
      <c r="G83" s="1734"/>
      <c r="H83" s="1733"/>
      <c r="I83" s="1733"/>
      <c r="J83" s="1780">
        <v>17085281265</v>
      </c>
    </row>
    <row r="84" spans="1:10" s="1731" customFormat="1" ht="27" customHeight="1" x14ac:dyDescent="0.4">
      <c r="A84" s="1724"/>
      <c r="B84" s="2356"/>
      <c r="C84" s="1802" t="s">
        <v>2153</v>
      </c>
      <c r="D84" s="1803" t="s">
        <v>2036</v>
      </c>
      <c r="E84" s="1733">
        <f t="shared" si="3"/>
        <v>226604202505</v>
      </c>
      <c r="F84" s="1733">
        <v>48989496913</v>
      </c>
      <c r="G84" s="1734"/>
      <c r="H84" s="1733"/>
      <c r="I84" s="1733"/>
      <c r="J84" s="1780">
        <v>275593699418</v>
      </c>
    </row>
    <row r="85" spans="1:10" s="1731" customFormat="1" ht="27" customHeight="1" x14ac:dyDescent="0.4">
      <c r="A85" s="1724"/>
      <c r="B85" s="2356"/>
      <c r="C85" s="1812" t="s">
        <v>2069</v>
      </c>
      <c r="D85" s="2011" t="s">
        <v>2047</v>
      </c>
      <c r="E85" s="1733">
        <f t="shared" si="3"/>
        <v>112260500</v>
      </c>
      <c r="F85" s="1733"/>
      <c r="G85" s="1734"/>
      <c r="H85" s="1733"/>
      <c r="I85" s="1733"/>
      <c r="J85" s="1780">
        <v>112260500</v>
      </c>
    </row>
    <row r="86" spans="1:10" s="1731" customFormat="1" ht="27" customHeight="1" x14ac:dyDescent="0.4">
      <c r="A86" s="1724"/>
      <c r="B86" s="2356"/>
      <c r="C86" s="1810" t="s">
        <v>2068</v>
      </c>
      <c r="D86" s="2362" t="s">
        <v>2070</v>
      </c>
      <c r="E86" s="1733">
        <f t="shared" si="3"/>
        <v>18548633126</v>
      </c>
      <c r="F86" s="1733"/>
      <c r="G86" s="1734"/>
      <c r="H86" s="1733"/>
      <c r="I86" s="1733">
        <v>2307447064</v>
      </c>
      <c r="J86" s="1780">
        <v>20856080190</v>
      </c>
    </row>
    <row r="87" spans="1:10" s="1731" customFormat="1" ht="19.149999999999999" customHeight="1" x14ac:dyDescent="0.2">
      <c r="A87" s="1724"/>
      <c r="B87" s="3723" t="s">
        <v>1337</v>
      </c>
      <c r="C87" s="3723"/>
      <c r="D87" s="3723"/>
      <c r="E87" s="1759">
        <f>SUM(E67:E86)</f>
        <v>16971407311124</v>
      </c>
      <c r="F87" s="1759">
        <f t="shared" ref="F87:J87" si="4">SUM(F67:F86)</f>
        <v>81572782861</v>
      </c>
      <c r="G87" s="1759">
        <f t="shared" si="4"/>
        <v>1000000</v>
      </c>
      <c r="H87" s="1759">
        <f t="shared" si="4"/>
        <v>1000000</v>
      </c>
      <c r="I87" s="1759">
        <f t="shared" si="4"/>
        <v>37606174104</v>
      </c>
      <c r="J87" s="1759">
        <f t="shared" si="4"/>
        <v>17090586268089</v>
      </c>
    </row>
    <row r="88" spans="1:10" s="1731" customFormat="1" ht="25.9" customHeight="1" x14ac:dyDescent="0.4">
      <c r="A88" s="1724"/>
      <c r="B88" s="3745" t="s">
        <v>421</v>
      </c>
      <c r="C88" s="1802" t="s">
        <v>2153</v>
      </c>
      <c r="D88" s="1803" t="s">
        <v>2036</v>
      </c>
      <c r="E88" s="1759">
        <f t="shared" ref="E88:E95" si="5">J88-I88-H88-F88</f>
        <v>36481816170</v>
      </c>
      <c r="F88" s="1759"/>
      <c r="G88" s="1759"/>
      <c r="H88" s="1759"/>
      <c r="I88" s="1759"/>
      <c r="J88" s="324">
        <v>36481816170</v>
      </c>
    </row>
    <row r="89" spans="1:10" s="1731" customFormat="1" ht="25.9" customHeight="1" x14ac:dyDescent="0.2">
      <c r="A89" s="1724"/>
      <c r="B89" s="3745"/>
      <c r="C89" s="1737">
        <v>1307002010</v>
      </c>
      <c r="D89" s="1211" t="s">
        <v>592</v>
      </c>
      <c r="E89" s="1759">
        <f>J89-I89-H89-F89</f>
        <v>10306794977</v>
      </c>
      <c r="F89" s="1749"/>
      <c r="G89" s="1749"/>
      <c r="H89" s="1749"/>
      <c r="I89" s="1749"/>
      <c r="J89" s="324">
        <v>10306794977</v>
      </c>
    </row>
    <row r="90" spans="1:10" s="1731" customFormat="1" ht="25.9" customHeight="1" x14ac:dyDescent="0.2">
      <c r="A90" s="1724"/>
      <c r="B90" s="3745"/>
      <c r="C90" s="1788" t="s">
        <v>1083</v>
      </c>
      <c r="D90" s="1210" t="s">
        <v>1082</v>
      </c>
      <c r="E90" s="1759">
        <f t="shared" si="5"/>
        <v>52954819175</v>
      </c>
      <c r="F90" s="1749"/>
      <c r="G90" s="1749"/>
      <c r="H90" s="1749"/>
      <c r="I90" s="1749"/>
      <c r="J90" s="324">
        <v>52954819175</v>
      </c>
    </row>
    <row r="91" spans="1:10" s="1731" customFormat="1" ht="25.9" customHeight="1" x14ac:dyDescent="0.2">
      <c r="A91" s="1724"/>
      <c r="B91" s="3745"/>
      <c r="C91" s="1762" t="s">
        <v>609</v>
      </c>
      <c r="D91" s="1209" t="s">
        <v>607</v>
      </c>
      <c r="E91" s="1759">
        <f t="shared" si="5"/>
        <v>27330562746</v>
      </c>
      <c r="F91" s="1749"/>
      <c r="G91" s="1749"/>
      <c r="H91" s="1749"/>
      <c r="I91" s="1749"/>
      <c r="J91" s="240">
        <v>27330562746</v>
      </c>
    </row>
    <row r="92" spans="1:10" s="1731" customFormat="1" ht="25.9" customHeight="1" x14ac:dyDescent="0.2">
      <c r="A92" s="1724"/>
      <c r="B92" s="3745"/>
      <c r="C92" s="272" t="s">
        <v>540</v>
      </c>
      <c r="D92" s="1209" t="s">
        <v>541</v>
      </c>
      <c r="E92" s="1759">
        <f t="shared" si="5"/>
        <v>499907874</v>
      </c>
      <c r="F92" s="1749"/>
      <c r="G92" s="1749" t="e">
        <f>SUM(#REF!)</f>
        <v>#REF!</v>
      </c>
      <c r="H92" s="1749"/>
      <c r="I92" s="1749"/>
      <c r="J92" s="240">
        <v>499907874</v>
      </c>
    </row>
    <row r="93" spans="1:10" s="1731" customFormat="1" ht="25.9" customHeight="1" x14ac:dyDescent="0.2">
      <c r="A93" s="1724"/>
      <c r="B93" s="3745"/>
      <c r="C93" s="1762" t="s">
        <v>610</v>
      </c>
      <c r="D93" s="1209" t="s">
        <v>596</v>
      </c>
      <c r="E93" s="1759">
        <f t="shared" si="5"/>
        <v>12197208384</v>
      </c>
      <c r="F93" s="1749"/>
      <c r="G93" s="1749"/>
      <c r="H93" s="1749"/>
      <c r="I93" s="1749"/>
      <c r="J93" s="240">
        <v>12197208384</v>
      </c>
    </row>
    <row r="94" spans="1:10" s="1731" customFormat="1" ht="25.9" customHeight="1" x14ac:dyDescent="0.2">
      <c r="A94" s="1724"/>
      <c r="B94" s="3745"/>
      <c r="C94" s="1762" t="s">
        <v>624</v>
      </c>
      <c r="D94" s="1209" t="s">
        <v>600</v>
      </c>
      <c r="E94" s="1759">
        <f t="shared" si="5"/>
        <v>16199762792</v>
      </c>
      <c r="F94" s="1749"/>
      <c r="G94" s="1749"/>
      <c r="H94" s="1749"/>
      <c r="I94" s="1749"/>
      <c r="J94" s="240">
        <v>16199762792</v>
      </c>
    </row>
    <row r="95" spans="1:10" s="1731" customFormat="1" ht="25.9" customHeight="1" x14ac:dyDescent="0.4">
      <c r="A95" s="1724"/>
      <c r="B95" s="3745"/>
      <c r="C95" s="1800" t="s">
        <v>2061</v>
      </c>
      <c r="D95" s="1805" t="s">
        <v>2038</v>
      </c>
      <c r="E95" s="1759">
        <f t="shared" si="5"/>
        <v>11745746176</v>
      </c>
      <c r="F95" s="1749"/>
      <c r="G95" s="1749"/>
      <c r="H95" s="1749"/>
      <c r="I95" s="1749"/>
      <c r="J95" s="240">
        <v>11745746176</v>
      </c>
    </row>
    <row r="96" spans="1:10" ht="15.6" customHeight="1" x14ac:dyDescent="0.2">
      <c r="A96" s="1825"/>
      <c r="B96" s="3739" t="s">
        <v>222</v>
      </c>
      <c r="C96" s="3739"/>
      <c r="D96" s="3739"/>
      <c r="E96" s="652">
        <f>SUM(E88:E95)</f>
        <v>167716618294</v>
      </c>
      <c r="F96" s="652">
        <f>SUM(F88:F95)</f>
        <v>0</v>
      </c>
      <c r="G96" s="652" t="e">
        <f>SUM(G88:G95)+1000000</f>
        <v>#REF!</v>
      </c>
      <c r="H96" s="652">
        <f>SUM(H88:H95)+1000000</f>
        <v>1000000</v>
      </c>
      <c r="I96" s="652">
        <f>SUM(I88:I95)</f>
        <v>0</v>
      </c>
      <c r="J96" s="652">
        <f>SUM(J88:J95)</f>
        <v>167716618294</v>
      </c>
    </row>
    <row r="97" spans="1:15" ht="15.6" customHeight="1" x14ac:dyDescent="0.2">
      <c r="A97" s="1825"/>
      <c r="B97" s="3754" t="s">
        <v>195</v>
      </c>
      <c r="C97" s="3754"/>
      <c r="D97" s="3754"/>
      <c r="E97" s="1749">
        <f t="shared" ref="E97:J97" si="6">E96+E87</f>
        <v>17139123929418</v>
      </c>
      <c r="F97" s="1749">
        <f t="shared" si="6"/>
        <v>81572782861</v>
      </c>
      <c r="G97" s="1749" t="e">
        <f t="shared" si="6"/>
        <v>#REF!</v>
      </c>
      <c r="H97" s="1749">
        <f t="shared" si="6"/>
        <v>2000000</v>
      </c>
      <c r="I97" s="1749">
        <f t="shared" si="6"/>
        <v>37606174104</v>
      </c>
      <c r="J97" s="1749">
        <f t="shared" si="6"/>
        <v>17258302886383</v>
      </c>
    </row>
    <row r="98" spans="1:15" ht="15.6" customHeight="1" x14ac:dyDescent="0.2">
      <c r="A98" s="1825"/>
      <c r="B98" s="1776"/>
      <c r="C98" s="1828"/>
      <c r="D98" s="1828"/>
      <c r="E98" s="1829"/>
      <c r="F98" s="1829"/>
      <c r="G98" s="1829"/>
      <c r="H98" s="1829"/>
      <c r="I98" s="1829"/>
      <c r="J98" s="1830" t="s">
        <v>1346</v>
      </c>
    </row>
    <row r="99" spans="1:15" ht="15.6" customHeight="1" x14ac:dyDescent="0.2">
      <c r="A99" s="1825"/>
      <c r="B99" s="1776"/>
      <c r="C99" s="1828"/>
      <c r="D99" s="1828"/>
      <c r="E99" s="1829"/>
      <c r="F99" s="1829"/>
      <c r="G99" s="1829"/>
      <c r="H99" s="1829"/>
      <c r="I99" s="1829"/>
      <c r="J99" s="1829"/>
      <c r="O99" s="1719">
        <f>E97+F97+I97</f>
        <v>17258302886383</v>
      </c>
    </row>
    <row r="100" spans="1:15" ht="15.6" customHeight="1" x14ac:dyDescent="0.2">
      <c r="A100" s="1825"/>
      <c r="B100" s="1776"/>
      <c r="C100" s="1828"/>
      <c r="D100" s="1828"/>
      <c r="E100" s="1829"/>
      <c r="F100" s="1829"/>
      <c r="G100" s="1829"/>
      <c r="H100" s="1829"/>
      <c r="I100" s="1829"/>
      <c r="J100" s="1829"/>
    </row>
    <row r="101" spans="1:15" ht="15.6" customHeight="1" x14ac:dyDescent="0.2">
      <c r="A101" s="1825"/>
      <c r="B101" s="1776"/>
      <c r="C101" s="1828"/>
      <c r="D101" s="1828"/>
      <c r="E101" s="1829"/>
      <c r="F101" s="1829"/>
      <c r="G101" s="1829"/>
      <c r="H101" s="1829"/>
      <c r="I101" s="1829"/>
      <c r="J101" s="1829"/>
    </row>
    <row r="102" spans="1:15" ht="15.6" customHeight="1" x14ac:dyDescent="0.2">
      <c r="A102" s="1825"/>
      <c r="B102" s="1776"/>
      <c r="C102" s="1828"/>
      <c r="D102" s="1828"/>
      <c r="E102" s="1829"/>
      <c r="F102" s="1829"/>
      <c r="G102" s="1829"/>
      <c r="H102" s="1829"/>
      <c r="I102" s="1829"/>
      <c r="J102" s="1829"/>
    </row>
    <row r="103" spans="1:15" ht="15.6" customHeight="1" x14ac:dyDescent="0.2">
      <c r="A103" s="3714" t="s">
        <v>2272</v>
      </c>
      <c r="B103" s="3714"/>
      <c r="C103" s="3714"/>
      <c r="D103" s="3714"/>
      <c r="E103" s="3714"/>
      <c r="F103" s="3714"/>
      <c r="G103" s="3714"/>
      <c r="H103" s="3714"/>
      <c r="I103" s="3714"/>
      <c r="J103" s="3714"/>
    </row>
    <row r="104" spans="1:15" ht="14.25" customHeight="1" x14ac:dyDescent="0.35">
      <c r="A104" s="1831"/>
    </row>
    <row r="107" spans="1:15" ht="14.25" customHeight="1" x14ac:dyDescent="0.35">
      <c r="B107" s="1719"/>
      <c r="C107" s="1719"/>
      <c r="D107" s="1719"/>
      <c r="E107" s="1719"/>
      <c r="F107" s="1719"/>
      <c r="G107" s="1719"/>
      <c r="H107" s="1728">
        <f>E97+F97+H97+I97</f>
        <v>17258304886383</v>
      </c>
      <c r="I107" s="1719"/>
      <c r="J107" s="1719"/>
    </row>
    <row r="111" spans="1:15" ht="93.6" customHeight="1" x14ac:dyDescent="0.35">
      <c r="B111" s="1719"/>
      <c r="C111" s="1719"/>
      <c r="D111" s="1719"/>
      <c r="E111" s="1719"/>
      <c r="F111" s="1719"/>
      <c r="G111" s="1719"/>
      <c r="I111" s="1719"/>
      <c r="J111" s="1719"/>
    </row>
    <row r="170" s="1719" customFormat="1" ht="89.45" customHeight="1" x14ac:dyDescent="0.2"/>
    <row r="219" s="1719" customFormat="1" ht="92.45" customHeight="1" x14ac:dyDescent="0.2"/>
  </sheetData>
  <mergeCells count="30">
    <mergeCell ref="B87:D87"/>
    <mergeCell ref="A103:J103"/>
    <mergeCell ref="A61:J61"/>
    <mergeCell ref="C64:C66"/>
    <mergeCell ref="D64:D66"/>
    <mergeCell ref="E64:I64"/>
    <mergeCell ref="J64:J66"/>
    <mergeCell ref="B64:B66"/>
    <mergeCell ref="B96:D96"/>
    <mergeCell ref="B97:D97"/>
    <mergeCell ref="B63:H63"/>
    <mergeCell ref="I63:J63"/>
    <mergeCell ref="B88:B95"/>
    <mergeCell ref="C67:D67"/>
    <mergeCell ref="I8:J8"/>
    <mergeCell ref="A1:J1"/>
    <mergeCell ref="A2:J2"/>
    <mergeCell ref="A3:J3"/>
    <mergeCell ref="A4:J4"/>
    <mergeCell ref="B7:J7"/>
    <mergeCell ref="A57:J57"/>
    <mergeCell ref="A58:J58"/>
    <mergeCell ref="A59:J59"/>
    <mergeCell ref="A60:J60"/>
    <mergeCell ref="B9:B56"/>
    <mergeCell ref="C9:C11"/>
    <mergeCell ref="D9:D11"/>
    <mergeCell ref="E9:I9"/>
    <mergeCell ref="J9:J11"/>
    <mergeCell ref="C56:D56"/>
  </mergeCells>
  <printOptions horizontalCentered="1"/>
  <pageMargins left="0.35433070866141703" right="0.74803149606299202" top="0" bottom="0" header="0" footer="0"/>
  <pageSetup scale="67" fitToWidth="0" fitToHeight="0" orientation="portrait" r:id="rId1"/>
  <headerFooter alignWithMargins="0"/>
  <rowBreaks count="1" manualBreakCount="1">
    <brk id="5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U31"/>
  <sheetViews>
    <sheetView rightToLeft="1" view="pageBreakPreview" zoomScale="82" zoomScaleNormal="82" zoomScaleSheetLayoutView="82" workbookViewId="0">
      <selection activeCell="J28" sqref="J28"/>
    </sheetView>
  </sheetViews>
  <sheetFormatPr defaultColWidth="9.140625" defaultRowHeight="17.25" x14ac:dyDescent="0.4"/>
  <cols>
    <col min="1" max="1" width="4.7109375" style="25" customWidth="1"/>
    <col min="2" max="2" width="30.5703125" style="25" customWidth="1"/>
    <col min="3" max="3" width="0.85546875" style="25" customWidth="1"/>
    <col min="4" max="4" width="6.7109375" style="949" customWidth="1"/>
    <col min="5" max="5" width="1.28515625" style="25" customWidth="1"/>
    <col min="6" max="6" width="13" style="963" customWidth="1"/>
    <col min="7" max="7" width="1.28515625" style="963" customWidth="1"/>
    <col min="8" max="8" width="13" style="951" customWidth="1"/>
    <col min="9" max="9" width="7.7109375" style="25" customWidth="1"/>
    <col min="10" max="10" width="32.7109375" style="25" customWidth="1"/>
    <col min="11" max="11" width="0.85546875" style="25" customWidth="1"/>
    <col min="12" max="12" width="6.7109375" style="963" customWidth="1"/>
    <col min="13" max="13" width="1.28515625" style="25" customWidth="1"/>
    <col min="14" max="14" width="13" style="963" customWidth="1"/>
    <col min="15" max="15" width="1.5703125" style="963" customWidth="1"/>
    <col min="16" max="16" width="13" style="963" customWidth="1"/>
    <col min="17" max="17" width="0.42578125" style="25" customWidth="1"/>
    <col min="18" max="18" width="19.5703125" style="25" customWidth="1"/>
    <col min="19" max="19" width="9.140625" style="25" customWidth="1"/>
    <col min="20" max="16384" width="9.140625" style="25"/>
  </cols>
  <sheetData>
    <row r="1" spans="2:21" ht="20.25" customHeight="1" x14ac:dyDescent="0.2">
      <c r="B1" s="3060" t="s">
        <v>0</v>
      </c>
      <c r="C1" s="3060"/>
      <c r="D1" s="3060"/>
      <c r="E1" s="3060"/>
      <c r="F1" s="3060"/>
      <c r="G1" s="3060"/>
      <c r="H1" s="3060"/>
      <c r="I1" s="3060"/>
      <c r="J1" s="3060"/>
      <c r="K1" s="3060"/>
      <c r="L1" s="3060"/>
      <c r="M1" s="3060"/>
      <c r="N1" s="3060"/>
      <c r="O1" s="3060"/>
      <c r="P1" s="3060"/>
    </row>
    <row r="2" spans="2:21" ht="20.25" customHeight="1" x14ac:dyDescent="0.2">
      <c r="B2" s="3060" t="s">
        <v>1</v>
      </c>
      <c r="C2" s="3060"/>
      <c r="D2" s="3060"/>
      <c r="E2" s="3060"/>
      <c r="F2" s="3060"/>
      <c r="G2" s="3060"/>
      <c r="H2" s="3060"/>
      <c r="I2" s="3060"/>
      <c r="J2" s="3060"/>
      <c r="K2" s="3060"/>
      <c r="L2" s="3060"/>
      <c r="M2" s="3060"/>
      <c r="N2" s="3060"/>
      <c r="O2" s="3060"/>
      <c r="P2" s="3060"/>
    </row>
    <row r="3" spans="2:21" ht="22.5" x14ac:dyDescent="0.2">
      <c r="B3" s="3060" t="s">
        <v>7</v>
      </c>
      <c r="C3" s="3060"/>
      <c r="D3" s="3060"/>
      <c r="E3" s="3060"/>
      <c r="F3" s="3060"/>
      <c r="G3" s="3060"/>
      <c r="H3" s="3060"/>
      <c r="I3" s="3060"/>
      <c r="J3" s="3060"/>
      <c r="K3" s="3060"/>
      <c r="L3" s="3060"/>
      <c r="M3" s="3060"/>
      <c r="N3" s="3060"/>
      <c r="O3" s="3060"/>
      <c r="P3" s="3060"/>
    </row>
    <row r="4" spans="2:21" ht="22.5" x14ac:dyDescent="0.2">
      <c r="B4" s="3061" t="s">
        <v>1934</v>
      </c>
      <c r="C4" s="3061"/>
      <c r="D4" s="3061"/>
      <c r="E4" s="3061"/>
      <c r="F4" s="3061"/>
      <c r="G4" s="3061"/>
      <c r="H4" s="3061"/>
      <c r="I4" s="3061"/>
      <c r="J4" s="3061"/>
      <c r="K4" s="3061"/>
      <c r="L4" s="3061"/>
      <c r="M4" s="3061"/>
      <c r="N4" s="3061"/>
      <c r="O4" s="3061"/>
      <c r="P4" s="3061"/>
    </row>
    <row r="5" spans="2:21" ht="22.5" x14ac:dyDescent="0.2">
      <c r="B5" s="940"/>
      <c r="C5" s="940"/>
      <c r="D5" s="940"/>
      <c r="E5" s="940"/>
      <c r="F5" s="940"/>
      <c r="G5" s="940"/>
      <c r="H5" s="940"/>
      <c r="I5" s="940"/>
      <c r="J5" s="940"/>
      <c r="K5" s="940"/>
      <c r="L5" s="940"/>
      <c r="M5" s="940"/>
      <c r="N5" s="3062" t="s">
        <v>1193</v>
      </c>
      <c r="O5" s="3062"/>
      <c r="P5" s="3062"/>
    </row>
    <row r="6" spans="2:21" ht="25.5" customHeight="1" x14ac:dyDescent="0.2">
      <c r="B6" s="966"/>
      <c r="C6" s="966"/>
      <c r="D6" s="966"/>
      <c r="E6" s="966"/>
      <c r="F6" s="966"/>
      <c r="G6" s="966"/>
      <c r="H6" s="966" t="s">
        <v>1925</v>
      </c>
      <c r="I6" s="966"/>
      <c r="J6" s="4"/>
      <c r="K6" s="966"/>
      <c r="L6" s="966"/>
      <c r="M6" s="966"/>
      <c r="N6" s="966"/>
      <c r="O6" s="966"/>
      <c r="P6" s="966" t="s">
        <v>1925</v>
      </c>
    </row>
    <row r="7" spans="2:21" s="3" customFormat="1" ht="20.25" x14ac:dyDescent="0.5">
      <c r="B7" s="26" t="s">
        <v>8</v>
      </c>
      <c r="D7" s="27" t="s">
        <v>9</v>
      </c>
      <c r="F7" s="26" t="s">
        <v>1380</v>
      </c>
      <c r="G7" s="755"/>
      <c r="H7" s="26" t="s">
        <v>1148</v>
      </c>
      <c r="J7" s="28" t="s">
        <v>12</v>
      </c>
      <c r="L7" s="29" t="s">
        <v>9</v>
      </c>
      <c r="N7" s="26" t="s">
        <v>1380</v>
      </c>
      <c r="O7" s="755"/>
      <c r="P7" s="26" t="s">
        <v>1148</v>
      </c>
    </row>
    <row r="8" spans="2:21" s="3" customFormat="1" ht="5.25" customHeight="1" x14ac:dyDescent="0.5">
      <c r="D8" s="30"/>
      <c r="F8" s="224"/>
      <c r="G8" s="755"/>
      <c r="H8" s="224"/>
      <c r="L8" s="939"/>
      <c r="N8" s="755"/>
      <c r="O8" s="755"/>
      <c r="P8" s="755"/>
    </row>
    <row r="9" spans="2:21" s="3" customFormat="1" ht="22.5" customHeight="1" x14ac:dyDescent="0.5">
      <c r="D9" s="30"/>
      <c r="F9" s="224"/>
      <c r="G9" s="755"/>
      <c r="H9" s="224"/>
      <c r="J9" s="36" t="s">
        <v>14</v>
      </c>
      <c r="L9" s="939"/>
      <c r="N9" s="755"/>
      <c r="O9" s="755"/>
      <c r="P9" s="755"/>
    </row>
    <row r="10" spans="2:21" ht="39" customHeight="1" x14ac:dyDescent="0.2">
      <c r="B10" s="31" t="s">
        <v>15</v>
      </c>
      <c r="C10" s="31"/>
      <c r="D10" s="943">
        <v>3000000</v>
      </c>
      <c r="E10" s="31"/>
      <c r="F10" s="32">
        <f>'ي_3_موجودي_نقد '!I17</f>
        <v>5709624224656</v>
      </c>
      <c r="G10" s="31"/>
      <c r="H10" s="943">
        <f>'ي_3_موجودي_نقد '!K17</f>
        <v>4821549486982</v>
      </c>
      <c r="J10" s="232" t="s">
        <v>1813</v>
      </c>
      <c r="K10" s="33"/>
      <c r="L10" s="943">
        <v>10000000</v>
      </c>
      <c r="M10" s="31"/>
      <c r="N10" s="233">
        <f>'يادداشت 1-1-10 حسابهاي پرداخخخ '!K12</f>
        <v>11284005906489</v>
      </c>
      <c r="O10" s="943"/>
      <c r="P10" s="943">
        <f>'يادداشت 1-1-10 حسابهاي پرداخخخ '!O12</f>
        <v>9363155890050</v>
      </c>
      <c r="R10" s="25">
        <f>P10+P12</f>
        <v>9363155890050</v>
      </c>
    </row>
    <row r="11" spans="2:21" ht="39" customHeight="1" x14ac:dyDescent="0.2">
      <c r="B11" s="31" t="s">
        <v>1812</v>
      </c>
      <c r="C11" s="31"/>
      <c r="D11" s="943">
        <v>4000000</v>
      </c>
      <c r="E11" s="31"/>
      <c r="F11" s="32">
        <f>'ي4_حساب_اسناددريافتني_ح_ا_ع (2'!J189</f>
        <v>1875606410683</v>
      </c>
      <c r="G11" s="31"/>
      <c r="H11" s="34">
        <f>'ي4_حساب_اسناددريافتني_ح_ا_ع (2'!F189</f>
        <v>1364944692759</v>
      </c>
      <c r="J11" s="31" t="s">
        <v>976</v>
      </c>
      <c r="K11" s="31"/>
      <c r="L11" s="943">
        <v>11000000</v>
      </c>
      <c r="M11" s="31"/>
      <c r="N11" s="233">
        <f>'يادداشت 11 -سايربدهي_هاي_جاري'!F11</f>
        <v>1207489486211</v>
      </c>
      <c r="O11" s="943"/>
      <c r="P11" s="943">
        <f>'يادداشت 11 -سايربدهي_هاي_جاري'!I11</f>
        <v>995866890029</v>
      </c>
      <c r="S11" s="388"/>
    </row>
    <row r="12" spans="2:21" ht="39" customHeight="1" x14ac:dyDescent="0.2">
      <c r="B12" s="31" t="s">
        <v>16</v>
      </c>
      <c r="C12" s="31"/>
      <c r="D12" s="943">
        <v>5000000</v>
      </c>
      <c r="E12" s="31"/>
      <c r="F12" s="32">
        <f>'يادداشت_-5موجودی_جنسی__(2)'!Q83</f>
        <v>723378786328</v>
      </c>
      <c r="G12" s="31"/>
      <c r="H12" s="34">
        <f>'يادداشت_-5موجودی_جنسی__(2)'!E83</f>
        <v>1003174500645</v>
      </c>
      <c r="J12" s="232"/>
      <c r="K12" s="31"/>
      <c r="L12" s="943"/>
      <c r="M12" s="31"/>
      <c r="N12" s="233"/>
      <c r="O12" s="943"/>
      <c r="P12" s="945"/>
    </row>
    <row r="13" spans="2:21" ht="39" customHeight="1" x14ac:dyDescent="0.2">
      <c r="B13" s="31" t="s">
        <v>18</v>
      </c>
      <c r="C13" s="31"/>
      <c r="D13" s="943">
        <v>6000000</v>
      </c>
      <c r="E13" s="31"/>
      <c r="F13" s="258" cm="1">
        <f t="array" ref="F13:G13">'پيش پرداخت يادداشت-6'!H17:I17</f>
        <v>4146467988592</v>
      </c>
      <c r="G13" s="943">
        <v>0</v>
      </c>
      <c r="H13" s="34">
        <f>'پيش پرداخت يادداشت-6'!Q17</f>
        <v>3730425519802</v>
      </c>
      <c r="J13" s="3" t="s">
        <v>17</v>
      </c>
      <c r="L13" s="943"/>
      <c r="M13" s="31"/>
      <c r="N13" s="35">
        <f>SUM(N10:N12)</f>
        <v>12491495392700</v>
      </c>
      <c r="O13" s="943"/>
      <c r="P13" s="35">
        <f>SUM(P10:P12)</f>
        <v>10359022780079</v>
      </c>
    </row>
    <row r="14" spans="2:21" ht="39" customHeight="1" x14ac:dyDescent="0.2">
      <c r="B14" s="31" t="s">
        <v>20</v>
      </c>
      <c r="C14" s="31"/>
      <c r="D14" s="943">
        <v>7000000</v>
      </c>
      <c r="E14" s="31"/>
      <c r="F14" s="34">
        <f>'یادداشت 7 دارایییی اصلاحی'!X457</f>
        <v>58842121370623</v>
      </c>
      <c r="G14" s="943"/>
      <c r="H14" s="943">
        <f>'یادداشت 7 دارایییی اصلاحی'!E457</f>
        <v>42856565455025</v>
      </c>
      <c r="J14" s="3"/>
      <c r="L14" s="943"/>
      <c r="M14" s="31"/>
      <c r="N14" s="943"/>
      <c r="O14" s="943"/>
      <c r="P14" s="943"/>
      <c r="R14" s="388"/>
      <c r="S14" s="388"/>
    </row>
    <row r="15" spans="2:21" ht="39" customHeight="1" x14ac:dyDescent="0.2">
      <c r="B15" s="31" t="s">
        <v>825</v>
      </c>
      <c r="C15" s="31"/>
      <c r="D15" s="943">
        <v>8000000</v>
      </c>
      <c r="E15" s="31"/>
      <c r="F15" s="258">
        <f>'يادداشت 8سرمايه گذاري در شركتها'!L168</f>
        <v>7891981316476</v>
      </c>
      <c r="G15" s="943"/>
      <c r="H15" s="293">
        <f>'يادداشت 8سرمايه گذاري در شركتها'!D168</f>
        <v>6148884654115</v>
      </c>
      <c r="J15" s="36" t="s">
        <v>19</v>
      </c>
      <c r="K15" s="3"/>
      <c r="L15" s="943"/>
      <c r="M15" s="31"/>
      <c r="N15" s="943"/>
      <c r="O15" s="943"/>
      <c r="P15" s="943"/>
      <c r="U15" s="963"/>
    </row>
    <row r="16" spans="2:21" ht="39" customHeight="1" x14ac:dyDescent="0.2">
      <c r="B16" s="31" t="s">
        <v>826</v>
      </c>
      <c r="C16" s="31"/>
      <c r="D16" s="943">
        <v>9000000</v>
      </c>
      <c r="E16" s="31"/>
      <c r="F16" s="34">
        <f>'مطالبات بلند مدت دولت ياددا (2)'!K90</f>
        <v>9726004209979</v>
      </c>
      <c r="G16" s="943"/>
      <c r="H16" s="945">
        <f>'مطالبات بلند مدت دولت ياددا (2)'!D90</f>
        <v>8447996852540</v>
      </c>
      <c r="J16" s="31" t="s">
        <v>1966</v>
      </c>
      <c r="K16" s="33"/>
      <c r="L16" s="943">
        <v>17000000</v>
      </c>
      <c r="M16" s="31"/>
      <c r="N16" s="233">
        <f>'صورت_تغييرات_ (2)'!O22</f>
        <v>76423689106771</v>
      </c>
      <c r="O16" s="943"/>
      <c r="P16" s="245">
        <f>'يادداشت 17 ارزش خالص'!E565</f>
        <v>58014518682012</v>
      </c>
      <c r="U16" s="963"/>
    </row>
    <row r="17" spans="1:17" ht="39" customHeight="1" thickBot="1" x14ac:dyDescent="0.55000000000000004">
      <c r="B17" s="353" t="s">
        <v>21</v>
      </c>
      <c r="C17" s="3"/>
      <c r="D17" s="952"/>
      <c r="E17" s="31"/>
      <c r="F17" s="37">
        <f>SUM(F10:F16)</f>
        <v>88915184307337</v>
      </c>
      <c r="G17" s="943"/>
      <c r="H17" s="37">
        <f>H16+H15+H14+H13+H12+H11+H10+1000000</f>
        <v>68373542161868</v>
      </c>
      <c r="J17" s="36" t="s">
        <v>22</v>
      </c>
      <c r="K17" s="3"/>
      <c r="L17" s="943"/>
      <c r="M17" s="31"/>
      <c r="N17" s="38">
        <f>N16+N13</f>
        <v>88915184499471</v>
      </c>
      <c r="O17" s="943"/>
      <c r="P17" s="38">
        <f>P16+P13+1000000</f>
        <v>68373542462091</v>
      </c>
    </row>
    <row r="18" spans="1:17" ht="27" customHeight="1" thickTop="1" x14ac:dyDescent="0.4">
      <c r="H18" s="963"/>
      <c r="N18" s="39"/>
      <c r="O18" s="39"/>
      <c r="P18" s="39"/>
    </row>
    <row r="19" spans="1:17" ht="11.25" customHeight="1" x14ac:dyDescent="0.4">
      <c r="F19" s="40"/>
      <c r="N19" s="264"/>
      <c r="O19" s="39"/>
      <c r="P19" s="39"/>
    </row>
    <row r="20" spans="1:17" ht="18.75" customHeight="1" x14ac:dyDescent="0.2">
      <c r="A20" s="3059" t="s">
        <v>1935</v>
      </c>
      <c r="B20" s="3059"/>
      <c r="C20" s="3059"/>
      <c r="D20" s="3059"/>
      <c r="E20" s="3059"/>
      <c r="F20" s="3059"/>
      <c r="G20" s="3059"/>
      <c r="H20" s="3059"/>
      <c r="I20" s="3059"/>
      <c r="J20" s="3059"/>
      <c r="K20" s="3059"/>
      <c r="L20" s="3059"/>
      <c r="M20" s="3059"/>
      <c r="N20" s="3059"/>
      <c r="O20" s="3059"/>
      <c r="P20" s="3059"/>
    </row>
    <row r="21" spans="1:17" ht="21" customHeight="1" x14ac:dyDescent="0.4">
      <c r="I21" s="939"/>
      <c r="Q21" s="939"/>
    </row>
    <row r="22" spans="1:17" x14ac:dyDescent="0.2">
      <c r="A22" s="3058" t="s">
        <v>23</v>
      </c>
      <c r="B22" s="3058"/>
      <c r="C22" s="3058"/>
      <c r="D22" s="3058"/>
      <c r="E22" s="3058"/>
      <c r="F22" s="3058"/>
      <c r="G22" s="3058"/>
      <c r="H22" s="3058"/>
      <c r="I22" s="3058"/>
      <c r="J22" s="3058"/>
      <c r="K22" s="3058"/>
      <c r="L22" s="3058"/>
      <c r="M22" s="3058"/>
      <c r="N22" s="3058"/>
      <c r="O22" s="3058"/>
      <c r="P22" s="3058"/>
    </row>
    <row r="23" spans="1:17" x14ac:dyDescent="0.4">
      <c r="I23" s="938"/>
      <c r="Q23" s="938"/>
    </row>
    <row r="26" spans="1:17" x14ac:dyDescent="0.4">
      <c r="J26" s="388">
        <f>F17-N17</f>
        <v>-192134</v>
      </c>
    </row>
    <row r="27" spans="1:17" x14ac:dyDescent="0.4">
      <c r="H27" s="951">
        <f>SUM(H10:H16)</f>
        <v>68373541161868</v>
      </c>
      <c r="J27" s="743">
        <f>N16-'يادداشت 17 ارزش خالص'!AB565</f>
        <v>3294006</v>
      </c>
      <c r="P27" s="963">
        <f>P16+P13</f>
        <v>68373541462091</v>
      </c>
    </row>
    <row r="29" spans="1:17" x14ac:dyDescent="0.4">
      <c r="J29" s="25">
        <f>N18-'يادداشت 17 ارزش خالص'!AB567</f>
        <v>0</v>
      </c>
    </row>
    <row r="30" spans="1:17" x14ac:dyDescent="0.4">
      <c r="P30" s="963">
        <f>H27-P27</f>
        <v>-300223</v>
      </c>
    </row>
    <row r="31" spans="1:17" x14ac:dyDescent="0.4">
      <c r="J31" s="25">
        <f>F17-N17</f>
        <v>-192134</v>
      </c>
    </row>
  </sheetData>
  <mergeCells count="7">
    <mergeCell ref="A22:P22"/>
    <mergeCell ref="A20:P20"/>
    <mergeCell ref="B1:P1"/>
    <mergeCell ref="B2:P2"/>
    <mergeCell ref="B3:P3"/>
    <mergeCell ref="B4:P4"/>
    <mergeCell ref="N5:P5"/>
  </mergeCells>
  <pageMargins left="0.59055118110236204" right="0.59055118110236204" top="1.1023622047244099" bottom="0.59055118110236204" header="0.31496062992126" footer="0.31496062992126"/>
  <pageSetup scale="85" fitToWidth="0"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2060"/>
  </sheetPr>
  <dimension ref="A1:U192"/>
  <sheetViews>
    <sheetView rightToLeft="1" view="pageBreakPreview" topLeftCell="A160" zoomScale="107" zoomScaleNormal="100" zoomScaleSheetLayoutView="107" workbookViewId="0">
      <selection activeCell="B175" sqref="B175"/>
    </sheetView>
  </sheetViews>
  <sheetFormatPr defaultColWidth="9.140625" defaultRowHeight="18" x14ac:dyDescent="0.4"/>
  <cols>
    <col min="1" max="1" width="1.140625" style="721" customWidth="1"/>
    <col min="2" max="2" width="8.85546875" style="739" customWidth="1"/>
    <col min="3" max="3" width="44.7109375" style="721" customWidth="1"/>
    <col min="4" max="4" width="9.5703125" style="1233" customWidth="1"/>
    <col min="5" max="5" width="7.28515625" style="1233" hidden="1" customWidth="1"/>
    <col min="6" max="6" width="6.5703125" style="1233" hidden="1" customWidth="1"/>
    <col min="7" max="7" width="9.85546875" style="1232" customWidth="1"/>
    <col min="8" max="8" width="0.140625" style="1232" hidden="1" customWidth="1"/>
    <col min="9" max="9" width="8.7109375" style="1232" customWidth="1"/>
    <col min="10" max="10" width="7.28515625" style="1232" customWidth="1"/>
    <col min="11" max="11" width="7.140625" style="1232" customWidth="1"/>
    <col min="12" max="12" width="11.7109375" style="1232" customWidth="1"/>
    <col min="13" max="13" width="1.28515625" style="721" customWidth="1"/>
    <col min="14" max="14" width="9.28515625" style="721" bestFit="1" customWidth="1"/>
    <col min="15" max="15" width="19" style="721" customWidth="1"/>
    <col min="16" max="16384" width="9.140625" style="721"/>
  </cols>
  <sheetData>
    <row r="1" spans="1:12" ht="18.600000000000001" customHeight="1" x14ac:dyDescent="0.35">
      <c r="A1" s="57"/>
      <c r="B1" s="3761" t="s">
        <v>24</v>
      </c>
      <c r="C1" s="3761"/>
      <c r="D1" s="3761"/>
      <c r="E1" s="3761"/>
      <c r="F1" s="3761"/>
      <c r="G1" s="3761"/>
      <c r="H1" s="3761"/>
      <c r="I1" s="3761"/>
      <c r="J1" s="3761"/>
      <c r="K1" s="3761"/>
      <c r="L1" s="3761"/>
    </row>
    <row r="2" spans="1:12" ht="18.600000000000001" customHeight="1" x14ac:dyDescent="0.35">
      <c r="A2" s="57"/>
      <c r="B2" s="3761" t="s">
        <v>45</v>
      </c>
      <c r="C2" s="3761"/>
      <c r="D2" s="3761"/>
      <c r="E2" s="3761"/>
      <c r="F2" s="3761"/>
      <c r="G2" s="3761"/>
      <c r="H2" s="3761"/>
      <c r="I2" s="3761"/>
      <c r="J2" s="3761"/>
      <c r="K2" s="3761"/>
      <c r="L2" s="3761"/>
    </row>
    <row r="3" spans="1:12" ht="18.600000000000001" customHeight="1" x14ac:dyDescent="0.35">
      <c r="A3" s="57"/>
      <c r="B3" s="3761" t="s">
        <v>337</v>
      </c>
      <c r="C3" s="3761"/>
      <c r="D3" s="3761"/>
      <c r="E3" s="3761"/>
      <c r="F3" s="3761"/>
      <c r="G3" s="3761"/>
      <c r="H3" s="3761"/>
      <c r="I3" s="3761"/>
      <c r="J3" s="3761"/>
      <c r="K3" s="3761"/>
      <c r="L3" s="3761"/>
    </row>
    <row r="4" spans="1:12" ht="18.600000000000001" customHeight="1" x14ac:dyDescent="0.35">
      <c r="A4" s="57"/>
      <c r="B4" s="3761" t="s">
        <v>1994</v>
      </c>
      <c r="C4" s="3761"/>
      <c r="D4" s="3761"/>
      <c r="E4" s="3761"/>
      <c r="F4" s="3761"/>
      <c r="G4" s="3761"/>
      <c r="H4" s="3761"/>
      <c r="I4" s="3761"/>
      <c r="J4" s="3761"/>
      <c r="K4" s="3761"/>
      <c r="L4" s="3761"/>
    </row>
    <row r="5" spans="1:12" ht="18" customHeight="1" x14ac:dyDescent="0.45">
      <c r="A5" s="57"/>
      <c r="B5" s="937"/>
      <c r="C5" s="937"/>
      <c r="D5" s="1230"/>
      <c r="E5" s="1230"/>
      <c r="F5" s="1230"/>
      <c r="G5" s="1231"/>
      <c r="H5" s="1231"/>
      <c r="I5" s="1231"/>
      <c r="J5" s="1231"/>
      <c r="K5" s="1231"/>
    </row>
    <row r="6" spans="1:12" ht="22.5" x14ac:dyDescent="0.35">
      <c r="A6" s="57"/>
      <c r="B6" s="3095" t="s">
        <v>1118</v>
      </c>
      <c r="C6" s="3095"/>
      <c r="D6" s="3095"/>
      <c r="E6" s="3095"/>
      <c r="F6" s="3095"/>
      <c r="G6" s="3095"/>
      <c r="H6" s="3095"/>
      <c r="I6" s="3095"/>
      <c r="J6" s="3095"/>
      <c r="K6" s="3095"/>
      <c r="L6" s="3095"/>
    </row>
    <row r="7" spans="1:12" ht="12.6" customHeight="1" x14ac:dyDescent="0.4"/>
    <row r="8" spans="1:12" ht="46.15" customHeight="1" x14ac:dyDescent="0.35">
      <c r="B8" s="3097" t="s">
        <v>1245</v>
      </c>
      <c r="C8" s="3097"/>
      <c r="D8" s="3097"/>
      <c r="E8" s="3097"/>
      <c r="F8" s="3097"/>
      <c r="G8" s="3097"/>
      <c r="H8" s="3097"/>
      <c r="I8" s="3097"/>
      <c r="J8" s="3097"/>
      <c r="K8" s="3097"/>
      <c r="L8" s="3097"/>
    </row>
    <row r="9" spans="1:12" ht="13.9" customHeight="1" x14ac:dyDescent="0.35">
      <c r="B9" s="953"/>
      <c r="C9" s="953"/>
      <c r="D9" s="1234"/>
      <c r="E9" s="1234"/>
      <c r="F9" s="1234"/>
      <c r="G9" s="1234"/>
      <c r="H9" s="1234"/>
      <c r="I9" s="1234"/>
      <c r="J9" s="1234"/>
      <c r="K9" s="1234"/>
      <c r="L9" s="1235" t="s">
        <v>194</v>
      </c>
    </row>
    <row r="10" spans="1:12" ht="27" customHeight="1" x14ac:dyDescent="0.35">
      <c r="A10" s="1311"/>
      <c r="B10" s="3772" t="s">
        <v>53</v>
      </c>
      <c r="C10" s="3768" t="s">
        <v>54</v>
      </c>
      <c r="D10" s="3755" t="s">
        <v>1246</v>
      </c>
      <c r="E10" s="3756" t="s">
        <v>1116</v>
      </c>
      <c r="F10" s="3770" t="s">
        <v>1921</v>
      </c>
      <c r="G10" s="3755" t="s">
        <v>991</v>
      </c>
      <c r="H10" s="3756" t="s">
        <v>1859</v>
      </c>
      <c r="I10" s="3756" t="s">
        <v>1375</v>
      </c>
      <c r="J10" s="3756" t="s">
        <v>1860</v>
      </c>
      <c r="K10" s="3756" t="s">
        <v>898</v>
      </c>
      <c r="L10" s="3755" t="s">
        <v>1995</v>
      </c>
    </row>
    <row r="11" spans="1:12" ht="52.15" customHeight="1" x14ac:dyDescent="0.35">
      <c r="A11" s="1311"/>
      <c r="B11" s="3772"/>
      <c r="C11" s="3768"/>
      <c r="D11" s="3755"/>
      <c r="E11" s="3757"/>
      <c r="F11" s="3771"/>
      <c r="G11" s="3755"/>
      <c r="H11" s="3757"/>
      <c r="I11" s="3757"/>
      <c r="J11" s="3757"/>
      <c r="K11" s="3757"/>
      <c r="L11" s="3755"/>
    </row>
    <row r="12" spans="1:12" ht="21" customHeight="1" x14ac:dyDescent="0.35">
      <c r="B12" s="1071" t="s">
        <v>258</v>
      </c>
      <c r="C12" s="1072" t="s">
        <v>259</v>
      </c>
      <c r="D12" s="290">
        <v>9762550000</v>
      </c>
      <c r="E12" s="290"/>
      <c r="F12" s="290">
        <f>D12+E12</f>
        <v>9762550000</v>
      </c>
      <c r="G12" s="290"/>
      <c r="H12" s="290"/>
      <c r="I12" s="290"/>
      <c r="J12" s="290"/>
      <c r="K12" s="290"/>
      <c r="L12" s="290">
        <f>D12+I12+G12+J12+H12+E12+K12</f>
        <v>9762550000</v>
      </c>
    </row>
    <row r="13" spans="1:12" ht="21" customHeight="1" x14ac:dyDescent="0.35">
      <c r="B13" s="1071" t="s">
        <v>828</v>
      </c>
      <c r="C13" s="1072" t="s">
        <v>829</v>
      </c>
      <c r="D13" s="290">
        <v>38431318504</v>
      </c>
      <c r="E13" s="290"/>
      <c r="F13" s="290">
        <f t="shared" ref="F13:F33" si="0">D13+E13</f>
        <v>38431318504</v>
      </c>
      <c r="G13" s="290"/>
      <c r="H13" s="290"/>
      <c r="I13" s="290"/>
      <c r="J13" s="290"/>
      <c r="K13" s="290"/>
      <c r="L13" s="290">
        <f t="shared" ref="L13:L33" si="1">D13+I13+G13+J13+H13+E13+K13</f>
        <v>38431318504</v>
      </c>
    </row>
    <row r="14" spans="1:12" ht="21" customHeight="1" x14ac:dyDescent="0.35">
      <c r="B14" s="1071" t="s">
        <v>830</v>
      </c>
      <c r="C14" s="1072" t="s">
        <v>831</v>
      </c>
      <c r="D14" s="290">
        <v>816617556</v>
      </c>
      <c r="E14" s="290"/>
      <c r="F14" s="290">
        <f t="shared" si="0"/>
        <v>816617556</v>
      </c>
      <c r="G14" s="290"/>
      <c r="H14" s="290"/>
      <c r="I14" s="290"/>
      <c r="J14" s="290"/>
      <c r="K14" s="290"/>
      <c r="L14" s="290">
        <f t="shared" si="1"/>
        <v>816617556</v>
      </c>
    </row>
    <row r="15" spans="1:12" ht="21" customHeight="1" x14ac:dyDescent="0.35">
      <c r="B15" s="1071" t="s">
        <v>832</v>
      </c>
      <c r="C15" s="1072" t="s">
        <v>833</v>
      </c>
      <c r="D15" s="290">
        <v>1284009250</v>
      </c>
      <c r="E15" s="290"/>
      <c r="F15" s="290">
        <f t="shared" si="0"/>
        <v>1284009250</v>
      </c>
      <c r="G15" s="290"/>
      <c r="H15" s="290"/>
      <c r="I15" s="290"/>
      <c r="J15" s="290"/>
      <c r="K15" s="290"/>
      <c r="L15" s="290">
        <f t="shared" si="1"/>
        <v>1284009250</v>
      </c>
    </row>
    <row r="16" spans="1:12" ht="21" customHeight="1" x14ac:dyDescent="0.35">
      <c r="B16" s="1071" t="s">
        <v>262</v>
      </c>
      <c r="C16" s="1073" t="s">
        <v>263</v>
      </c>
      <c r="D16" s="290">
        <v>6487621000</v>
      </c>
      <c r="E16" s="290"/>
      <c r="F16" s="290">
        <f t="shared" si="0"/>
        <v>6487621000</v>
      </c>
      <c r="G16" s="290"/>
      <c r="H16" s="290"/>
      <c r="I16" s="290"/>
      <c r="J16" s="290"/>
      <c r="K16" s="290"/>
      <c r="L16" s="290">
        <f t="shared" si="1"/>
        <v>6487621000</v>
      </c>
    </row>
    <row r="17" spans="2:12" ht="21" customHeight="1" x14ac:dyDescent="0.35">
      <c r="B17" s="1071" t="s">
        <v>834</v>
      </c>
      <c r="C17" s="1072" t="s">
        <v>757</v>
      </c>
      <c r="D17" s="290">
        <v>8128141159</v>
      </c>
      <c r="E17" s="290"/>
      <c r="F17" s="290">
        <f t="shared" si="0"/>
        <v>8128141159</v>
      </c>
      <c r="G17" s="290"/>
      <c r="H17" s="290"/>
      <c r="I17" s="290"/>
      <c r="J17" s="290"/>
      <c r="K17" s="290"/>
      <c r="L17" s="290">
        <f t="shared" si="1"/>
        <v>8128141159</v>
      </c>
    </row>
    <row r="18" spans="2:12" ht="21" customHeight="1" x14ac:dyDescent="0.35">
      <c r="B18" s="1071" t="s">
        <v>215</v>
      </c>
      <c r="C18" s="1072" t="s">
        <v>216</v>
      </c>
      <c r="D18" s="290">
        <v>3873500000</v>
      </c>
      <c r="E18" s="290"/>
      <c r="F18" s="290">
        <f t="shared" si="0"/>
        <v>3873500000</v>
      </c>
      <c r="G18" s="290"/>
      <c r="H18" s="290"/>
      <c r="I18" s="290"/>
      <c r="J18" s="290"/>
      <c r="K18" s="290"/>
      <c r="L18" s="290">
        <f t="shared" si="1"/>
        <v>3873500000</v>
      </c>
    </row>
    <row r="19" spans="2:12" ht="21" customHeight="1" x14ac:dyDescent="0.35">
      <c r="B19" s="1071" t="s">
        <v>266</v>
      </c>
      <c r="C19" s="1072" t="s">
        <v>267</v>
      </c>
      <c r="D19" s="290">
        <v>17901100000</v>
      </c>
      <c r="E19" s="290"/>
      <c r="F19" s="290">
        <f t="shared" si="0"/>
        <v>17901100000</v>
      </c>
      <c r="G19" s="290"/>
      <c r="H19" s="290"/>
      <c r="I19" s="290"/>
      <c r="J19" s="290"/>
      <c r="K19" s="290"/>
      <c r="L19" s="290">
        <f t="shared" si="1"/>
        <v>17901100000</v>
      </c>
    </row>
    <row r="20" spans="2:12" ht="21" customHeight="1" x14ac:dyDescent="0.35">
      <c r="B20" s="1071" t="s">
        <v>269</v>
      </c>
      <c r="C20" s="1072" t="s">
        <v>270</v>
      </c>
      <c r="D20" s="290">
        <v>19237316222</v>
      </c>
      <c r="E20" s="290"/>
      <c r="F20" s="290">
        <f t="shared" si="0"/>
        <v>19237316222</v>
      </c>
      <c r="G20" s="290"/>
      <c r="H20" s="290"/>
      <c r="I20" s="290"/>
      <c r="J20" s="290"/>
      <c r="K20" s="290"/>
      <c r="L20" s="290">
        <f t="shared" si="1"/>
        <v>19237316222</v>
      </c>
    </row>
    <row r="21" spans="2:12" ht="21" customHeight="1" x14ac:dyDescent="0.35">
      <c r="B21" s="1071" t="s">
        <v>1059</v>
      </c>
      <c r="C21" s="1072" t="s">
        <v>64</v>
      </c>
      <c r="D21" s="290">
        <v>899652000</v>
      </c>
      <c r="E21" s="290"/>
      <c r="F21" s="290">
        <f t="shared" si="0"/>
        <v>899652000</v>
      </c>
      <c r="G21" s="290"/>
      <c r="H21" s="290"/>
      <c r="I21" s="290"/>
      <c r="J21" s="290"/>
      <c r="K21" s="290"/>
      <c r="L21" s="290">
        <f t="shared" si="1"/>
        <v>899652000</v>
      </c>
    </row>
    <row r="22" spans="2:12" ht="21" customHeight="1" x14ac:dyDescent="0.35">
      <c r="B22" s="1071" t="s">
        <v>835</v>
      </c>
      <c r="C22" s="1072" t="s">
        <v>836</v>
      </c>
      <c r="D22" s="290">
        <v>37946724972</v>
      </c>
      <c r="E22" s="290"/>
      <c r="F22" s="290">
        <f t="shared" si="0"/>
        <v>37946724972</v>
      </c>
      <c r="G22" s="290"/>
      <c r="H22" s="290"/>
      <c r="I22" s="290"/>
      <c r="J22" s="290"/>
      <c r="K22" s="290"/>
      <c r="L22" s="290">
        <f t="shared" si="1"/>
        <v>37946724972</v>
      </c>
    </row>
    <row r="23" spans="2:12" ht="21" customHeight="1" x14ac:dyDescent="0.35">
      <c r="B23" s="1071" t="s">
        <v>837</v>
      </c>
      <c r="C23" s="1072" t="s">
        <v>838</v>
      </c>
      <c r="D23" s="290">
        <v>8422214000</v>
      </c>
      <c r="E23" s="290"/>
      <c r="F23" s="290">
        <f t="shared" si="0"/>
        <v>8422214000</v>
      </c>
      <c r="G23" s="290"/>
      <c r="H23" s="290"/>
      <c r="I23" s="290"/>
      <c r="J23" s="290"/>
      <c r="K23" s="290"/>
      <c r="L23" s="290">
        <f t="shared" si="1"/>
        <v>8422214000</v>
      </c>
    </row>
    <row r="24" spans="2:12" ht="21" customHeight="1" x14ac:dyDescent="0.35">
      <c r="B24" s="1071" t="s">
        <v>839</v>
      </c>
      <c r="C24" s="1072" t="s">
        <v>840</v>
      </c>
      <c r="D24" s="290">
        <v>627198330</v>
      </c>
      <c r="E24" s="290"/>
      <c r="F24" s="290">
        <f t="shared" si="0"/>
        <v>627198330</v>
      </c>
      <c r="G24" s="290"/>
      <c r="H24" s="290"/>
      <c r="I24" s="290"/>
      <c r="J24" s="290"/>
      <c r="K24" s="290"/>
      <c r="L24" s="290">
        <f t="shared" si="1"/>
        <v>627198330</v>
      </c>
    </row>
    <row r="25" spans="2:12" ht="21" customHeight="1" x14ac:dyDescent="0.35">
      <c r="B25" s="1071" t="s">
        <v>841</v>
      </c>
      <c r="C25" s="1072" t="s">
        <v>842</v>
      </c>
      <c r="D25" s="290">
        <v>11331224274</v>
      </c>
      <c r="E25" s="290"/>
      <c r="F25" s="290">
        <f t="shared" si="0"/>
        <v>11331224274</v>
      </c>
      <c r="G25" s="290"/>
      <c r="H25" s="290"/>
      <c r="I25" s="290"/>
      <c r="J25" s="290"/>
      <c r="K25" s="290"/>
      <c r="L25" s="290">
        <f t="shared" si="1"/>
        <v>11331224274</v>
      </c>
    </row>
    <row r="26" spans="2:12" ht="21" customHeight="1" x14ac:dyDescent="0.35">
      <c r="B26" s="1071" t="s">
        <v>225</v>
      </c>
      <c r="C26" s="1072" t="s">
        <v>226</v>
      </c>
      <c r="D26" s="290">
        <v>1989585169</v>
      </c>
      <c r="E26" s="290"/>
      <c r="F26" s="290">
        <f t="shared" si="0"/>
        <v>1989585169</v>
      </c>
      <c r="G26" s="290"/>
      <c r="H26" s="290"/>
      <c r="I26" s="290"/>
      <c r="J26" s="290"/>
      <c r="K26" s="290"/>
      <c r="L26" s="290">
        <f t="shared" si="1"/>
        <v>1989585169</v>
      </c>
    </row>
    <row r="27" spans="2:12" ht="21" customHeight="1" x14ac:dyDescent="0.35">
      <c r="B27" s="1071" t="s">
        <v>272</v>
      </c>
      <c r="C27" s="1072" t="s">
        <v>273</v>
      </c>
      <c r="D27" s="290">
        <v>4087830000</v>
      </c>
      <c r="E27" s="290"/>
      <c r="F27" s="290">
        <f t="shared" si="0"/>
        <v>4087830000</v>
      </c>
      <c r="G27" s="290"/>
      <c r="H27" s="290"/>
      <c r="I27" s="290"/>
      <c r="J27" s="290"/>
      <c r="K27" s="290"/>
      <c r="L27" s="290">
        <f t="shared" si="1"/>
        <v>4087830000</v>
      </c>
    </row>
    <row r="28" spans="2:12" ht="36.6" customHeight="1" x14ac:dyDescent="0.35">
      <c r="B28" s="1071" t="s">
        <v>238</v>
      </c>
      <c r="C28" s="1074" t="s">
        <v>239</v>
      </c>
      <c r="D28" s="290">
        <v>1992508395</v>
      </c>
      <c r="E28" s="290"/>
      <c r="F28" s="290">
        <f t="shared" si="0"/>
        <v>1992508395</v>
      </c>
      <c r="G28" s="290"/>
      <c r="H28" s="290"/>
      <c r="I28" s="290"/>
      <c r="J28" s="290"/>
      <c r="K28" s="290"/>
      <c r="L28" s="290">
        <f t="shared" si="1"/>
        <v>1992508395</v>
      </c>
    </row>
    <row r="29" spans="2:12" ht="21" customHeight="1" x14ac:dyDescent="0.35">
      <c r="B29" s="1071" t="s">
        <v>275</v>
      </c>
      <c r="C29" s="1074" t="s">
        <v>276</v>
      </c>
      <c r="D29" s="290">
        <v>4597291224</v>
      </c>
      <c r="E29" s="290"/>
      <c r="F29" s="290">
        <f t="shared" si="0"/>
        <v>4597291224</v>
      </c>
      <c r="G29" s="290"/>
      <c r="H29" s="290"/>
      <c r="I29" s="290"/>
      <c r="J29" s="290"/>
      <c r="K29" s="290"/>
      <c r="L29" s="290">
        <f t="shared" si="1"/>
        <v>4597291224</v>
      </c>
    </row>
    <row r="30" spans="2:12" ht="28.15" customHeight="1" x14ac:dyDescent="0.35">
      <c r="B30" s="1071" t="s">
        <v>240</v>
      </c>
      <c r="C30" s="1073" t="s">
        <v>241</v>
      </c>
      <c r="D30" s="290">
        <v>1643584631</v>
      </c>
      <c r="E30" s="290"/>
      <c r="F30" s="290">
        <f t="shared" si="0"/>
        <v>1643584631</v>
      </c>
      <c r="G30" s="290"/>
      <c r="H30" s="290"/>
      <c r="I30" s="290"/>
      <c r="J30" s="290"/>
      <c r="K30" s="290"/>
      <c r="L30" s="290">
        <f t="shared" si="1"/>
        <v>1643584631</v>
      </c>
    </row>
    <row r="31" spans="2:12" ht="21" customHeight="1" x14ac:dyDescent="0.35">
      <c r="B31" s="1071" t="s">
        <v>843</v>
      </c>
      <c r="C31" s="1072" t="s">
        <v>844</v>
      </c>
      <c r="D31" s="290">
        <v>17577963742</v>
      </c>
      <c r="E31" s="290"/>
      <c r="F31" s="290">
        <f t="shared" si="0"/>
        <v>17577963742</v>
      </c>
      <c r="G31" s="290"/>
      <c r="H31" s="290"/>
      <c r="I31" s="290"/>
      <c r="J31" s="290"/>
      <c r="K31" s="290"/>
      <c r="L31" s="290">
        <f t="shared" si="1"/>
        <v>17577963742</v>
      </c>
    </row>
    <row r="32" spans="2:12" ht="21" customHeight="1" x14ac:dyDescent="0.35">
      <c r="B32" s="1071" t="s">
        <v>845</v>
      </c>
      <c r="C32" s="1072" t="s">
        <v>846</v>
      </c>
      <c r="D32" s="290">
        <v>1490102571</v>
      </c>
      <c r="E32" s="290"/>
      <c r="F32" s="290">
        <f t="shared" si="0"/>
        <v>1490102571</v>
      </c>
      <c r="G32" s="290"/>
      <c r="H32" s="290"/>
      <c r="I32" s="290"/>
      <c r="J32" s="290"/>
      <c r="K32" s="290"/>
      <c r="L32" s="290">
        <f t="shared" si="1"/>
        <v>1490102571</v>
      </c>
    </row>
    <row r="33" spans="1:14" ht="21" customHeight="1" x14ac:dyDescent="0.35">
      <c r="B33" s="1071" t="s">
        <v>242</v>
      </c>
      <c r="C33" s="1072" t="s">
        <v>243</v>
      </c>
      <c r="D33" s="290">
        <v>9349221225</v>
      </c>
      <c r="E33" s="290"/>
      <c r="F33" s="290">
        <f t="shared" si="0"/>
        <v>9349221225</v>
      </c>
      <c r="G33" s="290"/>
      <c r="H33" s="290"/>
      <c r="I33" s="290"/>
      <c r="J33" s="290"/>
      <c r="K33" s="290"/>
      <c r="L33" s="290">
        <f t="shared" si="1"/>
        <v>9349221225</v>
      </c>
    </row>
    <row r="34" spans="1:14" ht="21" customHeight="1" x14ac:dyDescent="0.35">
      <c r="B34" s="3759" t="s">
        <v>1008</v>
      </c>
      <c r="C34" s="3760"/>
      <c r="D34" s="301">
        <v>207877274224</v>
      </c>
      <c r="E34" s="301">
        <f t="shared" ref="E34:J34" si="2">SUM(E12:E33)</f>
        <v>0</v>
      </c>
      <c r="F34" s="301">
        <f t="shared" si="2"/>
        <v>207877274224</v>
      </c>
      <c r="G34" s="301">
        <f t="shared" si="2"/>
        <v>0</v>
      </c>
      <c r="H34" s="301">
        <f t="shared" si="2"/>
        <v>0</v>
      </c>
      <c r="I34" s="301">
        <f t="shared" si="2"/>
        <v>0</v>
      </c>
      <c r="J34" s="301">
        <f t="shared" si="2"/>
        <v>0</v>
      </c>
      <c r="K34" s="301"/>
      <c r="L34" s="301">
        <f>SUM(L12:L33)</f>
        <v>207877274224</v>
      </c>
      <c r="N34" s="744">
        <f>SUM(D12:D33)</f>
        <v>207877274224</v>
      </c>
    </row>
    <row r="35" spans="1:14" ht="15" customHeight="1" x14ac:dyDescent="0.4">
      <c r="B35" s="3773">
        <v>60000000</v>
      </c>
      <c r="C35" s="3773"/>
      <c r="D35" s="3773"/>
      <c r="E35" s="3774"/>
      <c r="F35" s="3774"/>
      <c r="G35" s="3773"/>
      <c r="H35" s="3774"/>
      <c r="I35" s="3774"/>
      <c r="J35" s="3774"/>
      <c r="K35" s="3774"/>
      <c r="L35" s="3773"/>
    </row>
    <row r="36" spans="1:14" ht="15.6" customHeight="1" x14ac:dyDescent="0.35">
      <c r="B36" s="3761" t="s">
        <v>24</v>
      </c>
      <c r="C36" s="3761"/>
      <c r="D36" s="3761"/>
      <c r="E36" s="3761"/>
      <c r="F36" s="3761"/>
      <c r="G36" s="3761"/>
      <c r="H36" s="3761"/>
      <c r="I36" s="3761"/>
      <c r="J36" s="3761"/>
      <c r="K36" s="3761"/>
      <c r="L36" s="3761"/>
    </row>
    <row r="37" spans="1:14" ht="15.6" customHeight="1" x14ac:dyDescent="0.35">
      <c r="B37" s="3761" t="s">
        <v>45</v>
      </c>
      <c r="C37" s="3761"/>
      <c r="D37" s="3761"/>
      <c r="E37" s="3761"/>
      <c r="F37" s="3761"/>
      <c r="G37" s="3761"/>
      <c r="H37" s="3761"/>
      <c r="I37" s="3761"/>
      <c r="J37" s="3761"/>
      <c r="K37" s="3761"/>
      <c r="L37" s="3761"/>
    </row>
    <row r="38" spans="1:14" ht="15.6" customHeight="1" x14ac:dyDescent="0.35">
      <c r="B38" s="3761" t="s">
        <v>337</v>
      </c>
      <c r="C38" s="3761"/>
      <c r="D38" s="3761"/>
      <c r="E38" s="3761"/>
      <c r="F38" s="3761"/>
      <c r="G38" s="3761"/>
      <c r="H38" s="3761"/>
      <c r="I38" s="3761"/>
      <c r="J38" s="3761"/>
      <c r="K38" s="3761"/>
      <c r="L38" s="3761"/>
    </row>
    <row r="39" spans="1:14" ht="15.6" customHeight="1" x14ac:dyDescent="0.35">
      <c r="B39" s="3761" t="s">
        <v>1994</v>
      </c>
      <c r="C39" s="3761"/>
      <c r="D39" s="3761"/>
      <c r="E39" s="3761"/>
      <c r="F39" s="3761"/>
      <c r="G39" s="3761"/>
      <c r="H39" s="3761"/>
      <c r="I39" s="3761"/>
      <c r="J39" s="3761"/>
      <c r="K39" s="3761"/>
      <c r="L39" s="3761"/>
    </row>
    <row r="40" spans="1:14" ht="14.45" customHeight="1" x14ac:dyDescent="0.35">
      <c r="B40" s="937"/>
      <c r="C40" s="937"/>
      <c r="D40" s="1230"/>
      <c r="E40" s="1230"/>
      <c r="F40" s="1230"/>
      <c r="G40" s="1230"/>
      <c r="H40" s="1230"/>
      <c r="I40" s="1230"/>
      <c r="J40" s="1230"/>
      <c r="K40" s="1230"/>
      <c r="L40" s="1230"/>
    </row>
    <row r="41" spans="1:14" ht="14.45" customHeight="1" x14ac:dyDescent="0.35">
      <c r="B41" s="1075" t="s">
        <v>1075</v>
      </c>
      <c r="C41" s="1075"/>
      <c r="D41" s="1237"/>
      <c r="E41" s="1403"/>
      <c r="F41" s="1403"/>
      <c r="G41" s="1230"/>
      <c r="H41" s="1230"/>
      <c r="I41" s="1230"/>
      <c r="J41" s="1230"/>
      <c r="K41" s="1230"/>
      <c r="L41" s="1235" t="s">
        <v>194</v>
      </c>
    </row>
    <row r="42" spans="1:14" ht="25.5" customHeight="1" x14ac:dyDescent="0.4">
      <c r="A42" s="1076"/>
      <c r="B42" s="3772" t="s">
        <v>53</v>
      </c>
      <c r="C42" s="3768" t="s">
        <v>54</v>
      </c>
      <c r="D42" s="3755" t="s">
        <v>1246</v>
      </c>
      <c r="E42" s="3756" t="s">
        <v>1116</v>
      </c>
      <c r="F42" s="3770" t="s">
        <v>1921</v>
      </c>
      <c r="G42" s="3755" t="s">
        <v>991</v>
      </c>
      <c r="H42" s="3756" t="s">
        <v>1859</v>
      </c>
      <c r="I42" s="3756" t="s">
        <v>1375</v>
      </c>
      <c r="J42" s="3756" t="s">
        <v>1860</v>
      </c>
      <c r="K42" s="3756" t="s">
        <v>898</v>
      </c>
      <c r="L42" s="3755" t="s">
        <v>1995</v>
      </c>
    </row>
    <row r="43" spans="1:14" ht="67.900000000000006" customHeight="1" x14ac:dyDescent="0.4">
      <c r="A43" s="1076"/>
      <c r="B43" s="3772"/>
      <c r="C43" s="3768"/>
      <c r="D43" s="3755"/>
      <c r="E43" s="3757"/>
      <c r="F43" s="3771"/>
      <c r="G43" s="3755"/>
      <c r="H43" s="3757"/>
      <c r="I43" s="3757"/>
      <c r="J43" s="3757"/>
      <c r="K43" s="3757"/>
      <c r="L43" s="3755"/>
    </row>
    <row r="44" spans="1:14" ht="17.25" customHeight="1" x14ac:dyDescent="0.45">
      <c r="B44" s="3775" t="s">
        <v>181</v>
      </c>
      <c r="C44" s="3776"/>
      <c r="D44" s="1236">
        <f t="shared" ref="D44:L44" si="3">D34</f>
        <v>207877274224</v>
      </c>
      <c r="E44" s="1236">
        <f t="shared" si="3"/>
        <v>0</v>
      </c>
      <c r="F44" s="1236">
        <f t="shared" si="3"/>
        <v>207877274224</v>
      </c>
      <c r="G44" s="1236">
        <f t="shared" si="3"/>
        <v>0</v>
      </c>
      <c r="H44" s="1236">
        <f t="shared" si="3"/>
        <v>0</v>
      </c>
      <c r="I44" s="1236">
        <f t="shared" si="3"/>
        <v>0</v>
      </c>
      <c r="J44" s="1236">
        <f t="shared" si="3"/>
        <v>0</v>
      </c>
      <c r="K44" s="1236"/>
      <c r="L44" s="1236">
        <f t="shared" si="3"/>
        <v>207877274224</v>
      </c>
    </row>
    <row r="45" spans="1:14" ht="21" customHeight="1" x14ac:dyDescent="0.35">
      <c r="B45" s="1330" t="s">
        <v>278</v>
      </c>
      <c r="C45" s="1326" t="s">
        <v>279</v>
      </c>
      <c r="D45" s="1221">
        <v>1711754895</v>
      </c>
      <c r="E45" s="1221"/>
      <c r="F45" s="1221">
        <f>D45+E45</f>
        <v>1711754895</v>
      </c>
      <c r="G45" s="1221"/>
      <c r="H45" s="1221"/>
      <c r="I45" s="1221"/>
      <c r="J45" s="1221"/>
      <c r="K45" s="1221"/>
      <c r="L45" s="290">
        <f>D45+I45+G45+J45+H45+E45+K45</f>
        <v>1711754895</v>
      </c>
    </row>
    <row r="46" spans="1:14" ht="21" customHeight="1" x14ac:dyDescent="0.35">
      <c r="B46" s="1330" t="s">
        <v>281</v>
      </c>
      <c r="C46" s="1326" t="s">
        <v>227</v>
      </c>
      <c r="D46" s="1221">
        <v>19234177605</v>
      </c>
      <c r="E46" s="1221"/>
      <c r="F46" s="1221">
        <f t="shared" ref="F46:F70" si="4">D46+E46</f>
        <v>19234177605</v>
      </c>
      <c r="G46" s="1221"/>
      <c r="H46" s="1221"/>
      <c r="I46" s="1221"/>
      <c r="J46" s="1221"/>
      <c r="K46" s="1221"/>
      <c r="L46" s="290">
        <f t="shared" ref="L46:L71" si="5">D46+I46+G46+J46+H46+E46+K46</f>
        <v>19234177605</v>
      </c>
    </row>
    <row r="47" spans="1:14" ht="21" customHeight="1" x14ac:dyDescent="0.35">
      <c r="B47" s="1330" t="s">
        <v>849</v>
      </c>
      <c r="C47" s="1326" t="s">
        <v>850</v>
      </c>
      <c r="D47" s="1221">
        <v>69272280</v>
      </c>
      <c r="E47" s="1221"/>
      <c r="F47" s="1221">
        <f t="shared" si="4"/>
        <v>69272280</v>
      </c>
      <c r="G47" s="1221"/>
      <c r="H47" s="1221"/>
      <c r="I47" s="1221"/>
      <c r="J47" s="1221"/>
      <c r="K47" s="1221"/>
      <c r="L47" s="290">
        <f t="shared" si="5"/>
        <v>69272280</v>
      </c>
    </row>
    <row r="48" spans="1:14" ht="21" customHeight="1" x14ac:dyDescent="0.35">
      <c r="B48" s="1330" t="s">
        <v>851</v>
      </c>
      <c r="C48" s="1326" t="s">
        <v>852</v>
      </c>
      <c r="D48" s="1221">
        <v>573754333</v>
      </c>
      <c r="E48" s="1221"/>
      <c r="F48" s="1221">
        <f t="shared" si="4"/>
        <v>573754333</v>
      </c>
      <c r="G48" s="1221"/>
      <c r="H48" s="1221"/>
      <c r="I48" s="1221"/>
      <c r="J48" s="1221"/>
      <c r="K48" s="1221"/>
      <c r="L48" s="290">
        <f t="shared" si="5"/>
        <v>573754333</v>
      </c>
    </row>
    <row r="49" spans="2:12" ht="21" customHeight="1" x14ac:dyDescent="0.35">
      <c r="B49" s="1330" t="s">
        <v>357</v>
      </c>
      <c r="C49" s="1326" t="s">
        <v>358</v>
      </c>
      <c r="D49" s="1221">
        <v>4045737723</v>
      </c>
      <c r="E49" s="1221"/>
      <c r="F49" s="1221">
        <f t="shared" si="4"/>
        <v>4045737723</v>
      </c>
      <c r="G49" s="1221"/>
      <c r="H49" s="1221"/>
      <c r="I49" s="1221"/>
      <c r="J49" s="1221"/>
      <c r="K49" s="1221"/>
      <c r="L49" s="290">
        <f t="shared" si="5"/>
        <v>4045737723</v>
      </c>
    </row>
    <row r="50" spans="2:12" ht="21" customHeight="1" x14ac:dyDescent="0.35">
      <c r="B50" s="1330" t="s">
        <v>283</v>
      </c>
      <c r="C50" s="1326" t="s">
        <v>284</v>
      </c>
      <c r="D50" s="1221">
        <v>6271695050</v>
      </c>
      <c r="E50" s="1221"/>
      <c r="F50" s="1221">
        <f t="shared" si="4"/>
        <v>6271695050</v>
      </c>
      <c r="G50" s="1221"/>
      <c r="H50" s="1221"/>
      <c r="I50" s="1221"/>
      <c r="J50" s="1221"/>
      <c r="K50" s="1221"/>
      <c r="L50" s="290">
        <f t="shared" si="5"/>
        <v>6271695050</v>
      </c>
    </row>
    <row r="51" spans="2:12" ht="21" customHeight="1" x14ac:dyDescent="0.35">
      <c r="B51" s="1330" t="s">
        <v>857</v>
      </c>
      <c r="C51" s="1326" t="s">
        <v>858</v>
      </c>
      <c r="D51" s="1221">
        <v>1300814800</v>
      </c>
      <c r="E51" s="1221"/>
      <c r="F51" s="1221">
        <f t="shared" si="4"/>
        <v>1300814800</v>
      </c>
      <c r="G51" s="1221"/>
      <c r="H51" s="1221"/>
      <c r="I51" s="1221"/>
      <c r="J51" s="1221"/>
      <c r="K51" s="1221"/>
      <c r="L51" s="290">
        <f t="shared" si="5"/>
        <v>1300814800</v>
      </c>
    </row>
    <row r="52" spans="2:12" ht="21" customHeight="1" x14ac:dyDescent="0.35">
      <c r="B52" s="1330" t="s">
        <v>430</v>
      </c>
      <c r="C52" s="1326" t="s">
        <v>431</v>
      </c>
      <c r="D52" s="1221">
        <v>1200000000</v>
      </c>
      <c r="E52" s="1221"/>
      <c r="F52" s="1221">
        <f t="shared" si="4"/>
        <v>1200000000</v>
      </c>
      <c r="G52" s="1221"/>
      <c r="H52" s="1221"/>
      <c r="I52" s="1221"/>
      <c r="J52" s="1221"/>
      <c r="K52" s="1221"/>
      <c r="L52" s="290">
        <f t="shared" si="5"/>
        <v>1200000000</v>
      </c>
    </row>
    <row r="53" spans="2:12" ht="21" customHeight="1" x14ac:dyDescent="0.35">
      <c r="B53" s="1330" t="s">
        <v>859</v>
      </c>
      <c r="C53" s="1326" t="s">
        <v>860</v>
      </c>
      <c r="D53" s="1221">
        <v>1711770730</v>
      </c>
      <c r="E53" s="1221"/>
      <c r="F53" s="1221">
        <f t="shared" si="4"/>
        <v>1711770730</v>
      </c>
      <c r="G53" s="1221"/>
      <c r="H53" s="1221"/>
      <c r="I53" s="1221"/>
      <c r="J53" s="1221"/>
      <c r="K53" s="1221"/>
      <c r="L53" s="290">
        <f t="shared" si="5"/>
        <v>1711770730</v>
      </c>
    </row>
    <row r="54" spans="2:12" ht="21" customHeight="1" x14ac:dyDescent="0.4">
      <c r="B54" s="1325" t="s">
        <v>244</v>
      </c>
      <c r="C54" s="1326" t="s">
        <v>245</v>
      </c>
      <c r="D54" s="1221">
        <v>2611526961</v>
      </c>
      <c r="E54" s="1221"/>
      <c r="F54" s="1221">
        <f t="shared" si="4"/>
        <v>2611526961</v>
      </c>
      <c r="G54" s="1221"/>
      <c r="H54" s="1221"/>
      <c r="I54" s="1221"/>
      <c r="J54" s="1221"/>
      <c r="K54" s="1221"/>
      <c r="L54" s="290">
        <f t="shared" si="5"/>
        <v>2611526961</v>
      </c>
    </row>
    <row r="55" spans="2:12" ht="21" customHeight="1" x14ac:dyDescent="0.4">
      <c r="B55" s="1325" t="s">
        <v>217</v>
      </c>
      <c r="C55" s="1326" t="s">
        <v>218</v>
      </c>
      <c r="D55" s="1221">
        <v>21300873248</v>
      </c>
      <c r="E55" s="1221"/>
      <c r="F55" s="1221">
        <f t="shared" si="4"/>
        <v>21300873248</v>
      </c>
      <c r="G55" s="1221"/>
      <c r="H55" s="1221"/>
      <c r="I55" s="1221"/>
      <c r="J55" s="1221"/>
      <c r="K55" s="1221"/>
      <c r="L55" s="290">
        <f t="shared" si="5"/>
        <v>21300873248</v>
      </c>
    </row>
    <row r="56" spans="2:12" ht="21" customHeight="1" x14ac:dyDescent="0.4">
      <c r="B56" s="1327">
        <v>40202125</v>
      </c>
      <c r="C56" s="1326" t="s">
        <v>252</v>
      </c>
      <c r="D56" s="1221">
        <v>2169702838</v>
      </c>
      <c r="E56" s="1221"/>
      <c r="F56" s="1221">
        <f t="shared" si="4"/>
        <v>2169702838</v>
      </c>
      <c r="G56" s="1221"/>
      <c r="H56" s="1221"/>
      <c r="I56" s="1221"/>
      <c r="J56" s="1221"/>
      <c r="K56" s="1221"/>
      <c r="L56" s="290">
        <f t="shared" si="5"/>
        <v>2169702838</v>
      </c>
    </row>
    <row r="57" spans="2:12" ht="21" customHeight="1" x14ac:dyDescent="0.4">
      <c r="B57" s="1325" t="s">
        <v>861</v>
      </c>
      <c r="C57" s="1326" t="s">
        <v>862</v>
      </c>
      <c r="D57" s="1221">
        <v>1031835499</v>
      </c>
      <c r="E57" s="1221"/>
      <c r="F57" s="1221">
        <f t="shared" si="4"/>
        <v>1031835499</v>
      </c>
      <c r="G57" s="1221"/>
      <c r="H57" s="1221"/>
      <c r="I57" s="1221"/>
      <c r="J57" s="1221"/>
      <c r="K57" s="1221"/>
      <c r="L57" s="290">
        <f t="shared" si="5"/>
        <v>1031835499</v>
      </c>
    </row>
    <row r="58" spans="2:12" ht="21" customHeight="1" x14ac:dyDescent="0.4">
      <c r="B58" s="1325" t="s">
        <v>863</v>
      </c>
      <c r="C58" s="1326" t="s">
        <v>864</v>
      </c>
      <c r="D58" s="1221">
        <v>102358615</v>
      </c>
      <c r="E58" s="1221"/>
      <c r="F58" s="1221">
        <f t="shared" si="4"/>
        <v>102358615</v>
      </c>
      <c r="G58" s="1221"/>
      <c r="H58" s="1221"/>
      <c r="I58" s="1221"/>
      <c r="J58" s="1221"/>
      <c r="K58" s="1221"/>
      <c r="L58" s="290">
        <f t="shared" si="5"/>
        <v>102358615</v>
      </c>
    </row>
    <row r="59" spans="2:12" ht="21" customHeight="1" x14ac:dyDescent="0.4">
      <c r="B59" s="1327">
        <v>31002303</v>
      </c>
      <c r="C59" s="1326" t="s">
        <v>865</v>
      </c>
      <c r="D59" s="1221">
        <v>298316492</v>
      </c>
      <c r="E59" s="1221"/>
      <c r="F59" s="1221">
        <f t="shared" si="4"/>
        <v>298316492</v>
      </c>
      <c r="G59" s="1221"/>
      <c r="H59" s="1221"/>
      <c r="I59" s="1221"/>
      <c r="J59" s="1221"/>
      <c r="K59" s="1221"/>
      <c r="L59" s="290">
        <f t="shared" si="5"/>
        <v>298316492</v>
      </c>
    </row>
    <row r="60" spans="2:12" ht="21" customHeight="1" x14ac:dyDescent="0.4">
      <c r="B60" s="1325" t="s">
        <v>872</v>
      </c>
      <c r="C60" s="1326" t="s">
        <v>537</v>
      </c>
      <c r="D60" s="1221">
        <v>1000000000</v>
      </c>
      <c r="E60" s="1221"/>
      <c r="F60" s="1221">
        <f t="shared" si="4"/>
        <v>1000000000</v>
      </c>
      <c r="G60" s="1221"/>
      <c r="H60" s="1221"/>
      <c r="I60" s="1221"/>
      <c r="J60" s="1221"/>
      <c r="K60" s="1221"/>
      <c r="L60" s="290">
        <f t="shared" si="5"/>
        <v>1000000000</v>
      </c>
    </row>
    <row r="61" spans="2:12" ht="21" customHeight="1" x14ac:dyDescent="0.4">
      <c r="B61" s="1325" t="s">
        <v>329</v>
      </c>
      <c r="C61" s="1326" t="s">
        <v>370</v>
      </c>
      <c r="D61" s="1221">
        <v>2475000000</v>
      </c>
      <c r="E61" s="1221"/>
      <c r="F61" s="1221">
        <f t="shared" si="4"/>
        <v>2475000000</v>
      </c>
      <c r="G61" s="1221"/>
      <c r="H61" s="1221"/>
      <c r="I61" s="1221"/>
      <c r="J61" s="1221"/>
      <c r="K61" s="1221"/>
      <c r="L61" s="290">
        <f t="shared" si="5"/>
        <v>2475000000</v>
      </c>
    </row>
    <row r="62" spans="2:12" ht="21" customHeight="1" x14ac:dyDescent="0.4">
      <c r="B62" s="1325" t="s">
        <v>250</v>
      </c>
      <c r="C62" s="1326" t="s">
        <v>873</v>
      </c>
      <c r="D62" s="1221">
        <v>1500000000</v>
      </c>
      <c r="E62" s="1221"/>
      <c r="F62" s="1221">
        <f t="shared" si="4"/>
        <v>1500000000</v>
      </c>
      <c r="G62" s="1221"/>
      <c r="H62" s="1221"/>
      <c r="I62" s="1221"/>
      <c r="J62" s="1221"/>
      <c r="K62" s="1221"/>
      <c r="L62" s="290">
        <f t="shared" si="5"/>
        <v>1500000000</v>
      </c>
    </row>
    <row r="63" spans="2:12" ht="21" customHeight="1" x14ac:dyDescent="0.4">
      <c r="B63" s="1325" t="s">
        <v>876</v>
      </c>
      <c r="C63" s="1326" t="s">
        <v>877</v>
      </c>
      <c r="D63" s="1221">
        <v>3000000000</v>
      </c>
      <c r="E63" s="1221"/>
      <c r="F63" s="1221">
        <f t="shared" si="4"/>
        <v>3000000000</v>
      </c>
      <c r="G63" s="1221"/>
      <c r="H63" s="1221"/>
      <c r="I63" s="1221"/>
      <c r="J63" s="1221"/>
      <c r="K63" s="1221"/>
      <c r="L63" s="290">
        <f t="shared" si="5"/>
        <v>3000000000</v>
      </c>
    </row>
    <row r="64" spans="2:12" ht="21" customHeight="1" x14ac:dyDescent="0.4">
      <c r="B64" s="1325" t="s">
        <v>251</v>
      </c>
      <c r="C64" s="1326" t="s">
        <v>220</v>
      </c>
      <c r="D64" s="1221">
        <v>3864877988</v>
      </c>
      <c r="E64" s="1221"/>
      <c r="F64" s="1221">
        <f t="shared" si="4"/>
        <v>3864877988</v>
      </c>
      <c r="G64" s="1221"/>
      <c r="H64" s="1221"/>
      <c r="I64" s="1221"/>
      <c r="J64" s="1221"/>
      <c r="K64" s="1221"/>
      <c r="L64" s="290">
        <f t="shared" si="5"/>
        <v>3864877988</v>
      </c>
    </row>
    <row r="65" spans="2:15" ht="21" customHeight="1" x14ac:dyDescent="0.4">
      <c r="B65" s="1325" t="s">
        <v>878</v>
      </c>
      <c r="C65" s="1326" t="s">
        <v>923</v>
      </c>
      <c r="D65" s="1221">
        <v>3619000000</v>
      </c>
      <c r="E65" s="1221"/>
      <c r="F65" s="1221">
        <f t="shared" si="4"/>
        <v>3619000000</v>
      </c>
      <c r="G65" s="1221"/>
      <c r="H65" s="1221"/>
      <c r="I65" s="1221"/>
      <c r="J65" s="1221"/>
      <c r="K65" s="1221"/>
      <c r="L65" s="290">
        <f t="shared" si="5"/>
        <v>3619000000</v>
      </c>
    </row>
    <row r="66" spans="2:15" ht="21" customHeight="1" x14ac:dyDescent="0.35">
      <c r="B66" s="722">
        <v>1307006001</v>
      </c>
      <c r="C66" s="723" t="s">
        <v>87</v>
      </c>
      <c r="D66" s="1221">
        <v>350495212069</v>
      </c>
      <c r="E66" s="1221"/>
      <c r="F66" s="1221">
        <f t="shared" si="4"/>
        <v>350495212069</v>
      </c>
      <c r="G66" s="1221">
        <v>13412068761</v>
      </c>
      <c r="H66" s="1221"/>
      <c r="I66" s="1221"/>
      <c r="J66" s="1221">
        <f>'مطالبات بلند مدت دولت ياددا (2)'!D32</f>
        <v>38485338621</v>
      </c>
      <c r="K66" s="1221"/>
      <c r="L66" s="290">
        <f>D66+I66+G66+J66+H66+E66+K66</f>
        <v>402392619451</v>
      </c>
    </row>
    <row r="67" spans="2:15" ht="21" customHeight="1" x14ac:dyDescent="0.4">
      <c r="B67" s="1325" t="s">
        <v>63</v>
      </c>
      <c r="C67" s="1326" t="s">
        <v>64</v>
      </c>
      <c r="D67" s="1221">
        <v>15240432479</v>
      </c>
      <c r="E67" s="1221"/>
      <c r="F67" s="1221">
        <f t="shared" si="4"/>
        <v>15240432479</v>
      </c>
      <c r="G67" s="1221"/>
      <c r="H67" s="1221"/>
      <c r="I67" s="1221"/>
      <c r="J67" s="1221"/>
      <c r="K67" s="1221"/>
      <c r="L67" s="290">
        <f t="shared" si="5"/>
        <v>15240432479</v>
      </c>
    </row>
    <row r="68" spans="2:15" ht="21" customHeight="1" x14ac:dyDescent="0.4">
      <c r="B68" s="1325" t="s">
        <v>292</v>
      </c>
      <c r="C68" s="1326" t="s">
        <v>293</v>
      </c>
      <c r="D68" s="1221">
        <v>1998000000</v>
      </c>
      <c r="E68" s="1221"/>
      <c r="F68" s="1221">
        <f t="shared" si="4"/>
        <v>1998000000</v>
      </c>
      <c r="G68" s="1221"/>
      <c r="H68" s="1221"/>
      <c r="I68" s="1221"/>
      <c r="J68" s="1221"/>
      <c r="K68" s="1221"/>
      <c r="L68" s="290">
        <f t="shared" si="5"/>
        <v>1998000000</v>
      </c>
    </row>
    <row r="69" spans="2:15" ht="21.6" customHeight="1" x14ac:dyDescent="0.4">
      <c r="B69" s="1325" t="s">
        <v>164</v>
      </c>
      <c r="C69" s="1326" t="s">
        <v>211</v>
      </c>
      <c r="D69" s="1221">
        <v>22584840289</v>
      </c>
      <c r="E69" s="1221"/>
      <c r="F69" s="1221">
        <f t="shared" si="4"/>
        <v>22584840289</v>
      </c>
      <c r="G69" s="1221"/>
      <c r="H69" s="1221"/>
      <c r="I69" s="1221"/>
      <c r="J69" s="1221"/>
      <c r="K69" s="1221"/>
      <c r="L69" s="290">
        <f t="shared" si="5"/>
        <v>22584840289</v>
      </c>
    </row>
    <row r="70" spans="2:15" ht="21.6" customHeight="1" x14ac:dyDescent="0.4">
      <c r="B70" s="1325" t="s">
        <v>107</v>
      </c>
      <c r="C70" s="1326" t="s">
        <v>108</v>
      </c>
      <c r="D70" s="1221">
        <v>92692581367</v>
      </c>
      <c r="E70" s="1221"/>
      <c r="F70" s="1221">
        <f t="shared" si="4"/>
        <v>92692581367</v>
      </c>
      <c r="G70" s="1221"/>
      <c r="H70" s="1221"/>
      <c r="I70" s="1221"/>
      <c r="J70" s="1221"/>
      <c r="K70" s="1221"/>
      <c r="L70" s="290">
        <f t="shared" si="5"/>
        <v>92692581367</v>
      </c>
    </row>
    <row r="71" spans="2:15" ht="21.6" customHeight="1" x14ac:dyDescent="0.4">
      <c r="B71" s="1325" t="s">
        <v>165</v>
      </c>
      <c r="C71" s="1326" t="s">
        <v>212</v>
      </c>
      <c r="D71" s="1221">
        <v>14972000000</v>
      </c>
      <c r="E71" s="1221"/>
      <c r="F71" s="1221">
        <f>D71+E71</f>
        <v>14972000000</v>
      </c>
      <c r="G71" s="1221"/>
      <c r="H71" s="1221"/>
      <c r="I71" s="1221"/>
      <c r="J71" s="1221"/>
      <c r="K71" s="1221"/>
      <c r="L71" s="290">
        <f t="shared" si="5"/>
        <v>14972000000</v>
      </c>
    </row>
    <row r="72" spans="2:15" ht="15.75" customHeight="1" x14ac:dyDescent="0.35">
      <c r="B72" s="3759" t="s">
        <v>94</v>
      </c>
      <c r="C72" s="3760"/>
      <c r="D72" s="301">
        <f t="shared" ref="D72:L72" si="6">SUM(D44:D71)</f>
        <v>784952809485</v>
      </c>
      <c r="E72" s="301">
        <f t="shared" si="6"/>
        <v>0</v>
      </c>
      <c r="F72" s="301">
        <f t="shared" si="6"/>
        <v>784952809485</v>
      </c>
      <c r="G72" s="301">
        <f t="shared" si="6"/>
        <v>13412068761</v>
      </c>
      <c r="H72" s="301">
        <f t="shared" si="6"/>
        <v>0</v>
      </c>
      <c r="I72" s="301">
        <f t="shared" si="6"/>
        <v>0</v>
      </c>
      <c r="J72" s="301">
        <f t="shared" si="6"/>
        <v>38485338621</v>
      </c>
      <c r="K72" s="301"/>
      <c r="L72" s="301">
        <f t="shared" si="6"/>
        <v>836850216867</v>
      </c>
      <c r="O72" s="744">
        <f>SUM(D44:D68)</f>
        <v>654703387829</v>
      </c>
    </row>
    <row r="73" spans="2:15" ht="16.149999999999999" customHeight="1" x14ac:dyDescent="0.4">
      <c r="B73" s="3769">
        <v>61000000</v>
      </c>
      <c r="C73" s="3769"/>
      <c r="D73" s="3769"/>
      <c r="E73" s="3769"/>
      <c r="F73" s="3769"/>
      <c r="G73" s="3769"/>
      <c r="H73" s="3769"/>
      <c r="I73" s="3769"/>
      <c r="J73" s="3769"/>
      <c r="K73" s="3769"/>
      <c r="L73" s="3769"/>
    </row>
    <row r="74" spans="2:15" ht="16.149999999999999" customHeight="1" x14ac:dyDescent="0.35">
      <c r="B74" s="3761" t="s">
        <v>24</v>
      </c>
      <c r="C74" s="3761"/>
      <c r="D74" s="3761"/>
      <c r="E74" s="3761"/>
      <c r="F74" s="3761"/>
      <c r="G74" s="3761"/>
      <c r="H74" s="3761"/>
      <c r="I74" s="3761"/>
      <c r="J74" s="3761"/>
      <c r="K74" s="3761"/>
      <c r="L74" s="3761"/>
    </row>
    <row r="75" spans="2:15" ht="16.149999999999999" customHeight="1" x14ac:dyDescent="0.35">
      <c r="B75" s="3761" t="s">
        <v>45</v>
      </c>
      <c r="C75" s="3761"/>
      <c r="D75" s="3761"/>
      <c r="E75" s="3761"/>
      <c r="F75" s="3761"/>
      <c r="G75" s="3761"/>
      <c r="H75" s="3761"/>
      <c r="I75" s="3761"/>
      <c r="J75" s="3761"/>
      <c r="K75" s="3761"/>
      <c r="L75" s="3761"/>
    </row>
    <row r="76" spans="2:15" ht="16.149999999999999" customHeight="1" x14ac:dyDescent="0.35">
      <c r="B76" s="3761" t="s">
        <v>337</v>
      </c>
      <c r="C76" s="3761"/>
      <c r="D76" s="3761"/>
      <c r="E76" s="3761"/>
      <c r="F76" s="3761"/>
      <c r="G76" s="3761"/>
      <c r="H76" s="3761"/>
      <c r="I76" s="3761"/>
      <c r="J76" s="3761"/>
      <c r="K76" s="3761"/>
      <c r="L76" s="3761"/>
    </row>
    <row r="77" spans="2:15" ht="16.149999999999999" customHeight="1" x14ac:dyDescent="0.35">
      <c r="B77" s="3761" t="s">
        <v>1994</v>
      </c>
      <c r="C77" s="3761"/>
      <c r="D77" s="3761"/>
      <c r="E77" s="3761"/>
      <c r="F77" s="3761"/>
      <c r="G77" s="3761"/>
      <c r="H77" s="3761"/>
      <c r="I77" s="3761"/>
      <c r="J77" s="3761"/>
      <c r="K77" s="3761"/>
      <c r="L77" s="3761"/>
    </row>
    <row r="78" spans="2:15" ht="16.149999999999999" customHeight="1" x14ac:dyDescent="0.35">
      <c r="B78" s="937"/>
      <c r="C78" s="937"/>
      <c r="D78" s="1230"/>
      <c r="E78" s="1230"/>
      <c r="F78" s="1230"/>
      <c r="G78" s="1230"/>
      <c r="H78" s="1230"/>
      <c r="I78" s="1230"/>
      <c r="J78" s="1230"/>
      <c r="K78" s="1230"/>
      <c r="L78" s="1230"/>
    </row>
    <row r="79" spans="2:15" ht="22.15" customHeight="1" x14ac:dyDescent="0.35">
      <c r="B79" s="1075" t="s">
        <v>1075</v>
      </c>
      <c r="C79" s="1075"/>
      <c r="D79" s="1237"/>
      <c r="E79" s="1403"/>
      <c r="F79" s="1403"/>
      <c r="G79" s="1230"/>
      <c r="H79" s="1230"/>
      <c r="I79" s="1230"/>
      <c r="J79" s="1230"/>
      <c r="K79" s="1230"/>
      <c r="L79" s="1235" t="s">
        <v>194</v>
      </c>
    </row>
    <row r="80" spans="2:15" ht="24" customHeight="1" x14ac:dyDescent="0.35">
      <c r="B80" s="3772" t="s">
        <v>53</v>
      </c>
      <c r="C80" s="3768" t="s">
        <v>54</v>
      </c>
      <c r="D80" s="3755" t="s">
        <v>1246</v>
      </c>
      <c r="E80" s="3756" t="s">
        <v>1116</v>
      </c>
      <c r="F80" s="3770" t="s">
        <v>1921</v>
      </c>
      <c r="G80" s="3755" t="s">
        <v>991</v>
      </c>
      <c r="H80" s="3756" t="s">
        <v>1859</v>
      </c>
      <c r="I80" s="3756" t="s">
        <v>1375</v>
      </c>
      <c r="J80" s="3756" t="s">
        <v>1860</v>
      </c>
      <c r="K80" s="3756" t="s">
        <v>898</v>
      </c>
      <c r="L80" s="3755" t="s">
        <v>1995</v>
      </c>
    </row>
    <row r="81" spans="2:12" ht="59.45" customHeight="1" x14ac:dyDescent="0.35">
      <c r="B81" s="3772"/>
      <c r="C81" s="3768"/>
      <c r="D81" s="3755"/>
      <c r="E81" s="3757"/>
      <c r="F81" s="3771"/>
      <c r="G81" s="3755"/>
      <c r="H81" s="3757"/>
      <c r="I81" s="3757"/>
      <c r="J81" s="3757"/>
      <c r="K81" s="3757"/>
      <c r="L81" s="3755"/>
    </row>
    <row r="82" spans="2:12" ht="19.899999999999999" customHeight="1" x14ac:dyDescent="0.45">
      <c r="B82" s="3762" t="s">
        <v>181</v>
      </c>
      <c r="C82" s="3763"/>
      <c r="D82" s="301">
        <f t="shared" ref="D82:J82" si="7">D72</f>
        <v>784952809485</v>
      </c>
      <c r="E82" s="301">
        <f t="shared" si="7"/>
        <v>0</v>
      </c>
      <c r="F82" s="301">
        <f t="shared" si="7"/>
        <v>784952809485</v>
      </c>
      <c r="G82" s="301">
        <f t="shared" si="7"/>
        <v>13412068761</v>
      </c>
      <c r="H82" s="301">
        <f t="shared" si="7"/>
        <v>0</v>
      </c>
      <c r="I82" s="301">
        <f t="shared" si="7"/>
        <v>0</v>
      </c>
      <c r="J82" s="301">
        <f t="shared" si="7"/>
        <v>38485338621</v>
      </c>
      <c r="K82" s="301"/>
      <c r="L82" s="301">
        <f>L72</f>
        <v>836850216867</v>
      </c>
    </row>
    <row r="83" spans="2:12" ht="17.45" customHeight="1" x14ac:dyDescent="0.35">
      <c r="B83" s="421">
        <v>1502001005</v>
      </c>
      <c r="C83" s="1326" t="s">
        <v>233</v>
      </c>
      <c r="D83" s="1221">
        <v>373761886681</v>
      </c>
      <c r="E83" s="1221"/>
      <c r="F83" s="1221">
        <f>D83+E83</f>
        <v>373761886681</v>
      </c>
      <c r="G83" s="1221">
        <v>13989982784</v>
      </c>
      <c r="H83" s="1221"/>
      <c r="I83" s="1221"/>
      <c r="J83" s="1221"/>
      <c r="K83" s="1221"/>
      <c r="L83" s="1221">
        <f t="shared" ref="L83:L108" si="8">D83+I83+G83+J83+H83+E83+K83</f>
        <v>387751869465</v>
      </c>
    </row>
    <row r="84" spans="2:12" ht="17.45" customHeight="1" x14ac:dyDescent="0.35">
      <c r="B84" s="1330" t="s">
        <v>234</v>
      </c>
      <c r="C84" s="1326" t="s">
        <v>235</v>
      </c>
      <c r="D84" s="1221">
        <v>34471795452</v>
      </c>
      <c r="E84" s="1221"/>
      <c r="F84" s="1221">
        <f t="shared" ref="F84:F108" si="9">D84+E84</f>
        <v>34471795452</v>
      </c>
      <c r="G84" s="1221"/>
      <c r="H84" s="1221"/>
      <c r="I84" s="1221"/>
      <c r="J84" s="1221"/>
      <c r="K84" s="1221"/>
      <c r="L84" s="1221">
        <f t="shared" si="8"/>
        <v>34471795452</v>
      </c>
    </row>
    <row r="85" spans="2:12" ht="17.45" customHeight="1" x14ac:dyDescent="0.35">
      <c r="B85" s="1330" t="s">
        <v>187</v>
      </c>
      <c r="C85" s="1326" t="s">
        <v>188</v>
      </c>
      <c r="D85" s="1221">
        <v>29382072244</v>
      </c>
      <c r="E85" s="1221"/>
      <c r="F85" s="1221">
        <f t="shared" si="9"/>
        <v>29382072244</v>
      </c>
      <c r="G85" s="1221"/>
      <c r="H85" s="1221"/>
      <c r="I85" s="1221"/>
      <c r="J85" s="1221"/>
      <c r="K85" s="1221"/>
      <c r="L85" s="1221">
        <f t="shared" si="8"/>
        <v>29382072244</v>
      </c>
    </row>
    <row r="86" spans="2:12" ht="17.45" customHeight="1" x14ac:dyDescent="0.35">
      <c r="B86" s="1330" t="s">
        <v>213</v>
      </c>
      <c r="C86" s="1326" t="s">
        <v>214</v>
      </c>
      <c r="D86" s="1221">
        <v>31622053412</v>
      </c>
      <c r="E86" s="1221"/>
      <c r="F86" s="1221">
        <f t="shared" si="9"/>
        <v>31622053412</v>
      </c>
      <c r="G86" s="1221"/>
      <c r="H86" s="1221"/>
      <c r="I86" s="1221"/>
      <c r="J86" s="1221"/>
      <c r="K86" s="1221"/>
      <c r="L86" s="1221">
        <f t="shared" si="8"/>
        <v>31622053412</v>
      </c>
    </row>
    <row r="87" spans="2:12" ht="17.45" customHeight="1" x14ac:dyDescent="0.35">
      <c r="B87" s="1330" t="s">
        <v>157</v>
      </c>
      <c r="C87" s="1326" t="s">
        <v>133</v>
      </c>
      <c r="D87" s="1221">
        <v>45705491187</v>
      </c>
      <c r="E87" s="1221"/>
      <c r="F87" s="1221">
        <f t="shared" si="9"/>
        <v>45705491187</v>
      </c>
      <c r="G87" s="1221"/>
      <c r="H87" s="1221"/>
      <c r="I87" s="1221"/>
      <c r="J87" s="1221"/>
      <c r="K87" s="1221"/>
      <c r="L87" s="1221">
        <f t="shared" si="8"/>
        <v>45705491187</v>
      </c>
    </row>
    <row r="88" spans="2:12" ht="31.9" customHeight="1" x14ac:dyDescent="0.35">
      <c r="B88" s="1330" t="s">
        <v>290</v>
      </c>
      <c r="C88" s="1331" t="s">
        <v>353</v>
      </c>
      <c r="D88" s="1221">
        <v>5000000000</v>
      </c>
      <c r="E88" s="1221"/>
      <c r="F88" s="1221">
        <f t="shared" si="9"/>
        <v>5000000000</v>
      </c>
      <c r="G88" s="1221"/>
      <c r="H88" s="1221"/>
      <c r="I88" s="1221"/>
      <c r="J88" s="1221"/>
      <c r="K88" s="1221"/>
      <c r="L88" s="1221">
        <f t="shared" si="8"/>
        <v>5000000000</v>
      </c>
    </row>
    <row r="89" spans="2:12" ht="17.45" customHeight="1" x14ac:dyDescent="0.35">
      <c r="B89" s="421">
        <v>10224056</v>
      </c>
      <c r="C89" s="1326" t="s">
        <v>354</v>
      </c>
      <c r="D89" s="1221">
        <v>24123905164</v>
      </c>
      <c r="E89" s="1221"/>
      <c r="F89" s="1221">
        <f t="shared" si="9"/>
        <v>24123905164</v>
      </c>
      <c r="G89" s="1221"/>
      <c r="H89" s="1221"/>
      <c r="I89" s="1221"/>
      <c r="J89" s="1221"/>
      <c r="K89" s="1221"/>
      <c r="L89" s="1221">
        <f t="shared" si="8"/>
        <v>24123905164</v>
      </c>
    </row>
    <row r="90" spans="2:12" ht="34.15" customHeight="1" x14ac:dyDescent="0.35">
      <c r="B90" s="1330" t="s">
        <v>285</v>
      </c>
      <c r="C90" s="1332" t="s">
        <v>286</v>
      </c>
      <c r="D90" s="1221">
        <v>18985964553</v>
      </c>
      <c r="E90" s="1221"/>
      <c r="F90" s="1221">
        <f t="shared" si="9"/>
        <v>18985964553</v>
      </c>
      <c r="G90" s="1221"/>
      <c r="H90" s="1221"/>
      <c r="I90" s="1221"/>
      <c r="J90" s="1221"/>
      <c r="K90" s="1221"/>
      <c r="L90" s="1221">
        <f t="shared" si="8"/>
        <v>18985964553</v>
      </c>
    </row>
    <row r="91" spans="2:12" ht="31.9" customHeight="1" x14ac:dyDescent="0.35">
      <c r="B91" s="1330" t="s">
        <v>166</v>
      </c>
      <c r="C91" s="1332" t="s">
        <v>167</v>
      </c>
      <c r="D91" s="1221">
        <v>16560000000</v>
      </c>
      <c r="E91" s="1221"/>
      <c r="F91" s="1221">
        <f t="shared" si="9"/>
        <v>16560000000</v>
      </c>
      <c r="G91" s="1221"/>
      <c r="H91" s="1221"/>
      <c r="I91" s="1221"/>
      <c r="J91" s="1221"/>
      <c r="K91" s="1221"/>
      <c r="L91" s="1221">
        <f t="shared" si="8"/>
        <v>16560000000</v>
      </c>
    </row>
    <row r="92" spans="2:12" ht="17.45" customHeight="1" x14ac:dyDescent="0.35">
      <c r="B92" s="1330" t="s">
        <v>117</v>
      </c>
      <c r="C92" s="1326" t="s">
        <v>365</v>
      </c>
      <c r="D92" s="1221">
        <v>6068997059</v>
      </c>
      <c r="E92" s="1221"/>
      <c r="F92" s="1221">
        <f t="shared" si="9"/>
        <v>6068997059</v>
      </c>
      <c r="G92" s="1221"/>
      <c r="H92" s="1221"/>
      <c r="I92" s="1221"/>
      <c r="J92" s="1221"/>
      <c r="K92" s="1221"/>
      <c r="L92" s="1221">
        <f t="shared" si="8"/>
        <v>6068997059</v>
      </c>
    </row>
    <row r="93" spans="2:12" ht="17.45" customHeight="1" x14ac:dyDescent="0.35">
      <c r="B93" s="1330" t="s">
        <v>172</v>
      </c>
      <c r="C93" s="1326" t="s">
        <v>173</v>
      </c>
      <c r="D93" s="1221">
        <v>19334871036</v>
      </c>
      <c r="E93" s="1221"/>
      <c r="F93" s="1221">
        <f t="shared" si="9"/>
        <v>19334871036</v>
      </c>
      <c r="G93" s="1221"/>
      <c r="H93" s="1221"/>
      <c r="I93" s="1221"/>
      <c r="J93" s="1221"/>
      <c r="K93" s="1221"/>
      <c r="L93" s="1221">
        <f t="shared" si="8"/>
        <v>19334871036</v>
      </c>
    </row>
    <row r="94" spans="2:12" ht="17.45" customHeight="1" x14ac:dyDescent="0.35">
      <c r="B94" s="1330" t="s">
        <v>174</v>
      </c>
      <c r="C94" s="1326" t="s">
        <v>175</v>
      </c>
      <c r="D94" s="1221">
        <v>3426000000</v>
      </c>
      <c r="E94" s="1221"/>
      <c r="F94" s="1221">
        <f t="shared" si="9"/>
        <v>3426000000</v>
      </c>
      <c r="G94" s="1221"/>
      <c r="H94" s="1221"/>
      <c r="I94" s="1221"/>
      <c r="J94" s="1221"/>
      <c r="K94" s="1221"/>
      <c r="L94" s="1221">
        <f t="shared" si="8"/>
        <v>3426000000</v>
      </c>
    </row>
    <row r="95" spans="2:12" ht="17.45" customHeight="1" x14ac:dyDescent="0.35">
      <c r="B95" s="1328" t="s">
        <v>436</v>
      </c>
      <c r="C95" s="1326" t="s">
        <v>879</v>
      </c>
      <c r="D95" s="1221">
        <v>898805333</v>
      </c>
      <c r="E95" s="1221"/>
      <c r="F95" s="1221">
        <f t="shared" si="9"/>
        <v>898805333</v>
      </c>
      <c r="G95" s="1221"/>
      <c r="H95" s="1221"/>
      <c r="I95" s="1221"/>
      <c r="J95" s="1221"/>
      <c r="K95" s="1221"/>
      <c r="L95" s="1221">
        <f t="shared" si="8"/>
        <v>898805333</v>
      </c>
    </row>
    <row r="96" spans="2:12" ht="17.45" customHeight="1" x14ac:dyDescent="0.35">
      <c r="B96" s="1330" t="s">
        <v>301</v>
      </c>
      <c r="C96" s="1326" t="s">
        <v>302</v>
      </c>
      <c r="D96" s="1221">
        <v>839044985</v>
      </c>
      <c r="E96" s="1221"/>
      <c r="F96" s="1221">
        <f t="shared" si="9"/>
        <v>839044985</v>
      </c>
      <c r="G96" s="1221"/>
      <c r="H96" s="1221"/>
      <c r="I96" s="1221"/>
      <c r="J96" s="1221"/>
      <c r="K96" s="1221"/>
      <c r="L96" s="1221">
        <f t="shared" si="8"/>
        <v>839044985</v>
      </c>
    </row>
    <row r="97" spans="2:12" ht="17.45" customHeight="1" x14ac:dyDescent="0.35">
      <c r="B97" s="1330" t="s">
        <v>885</v>
      </c>
      <c r="C97" s="1326" t="s">
        <v>880</v>
      </c>
      <c r="D97" s="1221">
        <v>788660000</v>
      </c>
      <c r="E97" s="1221"/>
      <c r="F97" s="1221">
        <f t="shared" si="9"/>
        <v>788660000</v>
      </c>
      <c r="G97" s="1221"/>
      <c r="H97" s="1221"/>
      <c r="I97" s="1221"/>
      <c r="J97" s="1221"/>
      <c r="K97" s="1221"/>
      <c r="L97" s="1221">
        <f t="shared" si="8"/>
        <v>788660000</v>
      </c>
    </row>
    <row r="98" spans="2:12" ht="17.45" customHeight="1" x14ac:dyDescent="0.35">
      <c r="B98" s="1330" t="s">
        <v>886</v>
      </c>
      <c r="C98" s="1326" t="s">
        <v>881</v>
      </c>
      <c r="D98" s="1221">
        <v>598740000</v>
      </c>
      <c r="E98" s="1221"/>
      <c r="F98" s="1221">
        <f t="shared" si="9"/>
        <v>598740000</v>
      </c>
      <c r="G98" s="1221"/>
      <c r="H98" s="1221"/>
      <c r="I98" s="1221"/>
      <c r="J98" s="1221"/>
      <c r="K98" s="1221"/>
      <c r="L98" s="1221">
        <f t="shared" si="8"/>
        <v>598740000</v>
      </c>
    </row>
    <row r="99" spans="2:12" ht="17.45" customHeight="1" x14ac:dyDescent="0.35">
      <c r="B99" s="1330" t="s">
        <v>257</v>
      </c>
      <c r="C99" s="1329" t="s">
        <v>882</v>
      </c>
      <c r="D99" s="1221">
        <v>585757576</v>
      </c>
      <c r="E99" s="1221"/>
      <c r="F99" s="1221">
        <f t="shared" si="9"/>
        <v>585757576</v>
      </c>
      <c r="G99" s="1221"/>
      <c r="H99" s="1221"/>
      <c r="I99" s="1221"/>
      <c r="J99" s="1221"/>
      <c r="K99" s="1221"/>
      <c r="L99" s="1221">
        <f t="shared" si="8"/>
        <v>585757576</v>
      </c>
    </row>
    <row r="100" spans="2:12" ht="17.45" customHeight="1" x14ac:dyDescent="0.35">
      <c r="B100" s="1328" t="s">
        <v>433</v>
      </c>
      <c r="C100" s="1329" t="s">
        <v>883</v>
      </c>
      <c r="D100" s="1221">
        <v>800000000</v>
      </c>
      <c r="E100" s="1221"/>
      <c r="F100" s="1221">
        <f t="shared" si="9"/>
        <v>800000000</v>
      </c>
      <c r="G100" s="1221"/>
      <c r="H100" s="1221"/>
      <c r="I100" s="1221"/>
      <c r="J100" s="1221"/>
      <c r="K100" s="1221"/>
      <c r="L100" s="1221">
        <f t="shared" si="8"/>
        <v>800000000</v>
      </c>
    </row>
    <row r="101" spans="2:12" ht="30" customHeight="1" x14ac:dyDescent="0.35">
      <c r="B101" s="930" t="s">
        <v>236</v>
      </c>
      <c r="C101" s="1333" t="s">
        <v>884</v>
      </c>
      <c r="D101" s="1221">
        <v>19645000000</v>
      </c>
      <c r="E101" s="1221"/>
      <c r="F101" s="1221">
        <f t="shared" si="9"/>
        <v>19645000000</v>
      </c>
      <c r="G101" s="1221"/>
      <c r="H101" s="1221"/>
      <c r="I101" s="1221"/>
      <c r="J101" s="1221"/>
      <c r="K101" s="1221"/>
      <c r="L101" s="1221">
        <f t="shared" si="8"/>
        <v>19645000000</v>
      </c>
    </row>
    <row r="102" spans="2:12" ht="17.45" customHeight="1" x14ac:dyDescent="0.35">
      <c r="B102" s="1330" t="s">
        <v>183</v>
      </c>
      <c r="C102" s="1329" t="s">
        <v>184</v>
      </c>
      <c r="D102" s="1221">
        <v>15000000000</v>
      </c>
      <c r="E102" s="1221"/>
      <c r="F102" s="1221">
        <f t="shared" si="9"/>
        <v>15000000000</v>
      </c>
      <c r="G102" s="1221"/>
      <c r="H102" s="1221"/>
      <c r="I102" s="1221"/>
      <c r="J102" s="1221"/>
      <c r="K102" s="1221"/>
      <c r="L102" s="1221">
        <f t="shared" si="8"/>
        <v>15000000000</v>
      </c>
    </row>
    <row r="103" spans="2:12" ht="36" customHeight="1" x14ac:dyDescent="0.35">
      <c r="B103" s="1330" t="s">
        <v>185</v>
      </c>
      <c r="C103" s="1331" t="s">
        <v>186</v>
      </c>
      <c r="D103" s="1221">
        <v>2620000000</v>
      </c>
      <c r="E103" s="1221"/>
      <c r="F103" s="1221">
        <f t="shared" si="9"/>
        <v>2620000000</v>
      </c>
      <c r="G103" s="1221"/>
      <c r="H103" s="1221"/>
      <c r="I103" s="1221"/>
      <c r="J103" s="1221"/>
      <c r="K103" s="1221"/>
      <c r="L103" s="1221">
        <f t="shared" si="8"/>
        <v>2620000000</v>
      </c>
    </row>
    <row r="104" spans="2:12" ht="17.45" customHeight="1" x14ac:dyDescent="0.35">
      <c r="B104" s="1081" t="s">
        <v>96</v>
      </c>
      <c r="C104" s="1306" t="s">
        <v>97</v>
      </c>
      <c r="D104" s="1221">
        <v>13799734500</v>
      </c>
      <c r="E104" s="1221"/>
      <c r="F104" s="1221">
        <f t="shared" si="9"/>
        <v>13799734500</v>
      </c>
      <c r="G104" s="1221"/>
      <c r="H104" s="1221"/>
      <c r="I104" s="1221"/>
      <c r="J104" s="1221"/>
      <c r="K104" s="1221"/>
      <c r="L104" s="1221">
        <f t="shared" si="8"/>
        <v>13799734500</v>
      </c>
    </row>
    <row r="105" spans="2:12" ht="19.149999999999999" hidden="1" customHeight="1" x14ac:dyDescent="0.35">
      <c r="B105" s="1068">
        <v>1307002010</v>
      </c>
      <c r="C105" s="1308" t="s">
        <v>592</v>
      </c>
      <c r="D105" s="1221">
        <v>489030</v>
      </c>
      <c r="E105" s="1221"/>
      <c r="F105" s="1221">
        <f t="shared" si="9"/>
        <v>489030</v>
      </c>
      <c r="G105" s="1221"/>
      <c r="H105" s="1221"/>
      <c r="I105" s="1221"/>
      <c r="J105" s="1221"/>
      <c r="K105" s="1221"/>
      <c r="L105" s="1221">
        <f t="shared" si="8"/>
        <v>489030</v>
      </c>
    </row>
    <row r="106" spans="2:12" ht="41.45" customHeight="1" x14ac:dyDescent="0.35">
      <c r="B106" s="208" t="s">
        <v>176</v>
      </c>
      <c r="C106" s="1312" t="s">
        <v>177</v>
      </c>
      <c r="D106" s="1221">
        <v>31159690488</v>
      </c>
      <c r="E106" s="1221"/>
      <c r="F106" s="1221">
        <f t="shared" si="9"/>
        <v>31159690488</v>
      </c>
      <c r="G106" s="1221"/>
      <c r="H106" s="1221"/>
      <c r="I106" s="1221"/>
      <c r="J106" s="1221"/>
      <c r="K106" s="1221"/>
      <c r="L106" s="1221">
        <f t="shared" si="8"/>
        <v>31159690488</v>
      </c>
    </row>
    <row r="107" spans="2:12" ht="38.450000000000003" customHeight="1" x14ac:dyDescent="0.35">
      <c r="B107" s="208" t="s">
        <v>178</v>
      </c>
      <c r="C107" s="1312" t="s">
        <v>179</v>
      </c>
      <c r="D107" s="1221">
        <v>8530000000</v>
      </c>
      <c r="E107" s="1221"/>
      <c r="F107" s="1221">
        <f t="shared" si="9"/>
        <v>8530000000</v>
      </c>
      <c r="G107" s="1221"/>
      <c r="H107" s="1221"/>
      <c r="I107" s="1221"/>
      <c r="J107" s="1221"/>
      <c r="K107" s="1221"/>
      <c r="L107" s="1221">
        <f t="shared" si="8"/>
        <v>8530000000</v>
      </c>
    </row>
    <row r="108" spans="2:12" ht="15.6" customHeight="1" x14ac:dyDescent="0.35">
      <c r="B108" s="208" t="s">
        <v>168</v>
      </c>
      <c r="C108" s="1307" t="s">
        <v>169</v>
      </c>
      <c r="D108" s="1313">
        <v>3870405972</v>
      </c>
      <c r="E108" s="1313"/>
      <c r="F108" s="1221">
        <f t="shared" si="9"/>
        <v>3870405972</v>
      </c>
      <c r="G108" s="1221"/>
      <c r="H108" s="1221"/>
      <c r="I108" s="1221"/>
      <c r="J108" s="1221"/>
      <c r="K108" s="1221"/>
      <c r="L108" s="1221">
        <f t="shared" si="8"/>
        <v>3870405972</v>
      </c>
    </row>
    <row r="109" spans="2:12" ht="19.899999999999999" customHeight="1" x14ac:dyDescent="0.35">
      <c r="B109" s="3759" t="s">
        <v>94</v>
      </c>
      <c r="C109" s="3760"/>
      <c r="D109" s="301">
        <f t="shared" ref="D109:L109" si="10">SUM(D82:D108)</f>
        <v>1492532174157</v>
      </c>
      <c r="E109" s="301">
        <f t="shared" si="10"/>
        <v>0</v>
      </c>
      <c r="F109" s="301">
        <f t="shared" si="10"/>
        <v>1492532174157</v>
      </c>
      <c r="G109" s="301">
        <f t="shared" si="10"/>
        <v>27402051545</v>
      </c>
      <c r="H109" s="301">
        <f t="shared" si="10"/>
        <v>0</v>
      </c>
      <c r="I109" s="301">
        <f t="shared" si="10"/>
        <v>0</v>
      </c>
      <c r="J109" s="301">
        <f t="shared" si="10"/>
        <v>38485338621</v>
      </c>
      <c r="K109" s="301"/>
      <c r="L109" s="301">
        <f t="shared" si="10"/>
        <v>1558419564323</v>
      </c>
    </row>
    <row r="110" spans="2:12" ht="18.600000000000001" customHeight="1" x14ac:dyDescent="0.4">
      <c r="B110" s="3769">
        <v>62000000</v>
      </c>
      <c r="C110" s="3769"/>
      <c r="D110" s="3769"/>
      <c r="E110" s="3769"/>
      <c r="F110" s="3769"/>
      <c r="G110" s="3769"/>
      <c r="H110" s="3769"/>
      <c r="I110" s="3769"/>
      <c r="J110" s="3769"/>
      <c r="K110" s="3769"/>
      <c r="L110" s="3769"/>
    </row>
    <row r="111" spans="2:12" ht="15.6" customHeight="1" x14ac:dyDescent="0.35">
      <c r="B111" s="3761" t="s">
        <v>24</v>
      </c>
      <c r="C111" s="3761"/>
      <c r="D111" s="3761"/>
      <c r="E111" s="3761"/>
      <c r="F111" s="3761"/>
      <c r="G111" s="3761"/>
      <c r="H111" s="3761"/>
      <c r="I111" s="3761"/>
      <c r="J111" s="3761"/>
      <c r="K111" s="3761"/>
      <c r="L111" s="3761"/>
    </row>
    <row r="112" spans="2:12" ht="15.6" customHeight="1" x14ac:dyDescent="0.35">
      <c r="B112" s="3761" t="s">
        <v>45</v>
      </c>
      <c r="C112" s="3761"/>
      <c r="D112" s="3761"/>
      <c r="E112" s="3761"/>
      <c r="F112" s="3761"/>
      <c r="G112" s="3761"/>
      <c r="H112" s="3761"/>
      <c r="I112" s="3761"/>
      <c r="J112" s="3761"/>
      <c r="K112" s="3761"/>
      <c r="L112" s="3761"/>
    </row>
    <row r="113" spans="2:16" ht="15.6" customHeight="1" x14ac:dyDescent="0.35">
      <c r="B113" s="3761" t="s">
        <v>337</v>
      </c>
      <c r="C113" s="3761"/>
      <c r="D113" s="3761"/>
      <c r="E113" s="3761"/>
      <c r="F113" s="3761"/>
      <c r="G113" s="3761"/>
      <c r="H113" s="3761"/>
      <c r="I113" s="3761"/>
      <c r="J113" s="3761"/>
      <c r="K113" s="3761"/>
      <c r="L113" s="3761"/>
    </row>
    <row r="114" spans="2:16" ht="15.6" customHeight="1" x14ac:dyDescent="0.35">
      <c r="B114" s="3761" t="s">
        <v>1994</v>
      </c>
      <c r="C114" s="3761"/>
      <c r="D114" s="3761"/>
      <c r="E114" s="3761"/>
      <c r="F114" s="3761"/>
      <c r="G114" s="3761"/>
      <c r="H114" s="3761"/>
      <c r="I114" s="3761"/>
      <c r="J114" s="3761"/>
      <c r="K114" s="3761"/>
      <c r="L114" s="3761"/>
    </row>
    <row r="115" spans="2:16" ht="11.25" customHeight="1" x14ac:dyDescent="0.35">
      <c r="B115" s="937"/>
      <c r="C115" s="937"/>
      <c r="D115" s="1230"/>
      <c r="E115" s="1230"/>
      <c r="F115" s="1230"/>
      <c r="G115" s="1230"/>
      <c r="H115" s="1230"/>
      <c r="I115" s="1230"/>
      <c r="J115" s="1230"/>
      <c r="K115" s="1230"/>
      <c r="L115" s="1230"/>
    </row>
    <row r="116" spans="2:16" ht="18.600000000000001" customHeight="1" x14ac:dyDescent="0.35">
      <c r="B116" s="1075" t="s">
        <v>1075</v>
      </c>
      <c r="C116" s="1075"/>
      <c r="D116" s="1237"/>
      <c r="E116" s="1403"/>
      <c r="F116" s="1403"/>
      <c r="G116" s="1230"/>
      <c r="H116" s="1230"/>
      <c r="I116" s="1230"/>
      <c r="J116" s="1230"/>
      <c r="K116" s="1230"/>
      <c r="L116" s="1235" t="s">
        <v>194</v>
      </c>
    </row>
    <row r="117" spans="2:16" ht="14.45" customHeight="1" x14ac:dyDescent="0.35">
      <c r="B117" s="3772" t="s">
        <v>53</v>
      </c>
      <c r="C117" s="3768" t="s">
        <v>54</v>
      </c>
      <c r="D117" s="3755" t="s">
        <v>1246</v>
      </c>
      <c r="E117" s="3756" t="s">
        <v>1116</v>
      </c>
      <c r="F117" s="3770" t="s">
        <v>1921</v>
      </c>
      <c r="G117" s="3755" t="s">
        <v>991</v>
      </c>
      <c r="H117" s="3756" t="s">
        <v>1859</v>
      </c>
      <c r="I117" s="3756" t="s">
        <v>1375</v>
      </c>
      <c r="J117" s="3756" t="s">
        <v>1860</v>
      </c>
      <c r="K117" s="3756" t="s">
        <v>898</v>
      </c>
      <c r="L117" s="3755" t="s">
        <v>1995</v>
      </c>
    </row>
    <row r="118" spans="2:16" ht="36.6" customHeight="1" x14ac:dyDescent="0.35">
      <c r="B118" s="3772"/>
      <c r="C118" s="3768"/>
      <c r="D118" s="3755"/>
      <c r="E118" s="3757"/>
      <c r="F118" s="3771"/>
      <c r="G118" s="3755"/>
      <c r="H118" s="3757"/>
      <c r="I118" s="3757"/>
      <c r="J118" s="3757"/>
      <c r="K118" s="3757"/>
      <c r="L118" s="3755"/>
    </row>
    <row r="119" spans="2:16" ht="16.149999999999999" customHeight="1" x14ac:dyDescent="0.45">
      <c r="B119" s="3762" t="s">
        <v>181</v>
      </c>
      <c r="C119" s="3763"/>
      <c r="D119" s="301">
        <f>D109</f>
        <v>1492532174157</v>
      </c>
      <c r="E119" s="301">
        <f t="shared" ref="E119:L119" si="11">E109</f>
        <v>0</v>
      </c>
      <c r="F119" s="301">
        <f t="shared" si="11"/>
        <v>1492532174157</v>
      </c>
      <c r="G119" s="301">
        <f t="shared" si="11"/>
        <v>27402051545</v>
      </c>
      <c r="H119" s="301">
        <f t="shared" si="11"/>
        <v>0</v>
      </c>
      <c r="I119" s="301">
        <f t="shared" si="11"/>
        <v>0</v>
      </c>
      <c r="J119" s="301">
        <f t="shared" si="11"/>
        <v>38485338621</v>
      </c>
      <c r="K119" s="301"/>
      <c r="L119" s="301">
        <f t="shared" si="11"/>
        <v>1558419564323</v>
      </c>
    </row>
    <row r="120" spans="2:16" ht="16.149999999999999" hidden="1" customHeight="1" x14ac:dyDescent="0.35">
      <c r="B120" s="1071" t="s">
        <v>548</v>
      </c>
      <c r="C120" s="1077" t="s">
        <v>547</v>
      </c>
      <c r="D120" s="290">
        <v>0</v>
      </c>
      <c r="E120" s="290"/>
      <c r="F120" s="290"/>
      <c r="G120" s="290"/>
      <c r="H120" s="290"/>
      <c r="I120" s="290"/>
      <c r="J120" s="290"/>
      <c r="K120" s="290"/>
      <c r="L120" s="290">
        <f>SUM(D120:I120)</f>
        <v>0</v>
      </c>
    </row>
    <row r="121" spans="2:16" ht="12.6" customHeight="1" x14ac:dyDescent="0.35">
      <c r="B121" s="208" t="s">
        <v>120</v>
      </c>
      <c r="C121" s="1307" t="s">
        <v>121</v>
      </c>
      <c r="D121" s="1221">
        <v>1857277665</v>
      </c>
      <c r="E121" s="1221"/>
      <c r="F121" s="1221">
        <f>D121+E121</f>
        <v>1857277665</v>
      </c>
      <c r="G121" s="1221"/>
      <c r="H121" s="1221"/>
      <c r="I121" s="1221"/>
      <c r="J121" s="1221"/>
      <c r="K121" s="1221"/>
      <c r="L121" s="1221">
        <f t="shared" ref="L121:L167" si="12">D121+I121+G121+J121+H121+E121+K121</f>
        <v>1857277665</v>
      </c>
    </row>
    <row r="122" spans="2:16" ht="12.6" customHeight="1" x14ac:dyDescent="0.35">
      <c r="B122" s="1314" t="s">
        <v>81</v>
      </c>
      <c r="C122" s="1315" t="s">
        <v>82</v>
      </c>
      <c r="D122" s="1221">
        <v>111539632739</v>
      </c>
      <c r="E122" s="1221"/>
      <c r="F122" s="1221">
        <f t="shared" ref="F122:F160" si="13">D122+E122</f>
        <v>111539632739</v>
      </c>
      <c r="G122" s="1221"/>
      <c r="H122" s="1221"/>
      <c r="I122" s="1221"/>
      <c r="J122" s="1221"/>
      <c r="K122" s="1221"/>
      <c r="L122" s="1221">
        <f t="shared" si="12"/>
        <v>111539632739</v>
      </c>
    </row>
    <row r="123" spans="2:16" ht="12.6" customHeight="1" x14ac:dyDescent="0.35">
      <c r="B123" s="268" t="s">
        <v>542</v>
      </c>
      <c r="C123" s="1316" t="s">
        <v>335</v>
      </c>
      <c r="D123" s="1221">
        <v>56707147506</v>
      </c>
      <c r="E123" s="1221"/>
      <c r="F123" s="1221">
        <f t="shared" si="13"/>
        <v>56707147506</v>
      </c>
      <c r="G123" s="1221">
        <v>22401800921</v>
      </c>
      <c r="H123" s="1221"/>
      <c r="I123" s="1221"/>
      <c r="J123" s="1221"/>
      <c r="K123" s="1221"/>
      <c r="L123" s="1221">
        <f t="shared" si="12"/>
        <v>79108948427</v>
      </c>
      <c r="N123" s="721">
        <v>47178924077</v>
      </c>
      <c r="O123" s="744">
        <f>L123-N123</f>
        <v>31930024350</v>
      </c>
    </row>
    <row r="124" spans="2:16" ht="12.6" customHeight="1" x14ac:dyDescent="0.35">
      <c r="B124" s="421" t="s">
        <v>608</v>
      </c>
      <c r="C124" s="1305" t="s">
        <v>1290</v>
      </c>
      <c r="D124" s="1221">
        <v>1948987978316</v>
      </c>
      <c r="E124" s="1221"/>
      <c r="F124" s="1221">
        <f t="shared" si="13"/>
        <v>1948987978316</v>
      </c>
      <c r="G124" s="1221">
        <v>334805178401</v>
      </c>
      <c r="H124" s="1221"/>
      <c r="I124" s="1221">
        <v>-2060468774</v>
      </c>
      <c r="J124" s="1221"/>
      <c r="K124" s="1221">
        <v>-2358793208</v>
      </c>
      <c r="L124" s="1221">
        <f t="shared" si="12"/>
        <v>2279373894735</v>
      </c>
    </row>
    <row r="125" spans="2:16" s="1502" customFormat="1" ht="12.6" customHeight="1" x14ac:dyDescent="0.35">
      <c r="B125" s="568" t="s">
        <v>2049</v>
      </c>
      <c r="C125" s="634" t="s">
        <v>607</v>
      </c>
      <c r="D125" s="1221"/>
      <c r="E125" s="1221"/>
      <c r="F125" s="1221"/>
      <c r="G125" s="1221">
        <v>1183722785</v>
      </c>
      <c r="H125" s="1221"/>
      <c r="I125" s="1221"/>
      <c r="J125" s="1221"/>
      <c r="K125" s="1221"/>
      <c r="L125" s="1221">
        <f t="shared" si="12"/>
        <v>1183722785</v>
      </c>
    </row>
    <row r="126" spans="2:16" ht="12.6" customHeight="1" x14ac:dyDescent="0.35">
      <c r="B126" s="568" t="s">
        <v>609</v>
      </c>
      <c r="C126" s="634" t="s">
        <v>607</v>
      </c>
      <c r="D126" s="1221">
        <v>478328150180</v>
      </c>
      <c r="E126" s="1221"/>
      <c r="F126" s="1221">
        <f t="shared" si="13"/>
        <v>478328150180</v>
      </c>
      <c r="G126" s="1221">
        <f>211803933622</f>
        <v>211803933622</v>
      </c>
      <c r="H126" s="1221"/>
      <c r="I126" s="1221"/>
      <c r="J126" s="1221"/>
      <c r="K126" s="1221"/>
      <c r="L126" s="1221">
        <f t="shared" si="12"/>
        <v>690132083802</v>
      </c>
    </row>
    <row r="127" spans="2:16" ht="12.6" customHeight="1" x14ac:dyDescent="0.35">
      <c r="B127" s="421" t="s">
        <v>611</v>
      </c>
      <c r="C127" s="1305" t="s">
        <v>597</v>
      </c>
      <c r="D127" s="1221">
        <v>3953051121</v>
      </c>
      <c r="E127" s="1221"/>
      <c r="F127" s="1221">
        <f t="shared" si="13"/>
        <v>3953051121</v>
      </c>
      <c r="G127" s="1221">
        <v>14348654</v>
      </c>
      <c r="H127" s="1221"/>
      <c r="I127" s="1221"/>
      <c r="J127" s="1221"/>
      <c r="K127" s="1221"/>
      <c r="L127" s="1221">
        <f t="shared" si="12"/>
        <v>3967399775</v>
      </c>
      <c r="P127" s="744"/>
    </row>
    <row r="128" spans="2:16" s="1502" customFormat="1" ht="12.6" customHeight="1" x14ac:dyDescent="0.35">
      <c r="B128" s="568" t="s">
        <v>2058</v>
      </c>
      <c r="C128" s="1335" t="s">
        <v>598</v>
      </c>
      <c r="D128" s="1221"/>
      <c r="E128" s="1221"/>
      <c r="F128" s="1221"/>
      <c r="G128" s="1221">
        <v>10214216382</v>
      </c>
      <c r="H128" s="1221"/>
      <c r="I128" s="1221"/>
      <c r="J128" s="1221"/>
      <c r="K128" s="1221"/>
      <c r="L128" s="1221">
        <f t="shared" si="12"/>
        <v>10214216382</v>
      </c>
      <c r="P128" s="744"/>
    </row>
    <row r="129" spans="2:16" ht="12.6" customHeight="1" x14ac:dyDescent="0.35">
      <c r="B129" s="568" t="s">
        <v>634</v>
      </c>
      <c r="C129" s="1335" t="s">
        <v>598</v>
      </c>
      <c r="D129" s="1313">
        <v>26239605205</v>
      </c>
      <c r="E129" s="1313"/>
      <c r="F129" s="1221">
        <f t="shared" si="13"/>
        <v>26239605205</v>
      </c>
      <c r="G129" s="1221">
        <f>59599169086</f>
        <v>59599169086</v>
      </c>
      <c r="H129" s="1221"/>
      <c r="I129" s="1221"/>
      <c r="J129" s="1221"/>
      <c r="K129" s="1221"/>
      <c r="L129" s="1221">
        <f>D129+I129+G129+J129+H129+E129+K129</f>
        <v>85838774291</v>
      </c>
    </row>
    <row r="130" spans="2:16" ht="12.6" customHeight="1" x14ac:dyDescent="0.35">
      <c r="B130" s="421" t="s">
        <v>641</v>
      </c>
      <c r="C130" s="1305" t="s">
        <v>640</v>
      </c>
      <c r="D130" s="1221">
        <v>58710737689</v>
      </c>
      <c r="E130" s="1221"/>
      <c r="F130" s="1221">
        <f t="shared" si="13"/>
        <v>58710737689</v>
      </c>
      <c r="G130" s="1221">
        <v>19935601181</v>
      </c>
      <c r="H130" s="1221"/>
      <c r="I130" s="1221"/>
      <c r="J130" s="1221"/>
      <c r="K130" s="1221"/>
      <c r="L130" s="1221">
        <f t="shared" si="12"/>
        <v>78646338870</v>
      </c>
      <c r="P130" s="744"/>
    </row>
    <row r="131" spans="2:16" s="1502" customFormat="1" ht="12.6" customHeight="1" x14ac:dyDescent="0.35">
      <c r="B131" s="568" t="s">
        <v>2050</v>
      </c>
      <c r="C131" s="633" t="s">
        <v>620</v>
      </c>
      <c r="D131" s="1221"/>
      <c r="E131" s="1221"/>
      <c r="F131" s="1221"/>
      <c r="G131" s="1221">
        <v>1457870914</v>
      </c>
      <c r="H131" s="1221"/>
      <c r="I131" s="1221"/>
      <c r="J131" s="1221"/>
      <c r="K131" s="1221"/>
      <c r="L131" s="1221">
        <f t="shared" si="12"/>
        <v>1457870914</v>
      </c>
      <c r="P131" s="744"/>
    </row>
    <row r="132" spans="2:16" ht="12.6" customHeight="1" x14ac:dyDescent="0.35">
      <c r="B132" s="568" t="s">
        <v>622</v>
      </c>
      <c r="C132" s="633" t="s">
        <v>620</v>
      </c>
      <c r="D132" s="1221">
        <v>370495139468</v>
      </c>
      <c r="E132" s="1221"/>
      <c r="F132" s="1221">
        <f t="shared" si="13"/>
        <v>370495139468</v>
      </c>
      <c r="G132" s="1221">
        <f>173129727658</f>
        <v>173129727658</v>
      </c>
      <c r="H132" s="1221"/>
      <c r="I132" s="1221"/>
      <c r="J132" s="1221">
        <v>590485368</v>
      </c>
      <c r="K132" s="1221"/>
      <c r="L132" s="1221">
        <f t="shared" si="12"/>
        <v>544215352494</v>
      </c>
      <c r="P132" s="744"/>
    </row>
    <row r="133" spans="2:16" ht="12.6" customHeight="1" x14ac:dyDescent="0.35">
      <c r="B133" s="568" t="s">
        <v>2191</v>
      </c>
      <c r="C133" s="634" t="s">
        <v>631</v>
      </c>
      <c r="D133" s="1221">
        <v>233663668575</v>
      </c>
      <c r="E133" s="1221"/>
      <c r="F133" s="1221">
        <f t="shared" si="13"/>
        <v>233663668575</v>
      </c>
      <c r="G133" s="1221">
        <f>70774853693</f>
        <v>70774853693</v>
      </c>
      <c r="H133" s="1221"/>
      <c r="I133" s="1221"/>
      <c r="J133" s="1221"/>
      <c r="K133" s="1221"/>
      <c r="L133" s="1221">
        <f t="shared" si="12"/>
        <v>304438522268</v>
      </c>
    </row>
    <row r="134" spans="2:16" ht="12.6" customHeight="1" x14ac:dyDescent="0.35">
      <c r="B134" s="421" t="s">
        <v>623</v>
      </c>
      <c r="C134" s="377" t="s">
        <v>599</v>
      </c>
      <c r="D134" s="1221">
        <v>31232873797</v>
      </c>
      <c r="E134" s="1221"/>
      <c r="F134" s="1221">
        <f t="shared" si="13"/>
        <v>31232873797</v>
      </c>
      <c r="G134" s="1221"/>
      <c r="H134" s="1221"/>
      <c r="I134" s="1221"/>
      <c r="J134" s="1221"/>
      <c r="K134" s="1221"/>
      <c r="L134" s="1221">
        <f t="shared" si="12"/>
        <v>31232873797</v>
      </c>
    </row>
    <row r="135" spans="2:16" ht="12.6" customHeight="1" x14ac:dyDescent="0.35">
      <c r="B135" s="421" t="s">
        <v>643</v>
      </c>
      <c r="C135" s="377" t="s">
        <v>632</v>
      </c>
      <c r="D135" s="1221">
        <v>233133364352</v>
      </c>
      <c r="E135" s="1221"/>
      <c r="F135" s="1221">
        <f t="shared" si="13"/>
        <v>233133364352</v>
      </c>
      <c r="G135" s="1221">
        <v>124004979074</v>
      </c>
      <c r="H135" s="1221"/>
      <c r="I135" s="1221"/>
      <c r="J135" s="1221"/>
      <c r="K135" s="1221"/>
      <c r="L135" s="1221">
        <f t="shared" si="12"/>
        <v>357138343426</v>
      </c>
    </row>
    <row r="136" spans="2:16" s="1502" customFormat="1" ht="12.6" customHeight="1" x14ac:dyDescent="0.35">
      <c r="B136" s="1469" t="s">
        <v>2061</v>
      </c>
      <c r="C136" s="1471" t="s">
        <v>600</v>
      </c>
      <c r="D136" s="1221"/>
      <c r="E136" s="1221"/>
      <c r="F136" s="1221"/>
      <c r="G136" s="1221">
        <v>5186731900</v>
      </c>
      <c r="H136" s="1221"/>
      <c r="I136" s="1221"/>
      <c r="J136" s="1221"/>
      <c r="K136" s="1221"/>
      <c r="L136" s="1221">
        <f t="shared" si="12"/>
        <v>5186731900</v>
      </c>
    </row>
    <row r="137" spans="2:16" ht="12.6" customHeight="1" x14ac:dyDescent="0.35">
      <c r="B137" s="1456" t="s">
        <v>624</v>
      </c>
      <c r="C137" s="1455" t="s">
        <v>600</v>
      </c>
      <c r="D137" s="1221">
        <v>155136778995</v>
      </c>
      <c r="E137" s="1221"/>
      <c r="F137" s="1221">
        <f t="shared" si="13"/>
        <v>155136778995</v>
      </c>
      <c r="G137" s="1221">
        <f>24675704229</f>
        <v>24675704229</v>
      </c>
      <c r="H137" s="1221"/>
      <c r="I137" s="1221"/>
      <c r="J137" s="1221"/>
      <c r="K137" s="1221">
        <f>3658054074+3111706008</f>
        <v>6769760082</v>
      </c>
      <c r="L137" s="1221">
        <f t="shared" si="12"/>
        <v>186582243306</v>
      </c>
    </row>
    <row r="138" spans="2:16" s="1502" customFormat="1" ht="12.6" customHeight="1" x14ac:dyDescent="0.35">
      <c r="B138" s="568" t="s">
        <v>2052</v>
      </c>
      <c r="C138" s="1335" t="s">
        <v>601</v>
      </c>
      <c r="D138" s="1221"/>
      <c r="E138" s="1221"/>
      <c r="F138" s="1221"/>
      <c r="G138" s="1221">
        <v>18460427557</v>
      </c>
      <c r="H138" s="1221"/>
      <c r="I138" s="1221"/>
      <c r="J138" s="1221"/>
      <c r="K138" s="1221"/>
      <c r="L138" s="1221">
        <f t="shared" si="12"/>
        <v>18460427557</v>
      </c>
    </row>
    <row r="139" spans="2:16" ht="12.6" customHeight="1" x14ac:dyDescent="0.35">
      <c r="B139" s="568" t="s">
        <v>625</v>
      </c>
      <c r="C139" s="1335" t="s">
        <v>601</v>
      </c>
      <c r="D139" s="1221">
        <v>61887499003</v>
      </c>
      <c r="E139" s="1221"/>
      <c r="F139" s="1221">
        <f t="shared" si="13"/>
        <v>61887499003</v>
      </c>
      <c r="G139" s="1221">
        <f>188301285546</f>
        <v>188301285546</v>
      </c>
      <c r="H139" s="1221"/>
      <c r="I139" s="1221"/>
      <c r="J139" s="1221"/>
      <c r="K139" s="1221"/>
      <c r="L139" s="1221">
        <f t="shared" si="12"/>
        <v>250188784549</v>
      </c>
    </row>
    <row r="140" spans="2:16" ht="12.6" customHeight="1" x14ac:dyDescent="0.35">
      <c r="B140" s="568" t="s">
        <v>626</v>
      </c>
      <c r="C140" s="634" t="s">
        <v>602</v>
      </c>
      <c r="D140" s="1221">
        <v>182743948410</v>
      </c>
      <c r="E140" s="1221"/>
      <c r="F140" s="1221">
        <f t="shared" si="13"/>
        <v>182743948410</v>
      </c>
      <c r="G140" s="1221">
        <v>27450470553</v>
      </c>
      <c r="H140" s="1221"/>
      <c r="I140" s="1221"/>
      <c r="J140" s="1221"/>
      <c r="K140" s="1221"/>
      <c r="L140" s="1221">
        <f t="shared" si="12"/>
        <v>210194418963</v>
      </c>
    </row>
    <row r="141" spans="2:16" ht="12.6" customHeight="1" x14ac:dyDescent="0.35">
      <c r="B141" s="568" t="s">
        <v>627</v>
      </c>
      <c r="C141" s="1335" t="s">
        <v>603</v>
      </c>
      <c r="D141" s="1221">
        <v>140082173274</v>
      </c>
      <c r="E141" s="1221"/>
      <c r="F141" s="1221">
        <f t="shared" si="13"/>
        <v>140082173274</v>
      </c>
      <c r="G141" s="1221">
        <v>16001409725</v>
      </c>
      <c r="H141" s="1221"/>
      <c r="I141" s="1221"/>
      <c r="J141" s="1221"/>
      <c r="K141" s="1221"/>
      <c r="L141" s="1221">
        <f t="shared" si="12"/>
        <v>156083582999</v>
      </c>
    </row>
    <row r="142" spans="2:16" ht="12.6" customHeight="1" x14ac:dyDescent="0.35">
      <c r="B142" s="421" t="s">
        <v>628</v>
      </c>
      <c r="C142" s="377" t="s">
        <v>604</v>
      </c>
      <c r="D142" s="1221">
        <v>3403977000</v>
      </c>
      <c r="E142" s="1221"/>
      <c r="F142" s="1221">
        <f t="shared" si="13"/>
        <v>3403977000</v>
      </c>
      <c r="G142" s="1221"/>
      <c r="H142" s="1221"/>
      <c r="I142" s="1221"/>
      <c r="J142" s="1221"/>
      <c r="K142" s="1221"/>
      <c r="L142" s="1221">
        <f t="shared" si="12"/>
        <v>3403977000</v>
      </c>
    </row>
    <row r="143" spans="2:16" ht="12.6" customHeight="1" x14ac:dyDescent="0.35">
      <c r="B143" s="421" t="s">
        <v>645</v>
      </c>
      <c r="C143" s="1304" t="s">
        <v>644</v>
      </c>
      <c r="D143" s="1221">
        <v>63310920</v>
      </c>
      <c r="E143" s="1221"/>
      <c r="F143" s="1221">
        <f t="shared" si="13"/>
        <v>63310920</v>
      </c>
      <c r="G143" s="1221"/>
      <c r="H143" s="1221"/>
      <c r="I143" s="1221"/>
      <c r="J143" s="1221"/>
      <c r="K143" s="1221"/>
      <c r="L143" s="1221">
        <f t="shared" si="12"/>
        <v>63310920</v>
      </c>
    </row>
    <row r="144" spans="2:16" s="1502" customFormat="1" ht="12.6" customHeight="1" x14ac:dyDescent="0.35">
      <c r="B144" s="568" t="s">
        <v>2053</v>
      </c>
      <c r="C144" s="634" t="s">
        <v>605</v>
      </c>
      <c r="D144" s="1221"/>
      <c r="E144" s="1221"/>
      <c r="F144" s="1221"/>
      <c r="G144" s="1221">
        <v>6257769663</v>
      </c>
      <c r="H144" s="1221"/>
      <c r="I144" s="1221"/>
      <c r="J144" s="1221"/>
      <c r="K144" s="1221"/>
      <c r="L144" s="1221">
        <f t="shared" si="12"/>
        <v>6257769663</v>
      </c>
    </row>
    <row r="145" spans="2:12" ht="12.6" customHeight="1" x14ac:dyDescent="0.35">
      <c r="B145" s="568" t="s">
        <v>629</v>
      </c>
      <c r="C145" s="634" t="s">
        <v>605</v>
      </c>
      <c r="D145" s="1221">
        <v>85391346814</v>
      </c>
      <c r="E145" s="1221"/>
      <c r="F145" s="1221">
        <f t="shared" si="13"/>
        <v>85391346814</v>
      </c>
      <c r="G145" s="1221">
        <f>30788889618</f>
        <v>30788889618</v>
      </c>
      <c r="H145" s="1221"/>
      <c r="I145" s="1221"/>
      <c r="J145" s="1221"/>
      <c r="K145" s="1221"/>
      <c r="L145" s="1221">
        <f t="shared" si="12"/>
        <v>116180236432</v>
      </c>
    </row>
    <row r="146" spans="2:12" ht="12.6" customHeight="1" x14ac:dyDescent="0.35">
      <c r="B146" s="917" t="s">
        <v>713</v>
      </c>
      <c r="C146" s="1106" t="s">
        <v>712</v>
      </c>
      <c r="D146" s="1221">
        <v>3917494</v>
      </c>
      <c r="E146" s="1221"/>
      <c r="F146" s="1221">
        <f t="shared" si="13"/>
        <v>3917494</v>
      </c>
      <c r="G146" s="1221"/>
      <c r="H146" s="1221"/>
      <c r="I146" s="1221"/>
      <c r="J146" s="1221"/>
      <c r="K146" s="1221"/>
      <c r="L146" s="1221">
        <f t="shared" si="12"/>
        <v>3917494</v>
      </c>
    </row>
    <row r="147" spans="2:12" ht="12.6" customHeight="1" x14ac:dyDescent="0.35">
      <c r="B147" s="422" t="s">
        <v>1080</v>
      </c>
      <c r="C147" s="1317" t="s">
        <v>1081</v>
      </c>
      <c r="D147" s="1221">
        <v>110182520294</v>
      </c>
      <c r="E147" s="1221"/>
      <c r="F147" s="1221">
        <f t="shared" si="13"/>
        <v>110182520294</v>
      </c>
      <c r="G147" s="1221">
        <v>96335469264</v>
      </c>
      <c r="H147" s="1221"/>
      <c r="I147" s="1221"/>
      <c r="J147" s="1221"/>
      <c r="K147" s="1221">
        <v>-12753760082</v>
      </c>
      <c r="L147" s="1221">
        <f t="shared" si="12"/>
        <v>193764229476</v>
      </c>
    </row>
    <row r="148" spans="2:12" ht="12.6" customHeight="1" x14ac:dyDescent="0.35">
      <c r="B148" s="422" t="s">
        <v>1078</v>
      </c>
      <c r="C148" s="921" t="s">
        <v>1077</v>
      </c>
      <c r="D148" s="1221">
        <v>150117586239</v>
      </c>
      <c r="E148" s="1221"/>
      <c r="F148" s="1221">
        <f t="shared" si="13"/>
        <v>150117586239</v>
      </c>
      <c r="G148" s="1221">
        <v>36188758121</v>
      </c>
      <c r="H148" s="1221"/>
      <c r="I148" s="1221"/>
      <c r="J148" s="1221"/>
      <c r="K148" s="1221">
        <v>2984000000</v>
      </c>
      <c r="L148" s="1221">
        <f t="shared" si="12"/>
        <v>189290344360</v>
      </c>
    </row>
    <row r="149" spans="2:12" ht="12.6" customHeight="1" x14ac:dyDescent="0.35">
      <c r="B149" s="421" t="s">
        <v>677</v>
      </c>
      <c r="C149" s="1106" t="s">
        <v>676</v>
      </c>
      <c r="D149" s="1318">
        <v>131114567568</v>
      </c>
      <c r="E149" s="1318"/>
      <c r="F149" s="1221">
        <f t="shared" si="13"/>
        <v>131114567568</v>
      </c>
      <c r="G149" s="1318">
        <v>14436000000</v>
      </c>
      <c r="H149" s="1318"/>
      <c r="I149" s="1318"/>
      <c r="J149" s="1318"/>
      <c r="K149" s="1318">
        <v>-33421761547</v>
      </c>
      <c r="L149" s="1221">
        <f t="shared" si="12"/>
        <v>112128806021</v>
      </c>
    </row>
    <row r="150" spans="2:12" ht="12.6" customHeight="1" x14ac:dyDescent="0.35">
      <c r="B150" s="421" t="s">
        <v>1083</v>
      </c>
      <c r="C150" s="1319" t="s">
        <v>1082</v>
      </c>
      <c r="D150" s="1318">
        <v>9538088351</v>
      </c>
      <c r="E150" s="1318"/>
      <c r="F150" s="1221">
        <f t="shared" si="13"/>
        <v>9538088351</v>
      </c>
      <c r="G150" s="1318">
        <v>18967006498</v>
      </c>
      <c r="H150" s="1318"/>
      <c r="I150" s="1318"/>
      <c r="J150" s="1318"/>
      <c r="K150" s="1318"/>
      <c r="L150" s="1221">
        <f t="shared" si="12"/>
        <v>28505094849</v>
      </c>
    </row>
    <row r="151" spans="2:12" ht="12.6" customHeight="1" x14ac:dyDescent="0.35">
      <c r="B151" s="876" t="s">
        <v>1330</v>
      </c>
      <c r="C151" s="1078" t="s">
        <v>1329</v>
      </c>
      <c r="D151" s="1318">
        <v>24821354288</v>
      </c>
      <c r="E151" s="1318"/>
      <c r="F151" s="1221">
        <f t="shared" si="13"/>
        <v>24821354288</v>
      </c>
      <c r="G151" s="1318">
        <v>42735847214</v>
      </c>
      <c r="H151" s="1318"/>
      <c r="I151" s="1318"/>
      <c r="J151" s="1318"/>
      <c r="K151" s="1318"/>
      <c r="L151" s="1221">
        <f t="shared" si="12"/>
        <v>67557201502</v>
      </c>
    </row>
    <row r="152" spans="2:12" ht="12.6" customHeight="1" x14ac:dyDescent="0.35">
      <c r="B152" s="421" t="s">
        <v>544</v>
      </c>
      <c r="C152" s="1176" t="s">
        <v>543</v>
      </c>
      <c r="D152" s="1318">
        <v>12295474194</v>
      </c>
      <c r="E152" s="1318"/>
      <c r="F152" s="1221">
        <f t="shared" si="13"/>
        <v>12295474194</v>
      </c>
      <c r="G152" s="1318"/>
      <c r="H152" s="1318"/>
      <c r="I152" s="1318"/>
      <c r="J152" s="1318"/>
      <c r="K152" s="1318"/>
      <c r="L152" s="1221">
        <f t="shared" si="12"/>
        <v>12295474194</v>
      </c>
    </row>
    <row r="153" spans="2:12" ht="12.6" customHeight="1" x14ac:dyDescent="0.35">
      <c r="B153" s="421" t="s">
        <v>170</v>
      </c>
      <c r="C153" s="1320" t="s">
        <v>171</v>
      </c>
      <c r="D153" s="1318">
        <v>27436099071</v>
      </c>
      <c r="E153" s="1318"/>
      <c r="F153" s="1221">
        <f t="shared" si="13"/>
        <v>27436099071</v>
      </c>
      <c r="G153" s="1318"/>
      <c r="H153" s="1318"/>
      <c r="I153" s="1318"/>
      <c r="J153" s="1318"/>
      <c r="K153" s="1318"/>
      <c r="L153" s="1221">
        <f t="shared" si="12"/>
        <v>27436099071</v>
      </c>
    </row>
    <row r="154" spans="2:12" ht="12.6" customHeight="1" x14ac:dyDescent="0.35">
      <c r="B154" s="1321" t="s">
        <v>1798</v>
      </c>
      <c r="C154" s="1322" t="s">
        <v>1797</v>
      </c>
      <c r="D154" s="1318">
        <v>7282763744</v>
      </c>
      <c r="E154" s="1318"/>
      <c r="F154" s="1221">
        <f t="shared" si="13"/>
        <v>7282763744</v>
      </c>
      <c r="G154" s="1318"/>
      <c r="H154" s="1318"/>
      <c r="I154" s="1318"/>
      <c r="J154" s="1318"/>
      <c r="K154" s="1318"/>
      <c r="L154" s="1221">
        <f t="shared" si="12"/>
        <v>7282763744</v>
      </c>
    </row>
    <row r="155" spans="2:12" ht="12.6" customHeight="1" x14ac:dyDescent="0.35">
      <c r="B155" s="421" t="s">
        <v>739</v>
      </c>
      <c r="C155" s="1106" t="s">
        <v>738</v>
      </c>
      <c r="D155" s="1318">
        <v>1447686</v>
      </c>
      <c r="E155" s="1318"/>
      <c r="F155" s="1221">
        <f t="shared" si="13"/>
        <v>1447686</v>
      </c>
      <c r="G155" s="1318"/>
      <c r="H155" s="1318"/>
      <c r="I155" s="1318"/>
      <c r="J155" s="1318"/>
      <c r="K155" s="1318"/>
      <c r="L155" s="1221">
        <f t="shared" si="12"/>
        <v>1447686</v>
      </c>
    </row>
    <row r="156" spans="2:12" ht="12.6" customHeight="1" x14ac:dyDescent="0.35">
      <c r="B156" s="421" t="s">
        <v>733</v>
      </c>
      <c r="C156" s="1106" t="s">
        <v>732</v>
      </c>
      <c r="D156" s="1318"/>
      <c r="E156" s="1318">
        <v>488447</v>
      </c>
      <c r="F156" s="1221">
        <f t="shared" si="13"/>
        <v>488447</v>
      </c>
      <c r="G156" s="1318"/>
      <c r="H156" s="1318"/>
      <c r="I156" s="1318"/>
      <c r="J156" s="1318"/>
      <c r="K156" s="1318"/>
      <c r="L156" s="1221">
        <f t="shared" si="12"/>
        <v>488447</v>
      </c>
    </row>
    <row r="157" spans="2:12" ht="12.6" customHeight="1" x14ac:dyDescent="0.35">
      <c r="B157" s="357" t="s">
        <v>1378</v>
      </c>
      <c r="C157" s="1323" t="s">
        <v>144</v>
      </c>
      <c r="D157" s="1318"/>
      <c r="E157" s="1318"/>
      <c r="F157" s="1221">
        <f t="shared" si="13"/>
        <v>0</v>
      </c>
      <c r="G157" s="1318"/>
      <c r="H157" s="1318">
        <f>-'ياد 15  سايرهزينه '!O10</f>
        <v>0</v>
      </c>
      <c r="I157" s="1318"/>
      <c r="J157" s="1318"/>
      <c r="K157" s="1318"/>
      <c r="L157" s="1221">
        <f t="shared" si="12"/>
        <v>0</v>
      </c>
    </row>
    <row r="158" spans="2:12" ht="12.6" customHeight="1" x14ac:dyDescent="0.35">
      <c r="B158" s="422" t="s">
        <v>292</v>
      </c>
      <c r="C158" s="921" t="s">
        <v>1079</v>
      </c>
      <c r="D158" s="1318"/>
      <c r="E158" s="1318"/>
      <c r="F158" s="1221">
        <f t="shared" si="13"/>
        <v>0</v>
      </c>
      <c r="G158" s="1318"/>
      <c r="H158" s="1318">
        <f>-'ياد 15  سايرهزينه '!O11</f>
        <v>0</v>
      </c>
      <c r="I158" s="1318"/>
      <c r="J158" s="1318"/>
      <c r="K158" s="1318"/>
      <c r="L158" s="1221">
        <f t="shared" si="12"/>
        <v>0</v>
      </c>
    </row>
    <row r="159" spans="2:12" ht="12.6" customHeight="1" x14ac:dyDescent="0.4">
      <c r="B159" s="422" t="s">
        <v>639</v>
      </c>
      <c r="C159" s="931" t="s">
        <v>638</v>
      </c>
      <c r="D159" s="1318"/>
      <c r="E159" s="1318"/>
      <c r="F159" s="1221">
        <f t="shared" si="13"/>
        <v>0</v>
      </c>
      <c r="G159" s="1318"/>
      <c r="H159" s="1318">
        <f>-'ياد 15  سايرهزينه '!O12</f>
        <v>0</v>
      </c>
      <c r="I159" s="1318"/>
      <c r="J159" s="1318"/>
      <c r="K159" s="1318"/>
      <c r="L159" s="1221">
        <f t="shared" si="12"/>
        <v>0</v>
      </c>
    </row>
    <row r="160" spans="2:12" ht="12.6" customHeight="1" x14ac:dyDescent="0.35">
      <c r="B160" s="421" t="s">
        <v>636</v>
      </c>
      <c r="C160" s="1305" t="s">
        <v>638</v>
      </c>
      <c r="D160" s="1318"/>
      <c r="E160" s="1318"/>
      <c r="F160" s="1221">
        <f t="shared" si="13"/>
        <v>0</v>
      </c>
      <c r="G160" s="1318"/>
      <c r="H160" s="1318">
        <f>-'ياد 15  سايرهزينه '!O13</f>
        <v>0</v>
      </c>
      <c r="I160" s="1318"/>
      <c r="J160" s="1318"/>
      <c r="K160" s="1318"/>
      <c r="L160" s="1221">
        <f t="shared" si="12"/>
        <v>0</v>
      </c>
    </row>
    <row r="161" spans="2:21" s="1458" customFormat="1" ht="12.6" customHeight="1" x14ac:dyDescent="0.4">
      <c r="B161" s="1514" t="s">
        <v>2143</v>
      </c>
      <c r="C161" s="1513" t="s">
        <v>2142</v>
      </c>
      <c r="D161" s="1318"/>
      <c r="E161" s="1318"/>
      <c r="F161" s="1318"/>
      <c r="G161" s="1318">
        <v>6330754133</v>
      </c>
      <c r="H161" s="1318"/>
      <c r="I161" s="1318"/>
      <c r="J161" s="1318"/>
      <c r="K161" s="1318"/>
      <c r="L161" s="1221">
        <f t="shared" si="12"/>
        <v>6330754133</v>
      </c>
    </row>
    <row r="162" spans="2:21" s="1458" customFormat="1" ht="12.6" customHeight="1" x14ac:dyDescent="0.4">
      <c r="B162" s="1512" t="s">
        <v>2057</v>
      </c>
      <c r="C162" s="1513" t="s">
        <v>2034</v>
      </c>
      <c r="D162" s="1318"/>
      <c r="E162" s="1318"/>
      <c r="F162" s="1318"/>
      <c r="G162" s="1318">
        <v>8457578018</v>
      </c>
      <c r="H162" s="1318"/>
      <c r="I162" s="1318"/>
      <c r="J162" s="1318"/>
      <c r="K162" s="1318">
        <v>35780554755</v>
      </c>
      <c r="L162" s="1221">
        <f>D162+I162+G162+J162+H162+E162+K162</f>
        <v>44238132773</v>
      </c>
      <c r="O162" s="1456"/>
      <c r="P162" s="1515"/>
      <c r="Q162" s="1503"/>
      <c r="R162" s="1503"/>
      <c r="S162" s="1503"/>
      <c r="T162" s="1503"/>
      <c r="U162" s="1504"/>
    </row>
    <row r="163" spans="2:21" s="1458" customFormat="1" ht="12.6" customHeight="1" x14ac:dyDescent="0.4">
      <c r="B163" s="1512" t="s">
        <v>2150</v>
      </c>
      <c r="C163" s="1513" t="s">
        <v>2149</v>
      </c>
      <c r="D163" s="1318"/>
      <c r="E163" s="1318"/>
      <c r="F163" s="1318"/>
      <c r="G163" s="1318">
        <v>20514798380</v>
      </c>
      <c r="H163" s="1318"/>
      <c r="I163" s="1318"/>
      <c r="J163" s="1318"/>
      <c r="K163" s="1318"/>
      <c r="L163" s="1221">
        <f t="shared" si="12"/>
        <v>20514798380</v>
      </c>
    </row>
    <row r="164" spans="2:21" s="1458" customFormat="1" ht="12.6" customHeight="1" x14ac:dyDescent="0.4">
      <c r="B164" s="1512" t="s">
        <v>2151</v>
      </c>
      <c r="C164" s="1513" t="s">
        <v>2144</v>
      </c>
      <c r="D164" s="1318"/>
      <c r="E164" s="1318"/>
      <c r="F164" s="1318"/>
      <c r="G164" s="1318">
        <v>4029150283</v>
      </c>
      <c r="H164" s="1318"/>
      <c r="I164" s="1318"/>
      <c r="J164" s="1318"/>
      <c r="K164" s="1318"/>
      <c r="L164" s="1221">
        <f t="shared" si="12"/>
        <v>4029150283</v>
      </c>
    </row>
    <row r="165" spans="2:21" s="1458" customFormat="1" ht="12.6" customHeight="1" x14ac:dyDescent="0.4">
      <c r="B165" s="1512" t="s">
        <v>2154</v>
      </c>
      <c r="C165" s="1513" t="s">
        <v>2037</v>
      </c>
      <c r="D165" s="1318"/>
      <c r="E165" s="1318"/>
      <c r="F165" s="1318"/>
      <c r="G165" s="1318">
        <v>28096233461</v>
      </c>
      <c r="H165" s="1318"/>
      <c r="I165" s="1318"/>
      <c r="J165" s="1318"/>
      <c r="K165" s="1318">
        <v>3000000000</v>
      </c>
      <c r="L165" s="1221">
        <f t="shared" si="12"/>
        <v>31096233461</v>
      </c>
    </row>
    <row r="166" spans="2:21" s="1458" customFormat="1" ht="12.6" customHeight="1" x14ac:dyDescent="0.4">
      <c r="B166" s="1456" t="s">
        <v>2064</v>
      </c>
      <c r="C166" s="1516" t="s">
        <v>2042</v>
      </c>
      <c r="D166" s="1318"/>
      <c r="E166" s="1318"/>
      <c r="F166" s="1318"/>
      <c r="G166" s="1318">
        <v>1888203640</v>
      </c>
      <c r="H166" s="1318"/>
      <c r="I166" s="1318"/>
      <c r="J166" s="1318"/>
      <c r="K166" s="1318"/>
      <c r="L166" s="1221">
        <f t="shared" si="12"/>
        <v>1888203640</v>
      </c>
    </row>
    <row r="167" spans="2:21" s="1458" customFormat="1" ht="12.6" customHeight="1" x14ac:dyDescent="0.4">
      <c r="B167" s="1514" t="s">
        <v>2041</v>
      </c>
      <c r="C167" s="1513" t="s">
        <v>2040</v>
      </c>
      <c r="D167" s="1318"/>
      <c r="E167" s="1318"/>
      <c r="F167" s="1318"/>
      <c r="G167" s="1318">
        <v>54253876980</v>
      </c>
      <c r="H167" s="1318"/>
      <c r="I167" s="1318"/>
      <c r="J167" s="1318"/>
      <c r="K167" s="1318"/>
      <c r="L167" s="1221">
        <f t="shared" si="12"/>
        <v>54253876980</v>
      </c>
    </row>
    <row r="168" spans="2:21" ht="12.6" customHeight="1" thickBot="1" x14ac:dyDescent="0.4">
      <c r="B168" s="3764" t="s">
        <v>195</v>
      </c>
      <c r="C168" s="3765"/>
      <c r="D168" s="1324">
        <f>SUM(D119:D167)+1000000</f>
        <v>6148884654115</v>
      </c>
      <c r="E168" s="1324">
        <f>SUM(E119:E160)</f>
        <v>488447</v>
      </c>
      <c r="F168" s="1324">
        <f>SUM(F119:F160)+3000000</f>
        <v>6148887142562</v>
      </c>
      <c r="G168" s="1324">
        <f t="shared" ref="G168:K168" si="14">SUM(G119:G167)</f>
        <v>1706083818699</v>
      </c>
      <c r="H168" s="1324">
        <f t="shared" si="14"/>
        <v>0</v>
      </c>
      <c r="I168" s="1324">
        <f t="shared" si="14"/>
        <v>-2060468774</v>
      </c>
      <c r="J168" s="1324">
        <f t="shared" si="14"/>
        <v>39075823989</v>
      </c>
      <c r="K168" s="1324">
        <f t="shared" si="14"/>
        <v>0</v>
      </c>
      <c r="L168" s="1324">
        <f>SUM(L119:L167)-2000000</f>
        <v>7891981316476</v>
      </c>
      <c r="O168" s="721">
        <v>6148842997165</v>
      </c>
      <c r="P168" s="1011">
        <f>L168-O168</f>
        <v>1743138319311</v>
      </c>
    </row>
    <row r="169" spans="2:21" ht="11.45" customHeight="1" thickTop="1" x14ac:dyDescent="0.4">
      <c r="B169" s="1079"/>
      <c r="C169" s="511"/>
      <c r="D169" s="1238"/>
      <c r="E169" s="1238"/>
      <c r="F169" s="1238"/>
      <c r="G169" s="1238" t="s">
        <v>531</v>
      </c>
      <c r="H169" s="1238" t="s">
        <v>1883</v>
      </c>
      <c r="I169" s="3766" t="s">
        <v>926</v>
      </c>
      <c r="J169" s="3766"/>
      <c r="K169" s="1356"/>
      <c r="L169" s="512"/>
    </row>
    <row r="170" spans="2:21" ht="16.899999999999999" customHeight="1" x14ac:dyDescent="0.35">
      <c r="B170" s="3767" t="s">
        <v>1912</v>
      </c>
      <c r="C170" s="3767"/>
      <c r="D170" s="3767"/>
      <c r="E170" s="3767"/>
      <c r="F170" s="3767"/>
      <c r="G170" s="3767"/>
      <c r="H170" s="3767"/>
      <c r="I170" s="3767"/>
      <c r="J170" s="3767"/>
      <c r="K170" s="3767"/>
      <c r="L170" s="3767"/>
      <c r="M170" s="1080"/>
      <c r="N170" s="1080"/>
      <c r="O170" s="1080">
        <f>D168+G168+I168+H168+J168</f>
        <v>7891983828029</v>
      </c>
      <c r="P170" s="1080"/>
      <c r="Q170" s="1080"/>
      <c r="R170" s="1080"/>
    </row>
    <row r="171" spans="2:21" ht="16.899999999999999" customHeight="1" x14ac:dyDescent="0.35">
      <c r="B171" s="3767"/>
      <c r="C171" s="3767"/>
      <c r="D171" s="3767"/>
      <c r="E171" s="3767"/>
      <c r="F171" s="3767"/>
      <c r="G171" s="3767"/>
      <c r="H171" s="3767"/>
      <c r="I171" s="3767"/>
      <c r="J171" s="3767"/>
      <c r="K171" s="3767"/>
      <c r="L171" s="3767"/>
      <c r="M171" s="1080"/>
      <c r="N171" s="1080"/>
      <c r="O171" s="1080">
        <v>7853500213349</v>
      </c>
      <c r="P171" s="1080"/>
      <c r="Q171" s="1080"/>
      <c r="R171" s="1080"/>
    </row>
    <row r="172" spans="2:21" ht="9.6" customHeight="1" x14ac:dyDescent="0.35">
      <c r="B172" s="3767" t="s">
        <v>1957</v>
      </c>
      <c r="C172" s="3767"/>
      <c r="D172" s="3767"/>
      <c r="E172" s="3767"/>
      <c r="F172" s="3767"/>
      <c r="G172" s="3767"/>
      <c r="H172" s="3767"/>
      <c r="I172" s="3767"/>
      <c r="J172" s="3767"/>
      <c r="K172" s="3767"/>
      <c r="L172" s="3767"/>
      <c r="M172" s="1080"/>
      <c r="N172" s="1080"/>
      <c r="O172" s="1080">
        <f>L168-O171</f>
        <v>38481103127</v>
      </c>
      <c r="P172" s="1080"/>
      <c r="Q172" s="1080"/>
      <c r="R172" s="1080"/>
    </row>
    <row r="173" spans="2:21" ht="9.6" customHeight="1" x14ac:dyDescent="0.35">
      <c r="B173" s="3767"/>
      <c r="C173" s="3767"/>
      <c r="D173" s="3767"/>
      <c r="E173" s="3767"/>
      <c r="F173" s="3767"/>
      <c r="G173" s="3767"/>
      <c r="H173" s="3767"/>
      <c r="I173" s="3767"/>
      <c r="J173" s="3767"/>
      <c r="K173" s="3767"/>
      <c r="L173" s="3767"/>
      <c r="M173" s="1080"/>
      <c r="N173" s="1080"/>
      <c r="O173" s="1080"/>
      <c r="P173" s="1080"/>
      <c r="Q173" s="1080"/>
      <c r="R173" s="1080"/>
    </row>
    <row r="174" spans="2:21" ht="16.149999999999999" customHeight="1" x14ac:dyDescent="0.4">
      <c r="B174" s="3758">
        <v>63</v>
      </c>
      <c r="C174" s="3758"/>
      <c r="D174" s="3758"/>
      <c r="E174" s="3758"/>
      <c r="F174" s="3758"/>
      <c r="G174" s="3758"/>
      <c r="H174" s="3758"/>
      <c r="I174" s="3758"/>
      <c r="J174" s="3758"/>
      <c r="K174" s="3758"/>
      <c r="L174" s="3758"/>
      <c r="O174" s="1457"/>
    </row>
    <row r="175" spans="2:21" x14ac:dyDescent="0.4">
      <c r="B175" s="721" t="s">
        <v>2273</v>
      </c>
    </row>
    <row r="176" spans="2:21" ht="15" x14ac:dyDescent="0.35">
      <c r="D176" s="1229"/>
      <c r="E176" s="1229"/>
      <c r="F176" s="1229"/>
    </row>
    <row r="178" spans="2:7" x14ac:dyDescent="0.4">
      <c r="B178" s="721"/>
    </row>
    <row r="179" spans="2:7" x14ac:dyDescent="0.4">
      <c r="B179" s="721"/>
      <c r="G179" s="1232">
        <f>G168+'مطالبات بلند مدت دولت ياددا (2)'!G90</f>
        <v>3021108523177</v>
      </c>
    </row>
    <row r="180" spans="2:7" x14ac:dyDescent="0.4">
      <c r="B180" s="721"/>
    </row>
    <row r="181" spans="2:7" x14ac:dyDescent="0.4">
      <c r="B181" s="721"/>
    </row>
    <row r="182" spans="2:7" x14ac:dyDescent="0.4">
      <c r="B182" s="721"/>
    </row>
    <row r="183" spans="2:7" x14ac:dyDescent="0.4">
      <c r="B183" s="721"/>
    </row>
    <row r="184" spans="2:7" x14ac:dyDescent="0.4">
      <c r="B184" s="721"/>
    </row>
    <row r="185" spans="2:7" x14ac:dyDescent="0.4">
      <c r="B185" s="721"/>
    </row>
    <row r="186" spans="2:7" x14ac:dyDescent="0.4">
      <c r="B186" s="721"/>
    </row>
    <row r="187" spans="2:7" x14ac:dyDescent="0.4">
      <c r="B187" s="721"/>
    </row>
    <row r="188" spans="2:7" x14ac:dyDescent="0.4">
      <c r="B188" s="721"/>
    </row>
    <row r="189" spans="2:7" x14ac:dyDescent="0.4">
      <c r="B189" s="721"/>
    </row>
    <row r="190" spans="2:7" x14ac:dyDescent="0.4">
      <c r="B190" s="721"/>
    </row>
    <row r="191" spans="2:7" x14ac:dyDescent="0.4">
      <c r="B191" s="721"/>
    </row>
    <row r="192" spans="2:7" x14ac:dyDescent="0.4">
      <c r="B192" s="721"/>
    </row>
  </sheetData>
  <mergeCells count="76">
    <mergeCell ref="B119:C119"/>
    <mergeCell ref="F117:F118"/>
    <mergeCell ref="K80:K81"/>
    <mergeCell ref="K117:K118"/>
    <mergeCell ref="B113:L113"/>
    <mergeCell ref="D80:D81"/>
    <mergeCell ref="B109:C109"/>
    <mergeCell ref="B110:L110"/>
    <mergeCell ref="H80:H81"/>
    <mergeCell ref="J80:J81"/>
    <mergeCell ref="B111:L111"/>
    <mergeCell ref="B112:L112"/>
    <mergeCell ref="B44:C44"/>
    <mergeCell ref="B80:B81"/>
    <mergeCell ref="I80:I81"/>
    <mergeCell ref="I117:I118"/>
    <mergeCell ref="B76:L76"/>
    <mergeCell ref="B117:B118"/>
    <mergeCell ref="B114:L114"/>
    <mergeCell ref="C117:C118"/>
    <mergeCell ref="D117:D118"/>
    <mergeCell ref="G117:G118"/>
    <mergeCell ref="L117:L118"/>
    <mergeCell ref="H117:H118"/>
    <mergeCell ref="J117:J118"/>
    <mergeCell ref="E80:E81"/>
    <mergeCell ref="F80:F81"/>
    <mergeCell ref="E117:E118"/>
    <mergeCell ref="B1:L1"/>
    <mergeCell ref="B2:L2"/>
    <mergeCell ref="B3:L3"/>
    <mergeCell ref="B4:L4"/>
    <mergeCell ref="B36:L36"/>
    <mergeCell ref="B6:L6"/>
    <mergeCell ref="B8:L8"/>
    <mergeCell ref="B34:C34"/>
    <mergeCell ref="B10:B11"/>
    <mergeCell ref="C10:C11"/>
    <mergeCell ref="G10:G11"/>
    <mergeCell ref="B35:L35"/>
    <mergeCell ref="D10:D11"/>
    <mergeCell ref="I10:I11"/>
    <mergeCell ref="L10:L11"/>
    <mergeCell ref="K10:K11"/>
    <mergeCell ref="H10:H11"/>
    <mergeCell ref="J10:J11"/>
    <mergeCell ref="H42:H43"/>
    <mergeCell ref="J42:J43"/>
    <mergeCell ref="E10:E11"/>
    <mergeCell ref="F10:F11"/>
    <mergeCell ref="E42:E43"/>
    <mergeCell ref="F42:F43"/>
    <mergeCell ref="B37:L37"/>
    <mergeCell ref="B38:L38"/>
    <mergeCell ref="B39:L39"/>
    <mergeCell ref="B42:B43"/>
    <mergeCell ref="C42:C43"/>
    <mergeCell ref="I42:I43"/>
    <mergeCell ref="G42:G43"/>
    <mergeCell ref="D42:D43"/>
    <mergeCell ref="L42:L43"/>
    <mergeCell ref="K42:K43"/>
    <mergeCell ref="B174:L174"/>
    <mergeCell ref="B72:C72"/>
    <mergeCell ref="L80:L81"/>
    <mergeCell ref="B77:L77"/>
    <mergeCell ref="B74:L74"/>
    <mergeCell ref="B82:C82"/>
    <mergeCell ref="B168:C168"/>
    <mergeCell ref="B75:L75"/>
    <mergeCell ref="I169:J169"/>
    <mergeCell ref="B172:L173"/>
    <mergeCell ref="B170:L171"/>
    <mergeCell ref="C80:C81"/>
    <mergeCell ref="G80:G81"/>
    <mergeCell ref="B73:L73"/>
  </mergeCells>
  <phoneticPr fontId="123" type="noConversion"/>
  <printOptions horizontalCentered="1"/>
  <pageMargins left="0.47244094488188998" right="0.47244094488188998" top="0.59055118110236204" bottom="0" header="0" footer="0"/>
  <pageSetup scale="89" orientation="portrait" r:id="rId1"/>
  <rowBreaks count="3" manualBreakCount="3">
    <brk id="35" max="6" man="1"/>
    <brk id="73" max="11" man="1"/>
    <brk id="110" max="11"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2060"/>
  </sheetPr>
  <dimension ref="A1:Q97"/>
  <sheetViews>
    <sheetView rightToLeft="1" view="pageBreakPreview" topLeftCell="B1" zoomScale="102" zoomScaleNormal="112" zoomScaleSheetLayoutView="102" workbookViewId="0">
      <selection activeCell="B96" sqref="B96"/>
    </sheetView>
  </sheetViews>
  <sheetFormatPr defaultColWidth="8.85546875" defaultRowHeight="15" x14ac:dyDescent="0.35"/>
  <cols>
    <col min="1" max="1" width="1.28515625" style="721" customWidth="1"/>
    <col min="2" max="2" width="10.5703125" style="721" customWidth="1"/>
    <col min="3" max="3" width="39" style="721" customWidth="1"/>
    <col min="4" max="4" width="10.5703125" style="1219" customWidth="1"/>
    <col min="5" max="5" width="8.28515625" style="1219" hidden="1" customWidth="1"/>
    <col min="6" max="6" width="6.7109375" style="1219" hidden="1" customWidth="1"/>
    <col min="7" max="7" width="7.42578125" style="1219" customWidth="1"/>
    <col min="8" max="8" width="6.5703125" style="1219" customWidth="1"/>
    <col min="9" max="10" width="7.28515625" style="1219" customWidth="1"/>
    <col min="11" max="11" width="9.7109375" style="1219" customWidth="1"/>
    <col min="12" max="12" width="1" style="721" customWidth="1"/>
    <col min="13" max="14" width="13.85546875" style="721" customWidth="1"/>
    <col min="15" max="15" width="16.7109375" style="721" customWidth="1"/>
    <col min="16" max="16" width="8.85546875" style="721"/>
    <col min="17" max="17" width="11.5703125" style="721" bestFit="1" customWidth="1"/>
    <col min="18" max="16384" width="8.85546875" style="721"/>
  </cols>
  <sheetData>
    <row r="1" spans="1:12" s="185" customFormat="1" ht="16.149999999999999" customHeight="1" x14ac:dyDescent="0.5">
      <c r="A1" s="3431" t="s">
        <v>32</v>
      </c>
      <c r="B1" s="3431"/>
      <c r="C1" s="3431"/>
      <c r="D1" s="3431"/>
      <c r="E1" s="3431"/>
      <c r="F1" s="3431"/>
      <c r="G1" s="3431"/>
      <c r="H1" s="3431"/>
      <c r="I1" s="3431"/>
      <c r="J1" s="3431"/>
      <c r="K1" s="3431"/>
      <c r="L1" s="3431"/>
    </row>
    <row r="2" spans="1:12" s="185" customFormat="1" ht="16.149999999999999" customHeight="1" x14ac:dyDescent="0.5">
      <c r="A2" s="3431" t="s">
        <v>45</v>
      </c>
      <c r="B2" s="3431"/>
      <c r="C2" s="3431"/>
      <c r="D2" s="3431"/>
      <c r="E2" s="3431"/>
      <c r="F2" s="3431"/>
      <c r="G2" s="3431"/>
      <c r="H2" s="3431"/>
      <c r="I2" s="3431"/>
      <c r="J2" s="3431"/>
      <c r="K2" s="3431"/>
      <c r="L2" s="3431"/>
    </row>
    <row r="3" spans="1:12" s="185" customFormat="1" ht="16.149999999999999" customHeight="1" x14ac:dyDescent="0.5">
      <c r="A3" s="3431" t="s">
        <v>46</v>
      </c>
      <c r="B3" s="3431"/>
      <c r="C3" s="3431"/>
      <c r="D3" s="3431"/>
      <c r="E3" s="3431"/>
      <c r="F3" s="3431"/>
      <c r="G3" s="3431"/>
      <c r="H3" s="3431"/>
      <c r="I3" s="3431"/>
      <c r="J3" s="3431"/>
      <c r="K3" s="3431"/>
      <c r="L3" s="3431"/>
    </row>
    <row r="4" spans="1:12" s="185" customFormat="1" ht="16.149999999999999" customHeight="1" x14ac:dyDescent="0.5">
      <c r="A4" s="3057" t="s">
        <v>1978</v>
      </c>
      <c r="B4" s="3057"/>
      <c r="C4" s="3057"/>
      <c r="D4" s="3057"/>
      <c r="E4" s="3057"/>
      <c r="F4" s="3057"/>
      <c r="G4" s="3057"/>
      <c r="H4" s="3057"/>
      <c r="I4" s="3057"/>
      <c r="J4" s="3057"/>
      <c r="K4" s="3057"/>
      <c r="L4" s="3057"/>
    </row>
    <row r="5" spans="1:12" s="185" customFormat="1" ht="13.9" customHeight="1" x14ac:dyDescent="0.5">
      <c r="A5" s="139"/>
      <c r="B5" s="717"/>
      <c r="C5" s="717"/>
      <c r="D5" s="1217"/>
      <c r="E5" s="1217"/>
      <c r="F5" s="1217"/>
      <c r="G5" s="1217"/>
      <c r="H5" s="1217"/>
      <c r="I5" s="1217"/>
      <c r="J5" s="1217"/>
      <c r="K5" s="1217"/>
    </row>
    <row r="6" spans="1:12" ht="13.15" customHeight="1" x14ac:dyDescent="0.35">
      <c r="A6" s="57"/>
      <c r="B6" s="989" t="s">
        <v>1119</v>
      </c>
      <c r="C6" s="989"/>
      <c r="D6" s="1218"/>
      <c r="E6" s="1218"/>
      <c r="F6" s="1218"/>
      <c r="G6" s="1218"/>
      <c r="H6" s="1218"/>
      <c r="I6" s="1218"/>
      <c r="J6" s="1218"/>
    </row>
    <row r="7" spans="1:12" ht="12.6" customHeight="1" x14ac:dyDescent="0.35">
      <c r="A7" s="57"/>
      <c r="B7" s="720"/>
      <c r="C7" s="720"/>
      <c r="D7" s="1220"/>
      <c r="E7" s="1220"/>
      <c r="F7" s="1220"/>
      <c r="G7" s="1220"/>
      <c r="H7" s="1220"/>
      <c r="I7" s="1220"/>
      <c r="J7" s="1220"/>
    </row>
    <row r="8" spans="1:12" ht="42.6" customHeight="1" x14ac:dyDescent="0.35">
      <c r="B8" s="3097" t="s">
        <v>1247</v>
      </c>
      <c r="C8" s="3097"/>
      <c r="D8" s="3097"/>
      <c r="E8" s="3097"/>
      <c r="F8" s="3097"/>
      <c r="G8" s="3097"/>
      <c r="H8" s="3097"/>
      <c r="I8" s="3097"/>
      <c r="J8" s="3097"/>
      <c r="K8" s="3097"/>
    </row>
    <row r="9" spans="1:12" ht="16.149999999999999" customHeight="1" x14ac:dyDescent="0.35">
      <c r="B9" s="953"/>
      <c r="C9" s="953"/>
      <c r="D9" s="1220"/>
      <c r="E9" s="1220"/>
      <c r="F9" s="1220"/>
      <c r="G9" s="3791" t="s">
        <v>194</v>
      </c>
      <c r="H9" s="3791"/>
      <c r="I9" s="3791"/>
      <c r="J9" s="3791"/>
      <c r="K9" s="3791"/>
    </row>
    <row r="10" spans="1:12" ht="31.9" customHeight="1" x14ac:dyDescent="0.35">
      <c r="B10" s="3772" t="s">
        <v>53</v>
      </c>
      <c r="C10" s="3768" t="s">
        <v>54</v>
      </c>
      <c r="D10" s="3755" t="s">
        <v>1246</v>
      </c>
      <c r="E10" s="3756" t="s">
        <v>1116</v>
      </c>
      <c r="F10" s="3756" t="s">
        <v>1921</v>
      </c>
      <c r="G10" s="3779" t="s">
        <v>1120</v>
      </c>
      <c r="H10" s="3777" t="s">
        <v>1376</v>
      </c>
      <c r="I10" s="3777" t="s">
        <v>1858</v>
      </c>
      <c r="J10" s="3777" t="s">
        <v>898</v>
      </c>
      <c r="K10" s="3779" t="s">
        <v>1996</v>
      </c>
    </row>
    <row r="11" spans="1:12" ht="18" customHeight="1" x14ac:dyDescent="0.35">
      <c r="B11" s="3772"/>
      <c r="C11" s="3768"/>
      <c r="D11" s="3755"/>
      <c r="E11" s="3757"/>
      <c r="F11" s="3757"/>
      <c r="G11" s="3779"/>
      <c r="H11" s="3778"/>
      <c r="I11" s="3778"/>
      <c r="J11" s="3778"/>
      <c r="K11" s="3779"/>
    </row>
    <row r="12" spans="1:12" s="628" customFormat="1" ht="21.6" customHeight="1" x14ac:dyDescent="0.2">
      <c r="B12" s="722" t="s">
        <v>260</v>
      </c>
      <c r="C12" s="723" t="s">
        <v>261</v>
      </c>
      <c r="D12" s="1221">
        <v>30632626902</v>
      </c>
      <c r="E12" s="1221"/>
      <c r="F12" s="1221">
        <f>D12+E12</f>
        <v>30632626902</v>
      </c>
      <c r="G12" s="1221"/>
      <c r="H12" s="1221"/>
      <c r="I12" s="1221"/>
      <c r="J12" s="1221"/>
      <c r="K12" s="1221">
        <f>D12+G12+H12+E12+I12</f>
        <v>30632626902</v>
      </c>
    </row>
    <row r="13" spans="1:12" s="628" customFormat="1" ht="21.6" customHeight="1" x14ac:dyDescent="0.2">
      <c r="B13" s="722" t="s">
        <v>847</v>
      </c>
      <c r="C13" s="723" t="s">
        <v>848</v>
      </c>
      <c r="D13" s="1221">
        <v>352045600</v>
      </c>
      <c r="E13" s="1221"/>
      <c r="F13" s="1221">
        <f t="shared" ref="F13:F39" si="0">D13+E13</f>
        <v>352045600</v>
      </c>
      <c r="G13" s="1221"/>
      <c r="H13" s="1221"/>
      <c r="I13" s="1221"/>
      <c r="J13" s="1221"/>
      <c r="K13" s="1221">
        <f t="shared" ref="K13:K39" si="1">D13+G13+H13+E13+I13</f>
        <v>352045600</v>
      </c>
    </row>
    <row r="14" spans="1:12" s="628" customFormat="1" ht="21.6" customHeight="1" x14ac:dyDescent="0.2">
      <c r="B14" s="722" t="s">
        <v>853</v>
      </c>
      <c r="C14" s="723" t="s">
        <v>854</v>
      </c>
      <c r="D14" s="1221">
        <v>1399083800</v>
      </c>
      <c r="E14" s="1221"/>
      <c r="F14" s="1221">
        <f t="shared" si="0"/>
        <v>1399083800</v>
      </c>
      <c r="G14" s="1221"/>
      <c r="H14" s="1221"/>
      <c r="I14" s="1221"/>
      <c r="J14" s="1221"/>
      <c r="K14" s="1221">
        <f t="shared" si="1"/>
        <v>1399083800</v>
      </c>
    </row>
    <row r="15" spans="1:12" s="628" customFormat="1" ht="21.6" customHeight="1" x14ac:dyDescent="0.2">
      <c r="B15" s="722" t="s">
        <v>855</v>
      </c>
      <c r="C15" s="723" t="s">
        <v>856</v>
      </c>
      <c r="D15" s="1221">
        <v>1479230267</v>
      </c>
      <c r="E15" s="1221"/>
      <c r="F15" s="1221">
        <f t="shared" si="0"/>
        <v>1479230267</v>
      </c>
      <c r="G15" s="1221"/>
      <c r="H15" s="1221"/>
      <c r="I15" s="1221"/>
      <c r="J15" s="1221"/>
      <c r="K15" s="1221">
        <f t="shared" si="1"/>
        <v>1479230267</v>
      </c>
    </row>
    <row r="16" spans="1:12" s="628" customFormat="1" ht="21.6" customHeight="1" x14ac:dyDescent="0.2">
      <c r="B16" s="722" t="s">
        <v>248</v>
      </c>
      <c r="C16" s="723" t="s">
        <v>249</v>
      </c>
      <c r="D16" s="1221">
        <v>11718489954</v>
      </c>
      <c r="E16" s="1221"/>
      <c r="F16" s="1221">
        <f t="shared" si="0"/>
        <v>11718489954</v>
      </c>
      <c r="G16" s="1221"/>
      <c r="H16" s="1221"/>
      <c r="I16" s="1221"/>
      <c r="J16" s="1221"/>
      <c r="K16" s="1221">
        <f t="shared" si="1"/>
        <v>11718489954</v>
      </c>
    </row>
    <row r="17" spans="2:14" s="628" customFormat="1" ht="21.6" customHeight="1" x14ac:dyDescent="0.2">
      <c r="B17" s="722" t="s">
        <v>246</v>
      </c>
      <c r="C17" s="723" t="s">
        <v>247</v>
      </c>
      <c r="D17" s="1221">
        <v>24778330106</v>
      </c>
      <c r="E17" s="1221"/>
      <c r="F17" s="1221">
        <f t="shared" si="0"/>
        <v>24778330106</v>
      </c>
      <c r="G17" s="1221"/>
      <c r="H17" s="1221"/>
      <c r="I17" s="1221"/>
      <c r="J17" s="1221"/>
      <c r="K17" s="1221">
        <f t="shared" si="1"/>
        <v>24778330106</v>
      </c>
    </row>
    <row r="18" spans="2:14" s="628" customFormat="1" ht="21.6" customHeight="1" x14ac:dyDescent="0.2">
      <c r="B18" s="722" t="s">
        <v>866</v>
      </c>
      <c r="C18" s="723" t="s">
        <v>867</v>
      </c>
      <c r="D18" s="1221">
        <v>6261000000</v>
      </c>
      <c r="E18" s="1221"/>
      <c r="F18" s="1221">
        <f t="shared" si="0"/>
        <v>6261000000</v>
      </c>
      <c r="G18" s="1221"/>
      <c r="H18" s="1221"/>
      <c r="I18" s="1221"/>
      <c r="J18" s="1221"/>
      <c r="K18" s="1221">
        <f t="shared" si="1"/>
        <v>6261000000</v>
      </c>
    </row>
    <row r="19" spans="2:14" s="628" customFormat="1" ht="21.6" customHeight="1" x14ac:dyDescent="0.2">
      <c r="B19" s="722" t="s">
        <v>869</v>
      </c>
      <c r="C19" s="723" t="s">
        <v>201</v>
      </c>
      <c r="D19" s="1221">
        <v>9688275280</v>
      </c>
      <c r="E19" s="1221"/>
      <c r="F19" s="1221">
        <f t="shared" si="0"/>
        <v>9688275280</v>
      </c>
      <c r="G19" s="1221"/>
      <c r="H19" s="1221"/>
      <c r="I19" s="1221"/>
      <c r="J19" s="1221"/>
      <c r="K19" s="1221">
        <f t="shared" si="1"/>
        <v>9688275280</v>
      </c>
    </row>
    <row r="20" spans="2:14" s="628" customFormat="1" ht="21.6" customHeight="1" x14ac:dyDescent="0.2">
      <c r="B20" s="722" t="s">
        <v>228</v>
      </c>
      <c r="C20" s="723" t="s">
        <v>229</v>
      </c>
      <c r="D20" s="1221">
        <v>40906624177</v>
      </c>
      <c r="E20" s="1221"/>
      <c r="F20" s="1221">
        <f t="shared" si="0"/>
        <v>40906624177</v>
      </c>
      <c r="G20" s="1221"/>
      <c r="H20" s="1221">
        <v>8176</v>
      </c>
      <c r="I20" s="1221"/>
      <c r="J20" s="1221"/>
      <c r="K20" s="1221">
        <f t="shared" si="1"/>
        <v>40906632353</v>
      </c>
    </row>
    <row r="21" spans="2:14" s="628" customFormat="1" ht="21.6" customHeight="1" x14ac:dyDescent="0.2">
      <c r="B21" s="722" t="s">
        <v>870</v>
      </c>
      <c r="C21" s="723" t="s">
        <v>871</v>
      </c>
      <c r="D21" s="1221">
        <v>500000000</v>
      </c>
      <c r="E21" s="1221"/>
      <c r="F21" s="1221">
        <f t="shared" si="0"/>
        <v>500000000</v>
      </c>
      <c r="G21" s="1221"/>
      <c r="H21" s="1221"/>
      <c r="I21" s="1221"/>
      <c r="J21" s="1221"/>
      <c r="K21" s="1221">
        <f t="shared" si="1"/>
        <v>500000000</v>
      </c>
    </row>
    <row r="22" spans="2:14" s="628" customFormat="1" ht="21.6" customHeight="1" x14ac:dyDescent="0.2">
      <c r="B22" s="722" t="s">
        <v>874</v>
      </c>
      <c r="C22" s="723" t="s">
        <v>875</v>
      </c>
      <c r="D22" s="1221">
        <v>2000000000</v>
      </c>
      <c r="E22" s="1221"/>
      <c r="F22" s="1221">
        <f t="shared" si="0"/>
        <v>2000000000</v>
      </c>
      <c r="G22" s="1221"/>
      <c r="H22" s="1221"/>
      <c r="I22" s="1221"/>
      <c r="J22" s="1221"/>
      <c r="K22" s="1221">
        <f t="shared" si="1"/>
        <v>2000000000</v>
      </c>
    </row>
    <row r="23" spans="2:14" s="628" customFormat="1" ht="21.6" customHeight="1" x14ac:dyDescent="0.2">
      <c r="B23" s="722" t="s">
        <v>66</v>
      </c>
      <c r="C23" s="723" t="s">
        <v>67</v>
      </c>
      <c r="D23" s="1221">
        <v>32065849457</v>
      </c>
      <c r="E23" s="1221"/>
      <c r="F23" s="1221">
        <f t="shared" si="0"/>
        <v>32065849457</v>
      </c>
      <c r="G23" s="1221"/>
      <c r="H23" s="1221"/>
      <c r="I23" s="1221"/>
      <c r="J23" s="1221"/>
      <c r="K23" s="1221">
        <f t="shared" si="1"/>
        <v>32065849457</v>
      </c>
    </row>
    <row r="24" spans="2:14" s="628" customFormat="1" ht="21.6" customHeight="1" x14ac:dyDescent="0.2">
      <c r="B24" s="722" t="s">
        <v>68</v>
      </c>
      <c r="C24" s="723" t="s">
        <v>70</v>
      </c>
      <c r="D24" s="1221">
        <v>297654561208</v>
      </c>
      <c r="E24" s="1221"/>
      <c r="F24" s="1221">
        <f t="shared" si="0"/>
        <v>297654561208</v>
      </c>
      <c r="G24" s="1221"/>
      <c r="H24" s="1221"/>
      <c r="I24" s="1221"/>
      <c r="J24" s="1221"/>
      <c r="K24" s="1221">
        <f t="shared" si="1"/>
        <v>297654561208</v>
      </c>
    </row>
    <row r="25" spans="2:14" s="628" customFormat="1" ht="21.6" customHeight="1" x14ac:dyDescent="0.2">
      <c r="B25" s="722" t="s">
        <v>69</v>
      </c>
      <c r="C25" s="723" t="s">
        <v>70</v>
      </c>
      <c r="D25" s="1221">
        <v>3791996231</v>
      </c>
      <c r="E25" s="1221"/>
      <c r="F25" s="1221">
        <f t="shared" si="0"/>
        <v>3791996231</v>
      </c>
      <c r="G25" s="1221"/>
      <c r="H25" s="1221"/>
      <c r="I25" s="1221"/>
      <c r="J25" s="1221"/>
      <c r="K25" s="1221">
        <f t="shared" si="1"/>
        <v>3791996231</v>
      </c>
    </row>
    <row r="26" spans="2:14" s="628" customFormat="1" ht="21.6" customHeight="1" x14ac:dyDescent="0.2">
      <c r="B26" s="722">
        <v>1307002010</v>
      </c>
      <c r="C26" s="723" t="s">
        <v>592</v>
      </c>
      <c r="D26" s="1221">
        <v>1696232443585</v>
      </c>
      <c r="E26" s="1221"/>
      <c r="F26" s="1221">
        <f t="shared" si="0"/>
        <v>1696232443585</v>
      </c>
      <c r="G26" s="1221">
        <v>313393675963</v>
      </c>
      <c r="H26" s="1221"/>
      <c r="I26" s="1221"/>
      <c r="J26" s="1221"/>
      <c r="K26" s="1221">
        <f t="shared" si="1"/>
        <v>2009626119548</v>
      </c>
      <c r="M26" s="50"/>
    </row>
    <row r="27" spans="2:14" s="628" customFormat="1" ht="21.6" customHeight="1" x14ac:dyDescent="0.2">
      <c r="B27" s="722" t="s">
        <v>346</v>
      </c>
      <c r="C27" s="723" t="s">
        <v>323</v>
      </c>
      <c r="D27" s="1221">
        <v>3135609636397</v>
      </c>
      <c r="E27" s="1221"/>
      <c r="F27" s="1221">
        <f t="shared" si="0"/>
        <v>3135609636397</v>
      </c>
      <c r="G27" s="1221">
        <f>1000000000+465651101926</f>
        <v>466651101926</v>
      </c>
      <c r="H27" s="1221">
        <f>-'يادداشت 8سرمايه گذاري در شركتها'!I124-424897176</f>
        <v>1635571598</v>
      </c>
      <c r="I27" s="1221"/>
      <c r="J27" s="1221"/>
      <c r="K27" s="1221">
        <f t="shared" si="1"/>
        <v>3603896309921</v>
      </c>
      <c r="N27" s="1354">
        <f>H27+I66</f>
        <v>1469983406</v>
      </c>
    </row>
    <row r="28" spans="2:14" s="628" customFormat="1" ht="21.6" customHeight="1" x14ac:dyDescent="0.2">
      <c r="B28" s="722">
        <v>1503002046</v>
      </c>
      <c r="C28" s="723" t="s">
        <v>83</v>
      </c>
      <c r="D28" s="1221">
        <v>1150398135734</v>
      </c>
      <c r="E28" s="1221"/>
      <c r="F28" s="1221">
        <f t="shared" si="0"/>
        <v>1150398135734</v>
      </c>
      <c r="G28" s="1221">
        <v>191903677100</v>
      </c>
      <c r="H28" s="1221"/>
      <c r="I28" s="1221"/>
      <c r="J28" s="1221"/>
      <c r="K28" s="1221">
        <f t="shared" si="1"/>
        <v>1342301812834</v>
      </c>
      <c r="M28" s="50"/>
    </row>
    <row r="29" spans="2:14" s="628" customFormat="1" ht="21.6" customHeight="1" x14ac:dyDescent="0.2">
      <c r="B29" s="722">
        <v>1503002096</v>
      </c>
      <c r="C29" s="723" t="s">
        <v>84</v>
      </c>
      <c r="D29" s="1221">
        <v>79845090612</v>
      </c>
      <c r="E29" s="1221"/>
      <c r="F29" s="1221">
        <f t="shared" si="0"/>
        <v>79845090612</v>
      </c>
      <c r="G29" s="1221">
        <v>8129752971</v>
      </c>
      <c r="H29" s="1221"/>
      <c r="I29" s="1221"/>
      <c r="J29" s="1221"/>
      <c r="K29" s="1221">
        <f t="shared" si="1"/>
        <v>87974843583</v>
      </c>
    </row>
    <row r="30" spans="2:14" s="628" customFormat="1" ht="21.6" customHeight="1" x14ac:dyDescent="0.2">
      <c r="B30" s="722">
        <v>1503002173</v>
      </c>
      <c r="C30" s="723" t="s">
        <v>85</v>
      </c>
      <c r="D30" s="1221">
        <v>394840317869</v>
      </c>
      <c r="E30" s="1221"/>
      <c r="F30" s="1221">
        <f t="shared" si="0"/>
        <v>394840317869</v>
      </c>
      <c r="G30" s="1221">
        <v>78336658055</v>
      </c>
      <c r="H30" s="1221"/>
      <c r="I30" s="1221"/>
      <c r="J30" s="1221"/>
      <c r="K30" s="1221">
        <f t="shared" si="1"/>
        <v>473176975924</v>
      </c>
      <c r="M30" s="50"/>
    </row>
    <row r="31" spans="2:14" s="628" customFormat="1" ht="21.6" customHeight="1" x14ac:dyDescent="0.2">
      <c r="B31" s="722">
        <v>1503002067</v>
      </c>
      <c r="C31" s="723" t="s">
        <v>86</v>
      </c>
      <c r="D31" s="1221">
        <v>44681404651</v>
      </c>
      <c r="E31" s="1221"/>
      <c r="F31" s="1221">
        <f t="shared" si="0"/>
        <v>44681404651</v>
      </c>
      <c r="G31" s="1221"/>
      <c r="H31" s="1221"/>
      <c r="I31" s="1221"/>
      <c r="J31" s="1221"/>
      <c r="K31" s="1221">
        <f t="shared" si="1"/>
        <v>44681404651</v>
      </c>
    </row>
    <row r="32" spans="2:14" s="628" customFormat="1" ht="21.6" customHeight="1" x14ac:dyDescent="0.2">
      <c r="B32" s="722">
        <v>1307006001</v>
      </c>
      <c r="C32" s="723" t="s">
        <v>87</v>
      </c>
      <c r="D32" s="1221">
        <v>38485338621</v>
      </c>
      <c r="E32" s="1221"/>
      <c r="F32" s="1221">
        <f t="shared" si="0"/>
        <v>38485338621</v>
      </c>
      <c r="G32" s="1221"/>
      <c r="H32" s="1221"/>
      <c r="I32" s="1221">
        <f>-D32</f>
        <v>-38485338621</v>
      </c>
      <c r="J32" s="1221"/>
      <c r="K32" s="1221">
        <f t="shared" si="1"/>
        <v>0</v>
      </c>
    </row>
    <row r="33" spans="1:13" s="628" customFormat="1" ht="21.6" customHeight="1" x14ac:dyDescent="0.2">
      <c r="B33" s="722" t="s">
        <v>89</v>
      </c>
      <c r="C33" s="723" t="s">
        <v>255</v>
      </c>
      <c r="D33" s="1221">
        <v>122273383171</v>
      </c>
      <c r="E33" s="1221"/>
      <c r="F33" s="1221">
        <f t="shared" si="0"/>
        <v>122273383171</v>
      </c>
      <c r="G33" s="1221"/>
      <c r="H33" s="1221"/>
      <c r="I33" s="1221"/>
      <c r="J33" s="1221"/>
      <c r="K33" s="1221">
        <f t="shared" si="1"/>
        <v>122273383171</v>
      </c>
    </row>
    <row r="34" spans="1:13" s="628" customFormat="1" ht="21.6" customHeight="1" x14ac:dyDescent="0.2">
      <c r="B34" s="722" t="s">
        <v>90</v>
      </c>
      <c r="C34" s="723" t="s">
        <v>91</v>
      </c>
      <c r="D34" s="1221">
        <v>4214223456</v>
      </c>
      <c r="E34" s="1221"/>
      <c r="F34" s="1221">
        <f t="shared" si="0"/>
        <v>4214223456</v>
      </c>
      <c r="G34" s="1221"/>
      <c r="H34" s="1221"/>
      <c r="I34" s="1221"/>
      <c r="J34" s="1221"/>
      <c r="K34" s="1221">
        <f t="shared" si="1"/>
        <v>4214223456</v>
      </c>
      <c r="M34" s="1354"/>
    </row>
    <row r="35" spans="1:13" s="628" customFormat="1" ht="21.6" customHeight="1" x14ac:dyDescent="0.2">
      <c r="B35" s="722" t="s">
        <v>92</v>
      </c>
      <c r="C35" s="723" t="s">
        <v>93</v>
      </c>
      <c r="D35" s="1221">
        <v>19525801531</v>
      </c>
      <c r="E35" s="1221"/>
      <c r="F35" s="1221">
        <f t="shared" si="0"/>
        <v>19525801531</v>
      </c>
      <c r="G35" s="1221"/>
      <c r="H35" s="1221"/>
      <c r="I35" s="1221"/>
      <c r="J35" s="1221"/>
      <c r="K35" s="1221">
        <f t="shared" si="1"/>
        <v>19525801531</v>
      </c>
    </row>
    <row r="36" spans="1:13" s="628" customFormat="1" ht="21.6" customHeight="1" x14ac:dyDescent="0.2">
      <c r="B36" s="724" t="s">
        <v>96</v>
      </c>
      <c r="C36" s="725" t="s">
        <v>97</v>
      </c>
      <c r="D36" s="1222">
        <v>18636401492</v>
      </c>
      <c r="E36" s="1222"/>
      <c r="F36" s="1221">
        <f t="shared" si="0"/>
        <v>18636401492</v>
      </c>
      <c r="G36" s="1221"/>
      <c r="H36" s="1222"/>
      <c r="I36" s="1222"/>
      <c r="J36" s="1222"/>
      <c r="K36" s="1221">
        <f t="shared" si="1"/>
        <v>18636401492</v>
      </c>
    </row>
    <row r="37" spans="1:13" s="628" customFormat="1" ht="21.6" customHeight="1" x14ac:dyDescent="0.2">
      <c r="B37" s="722" t="s">
        <v>98</v>
      </c>
      <c r="C37" s="723" t="s">
        <v>219</v>
      </c>
      <c r="D37" s="1221">
        <v>60796298925</v>
      </c>
      <c r="E37" s="1221"/>
      <c r="F37" s="1221">
        <f t="shared" si="0"/>
        <v>60796298925</v>
      </c>
      <c r="G37" s="1221"/>
      <c r="H37" s="1221"/>
      <c r="I37" s="1221"/>
      <c r="J37" s="1221"/>
      <c r="K37" s="1221">
        <f t="shared" si="1"/>
        <v>60796298925</v>
      </c>
    </row>
    <row r="38" spans="1:13" s="628" customFormat="1" ht="21.6" customHeight="1" x14ac:dyDescent="0.2">
      <c r="B38" s="722" t="s">
        <v>206</v>
      </c>
      <c r="C38" s="723" t="s">
        <v>207</v>
      </c>
      <c r="D38" s="1221">
        <v>45772176103</v>
      </c>
      <c r="E38" s="1221"/>
      <c r="F38" s="1221">
        <f t="shared" si="0"/>
        <v>45772176103</v>
      </c>
      <c r="G38" s="1221"/>
      <c r="H38" s="1221"/>
      <c r="I38" s="1221"/>
      <c r="J38" s="1221"/>
      <c r="K38" s="1221">
        <f t="shared" si="1"/>
        <v>45772176103</v>
      </c>
    </row>
    <row r="39" spans="1:13" s="628" customFormat="1" ht="21.6" customHeight="1" x14ac:dyDescent="0.2">
      <c r="B39" s="722" t="s">
        <v>103</v>
      </c>
      <c r="C39" s="723" t="s">
        <v>208</v>
      </c>
      <c r="D39" s="1221">
        <v>2737561588</v>
      </c>
      <c r="E39" s="1221"/>
      <c r="F39" s="1221">
        <f t="shared" si="0"/>
        <v>2737561588</v>
      </c>
      <c r="G39" s="1221"/>
      <c r="H39" s="1221"/>
      <c r="I39" s="1221"/>
      <c r="J39" s="1221"/>
      <c r="K39" s="1221">
        <f t="shared" si="1"/>
        <v>2737561588</v>
      </c>
    </row>
    <row r="40" spans="1:13" s="628" customFormat="1" ht="21.6" customHeight="1" x14ac:dyDescent="0.2">
      <c r="B40" s="3780" t="s">
        <v>94</v>
      </c>
      <c r="C40" s="3781"/>
      <c r="D40" s="1221">
        <f>SUM(D12:D39)</f>
        <v>7277276326717</v>
      </c>
      <c r="E40" s="1221">
        <f>SUM(E12:E39)</f>
        <v>0</v>
      </c>
      <c r="F40" s="1221">
        <f>SUM(F12:F39)</f>
        <v>7277276326717</v>
      </c>
      <c r="G40" s="1221">
        <f>SUM(G12:G39)</f>
        <v>1058414866015</v>
      </c>
      <c r="H40" s="1221">
        <f t="shared" ref="H40:I40" si="2">SUM(H12:H39)</f>
        <v>1635579774</v>
      </c>
      <c r="I40" s="1221">
        <f t="shared" si="2"/>
        <v>-38485338621</v>
      </c>
      <c r="J40" s="1221"/>
      <c r="K40" s="1221">
        <f>SUM(K12:K39)</f>
        <v>8298841433885</v>
      </c>
    </row>
    <row r="41" spans="1:13" s="628" customFormat="1" ht="19.149999999999999" customHeight="1" x14ac:dyDescent="0.2">
      <c r="B41" s="1355"/>
      <c r="C41" s="1355"/>
      <c r="D41" s="1356"/>
      <c r="E41" s="1356"/>
      <c r="F41" s="1356"/>
      <c r="G41" s="1356"/>
      <c r="H41" s="1356"/>
      <c r="I41" s="1356"/>
      <c r="J41" s="1356"/>
      <c r="K41" s="1356"/>
    </row>
    <row r="42" spans="1:13" s="628" customFormat="1" ht="10.15" customHeight="1" x14ac:dyDescent="0.2">
      <c r="B42" s="1355"/>
      <c r="C42" s="1355"/>
      <c r="D42" s="1356"/>
      <c r="E42" s="1356"/>
      <c r="F42" s="1356"/>
      <c r="G42" s="1356"/>
      <c r="H42" s="1356"/>
      <c r="I42" s="1356"/>
      <c r="J42" s="1356"/>
      <c r="K42" s="1356"/>
    </row>
    <row r="43" spans="1:13" s="628" customFormat="1" ht="15.6" customHeight="1" x14ac:dyDescent="0.2">
      <c r="B43" s="3782">
        <v>64</v>
      </c>
      <c r="C43" s="3782"/>
      <c r="D43" s="3782"/>
      <c r="E43" s="3782"/>
      <c r="F43" s="3782"/>
      <c r="G43" s="3782"/>
      <c r="H43" s="3782"/>
      <c r="I43" s="3782"/>
      <c r="J43" s="3782"/>
      <c r="K43" s="3782"/>
    </row>
    <row r="44" spans="1:13" s="628" customFormat="1" ht="16.149999999999999" customHeight="1" x14ac:dyDescent="0.2">
      <c r="A44" s="3431" t="s">
        <v>32</v>
      </c>
      <c r="B44" s="3431"/>
      <c r="C44" s="3431"/>
      <c r="D44" s="3431"/>
      <c r="E44" s="3431"/>
      <c r="F44" s="3431"/>
      <c r="G44" s="3431"/>
      <c r="H44" s="3431"/>
      <c r="I44" s="3431"/>
      <c r="J44" s="3431"/>
      <c r="K44" s="3431"/>
      <c r="L44" s="3431"/>
    </row>
    <row r="45" spans="1:13" s="628" customFormat="1" ht="16.149999999999999" customHeight="1" x14ac:dyDescent="0.2">
      <c r="A45" s="3431" t="s">
        <v>45</v>
      </c>
      <c r="B45" s="3431"/>
      <c r="C45" s="3431"/>
      <c r="D45" s="3431"/>
      <c r="E45" s="3431"/>
      <c r="F45" s="3431"/>
      <c r="G45" s="3431"/>
      <c r="H45" s="3431"/>
      <c r="I45" s="3431"/>
      <c r="J45" s="3431"/>
      <c r="K45" s="3431"/>
      <c r="L45" s="3431"/>
    </row>
    <row r="46" spans="1:13" s="628" customFormat="1" ht="16.149999999999999" customHeight="1" x14ac:dyDescent="0.2">
      <c r="A46" s="3431" t="s">
        <v>46</v>
      </c>
      <c r="B46" s="3431"/>
      <c r="C46" s="3431"/>
      <c r="D46" s="3431"/>
      <c r="E46" s="3431"/>
      <c r="F46" s="3431"/>
      <c r="G46" s="3431"/>
      <c r="H46" s="3431"/>
      <c r="I46" s="3431"/>
      <c r="J46" s="3431"/>
      <c r="K46" s="3431"/>
      <c r="L46" s="3431"/>
    </row>
    <row r="47" spans="1:13" s="628" customFormat="1" ht="16.149999999999999" customHeight="1" x14ac:dyDescent="0.2">
      <c r="A47" s="3057" t="s">
        <v>1978</v>
      </c>
      <c r="B47" s="3057"/>
      <c r="C47" s="3057"/>
      <c r="D47" s="3057"/>
      <c r="E47" s="3057"/>
      <c r="F47" s="3057"/>
      <c r="G47" s="3057"/>
      <c r="H47" s="3057"/>
      <c r="I47" s="3057"/>
      <c r="J47" s="3057"/>
      <c r="K47" s="3057"/>
      <c r="L47" s="3057"/>
    </row>
    <row r="48" spans="1:13" s="628" customFormat="1" ht="21" customHeight="1" x14ac:dyDescent="0.35">
      <c r="B48" s="3792" t="s">
        <v>903</v>
      </c>
      <c r="C48" s="3792"/>
      <c r="D48" s="1223"/>
      <c r="E48" s="1404"/>
      <c r="F48" s="1404"/>
      <c r="G48" s="3791" t="s">
        <v>194</v>
      </c>
      <c r="H48" s="3791"/>
      <c r="I48" s="3791"/>
      <c r="J48" s="3791"/>
      <c r="K48" s="3791"/>
    </row>
    <row r="49" spans="2:14" s="628" customFormat="1" ht="15" customHeight="1" x14ac:dyDescent="0.2">
      <c r="B49" s="3772" t="s">
        <v>53</v>
      </c>
      <c r="C49" s="3768" t="s">
        <v>54</v>
      </c>
      <c r="D49" s="3755" t="s">
        <v>1246</v>
      </c>
      <c r="E49" s="3756" t="s">
        <v>1116</v>
      </c>
      <c r="F49" s="3756" t="s">
        <v>1921</v>
      </c>
      <c r="G49" s="3779" t="s">
        <v>1120</v>
      </c>
      <c r="H49" s="3777" t="s">
        <v>1376</v>
      </c>
      <c r="I49" s="3777" t="s">
        <v>1858</v>
      </c>
      <c r="J49" s="3777" t="s">
        <v>898</v>
      </c>
      <c r="K49" s="3779" t="s">
        <v>1996</v>
      </c>
    </row>
    <row r="50" spans="2:14" s="628" customFormat="1" ht="36.6" customHeight="1" x14ac:dyDescent="0.2">
      <c r="B50" s="3772"/>
      <c r="C50" s="3768"/>
      <c r="D50" s="3755"/>
      <c r="E50" s="3757"/>
      <c r="F50" s="3757"/>
      <c r="G50" s="3779"/>
      <c r="H50" s="3778"/>
      <c r="I50" s="3778"/>
      <c r="J50" s="3778"/>
      <c r="K50" s="3779"/>
    </row>
    <row r="51" spans="2:14" s="628" customFormat="1" ht="15.6" customHeight="1" x14ac:dyDescent="0.2">
      <c r="B51" s="3784" t="s">
        <v>181</v>
      </c>
      <c r="C51" s="3785"/>
      <c r="D51" s="1224">
        <f>D40</f>
        <v>7277276326717</v>
      </c>
      <c r="E51" s="1224">
        <f t="shared" ref="E51:K51" si="3">E40</f>
        <v>0</v>
      </c>
      <c r="F51" s="1224">
        <f t="shared" si="3"/>
        <v>7277276326717</v>
      </c>
      <c r="G51" s="1224">
        <f t="shared" si="3"/>
        <v>1058414866015</v>
      </c>
      <c r="H51" s="1224">
        <f t="shared" si="3"/>
        <v>1635579774</v>
      </c>
      <c r="I51" s="1224">
        <f t="shared" si="3"/>
        <v>-38485338621</v>
      </c>
      <c r="J51" s="1224"/>
      <c r="K51" s="1224">
        <f t="shared" si="3"/>
        <v>8298841433885</v>
      </c>
    </row>
    <row r="52" spans="2:14" s="628" customFormat="1" ht="15.6" customHeight="1" x14ac:dyDescent="0.2">
      <c r="B52" s="722" t="s">
        <v>162</v>
      </c>
      <c r="C52" s="723" t="s">
        <v>256</v>
      </c>
      <c r="D52" s="1222">
        <v>2256911504</v>
      </c>
      <c r="E52" s="1222"/>
      <c r="F52" s="1222">
        <f>E52+D52</f>
        <v>2256911504</v>
      </c>
      <c r="G52" s="1224"/>
      <c r="H52" s="1225"/>
      <c r="I52" s="1225"/>
      <c r="J52" s="1225"/>
      <c r="K52" s="1221">
        <f>D52+G52+H52+E52+I52</f>
        <v>2256911504</v>
      </c>
    </row>
    <row r="53" spans="2:14" s="628" customFormat="1" ht="15.6" customHeight="1" x14ac:dyDescent="0.2">
      <c r="B53" s="722" t="s">
        <v>104</v>
      </c>
      <c r="C53" s="723" t="s">
        <v>198</v>
      </c>
      <c r="D53" s="1222">
        <v>36787978487</v>
      </c>
      <c r="E53" s="1222"/>
      <c r="F53" s="1222">
        <f t="shared" ref="F53:F89" si="4">E53+D53</f>
        <v>36787978487</v>
      </c>
      <c r="G53" s="1224"/>
      <c r="H53" s="1225"/>
      <c r="I53" s="1225"/>
      <c r="J53" s="1225"/>
      <c r="K53" s="1221">
        <f t="shared" ref="K53:K89" si="5">D53+G53+H53+E53+I53</f>
        <v>36787978487</v>
      </c>
    </row>
    <row r="54" spans="2:14" s="628" customFormat="1" ht="15.6" customHeight="1" x14ac:dyDescent="0.2">
      <c r="B54" s="722" t="s">
        <v>231</v>
      </c>
      <c r="C54" s="723" t="s">
        <v>232</v>
      </c>
      <c r="D54" s="1221">
        <v>7895406373</v>
      </c>
      <c r="E54" s="1221"/>
      <c r="F54" s="1222">
        <f t="shared" si="4"/>
        <v>7895406373</v>
      </c>
      <c r="G54" s="1224"/>
      <c r="H54" s="1224"/>
      <c r="I54" s="1225"/>
      <c r="J54" s="1225"/>
      <c r="K54" s="1221">
        <f t="shared" si="5"/>
        <v>7895406373</v>
      </c>
    </row>
    <row r="55" spans="2:14" s="628" customFormat="1" ht="15.6" customHeight="1" x14ac:dyDescent="0.2">
      <c r="B55" s="722" t="s">
        <v>105</v>
      </c>
      <c r="C55" s="723" t="s">
        <v>106</v>
      </c>
      <c r="D55" s="1221">
        <v>43365051957</v>
      </c>
      <c r="E55" s="1221"/>
      <c r="F55" s="1222">
        <f t="shared" si="4"/>
        <v>43365051957</v>
      </c>
      <c r="G55" s="1224"/>
      <c r="H55" s="1224"/>
      <c r="I55" s="1225"/>
      <c r="J55" s="1225"/>
      <c r="K55" s="1221">
        <f t="shared" si="5"/>
        <v>43365051957</v>
      </c>
      <c r="N55" s="628">
        <f>9148542007</f>
        <v>9148542007</v>
      </c>
    </row>
    <row r="56" spans="2:14" s="628" customFormat="1" ht="15.6" customHeight="1" x14ac:dyDescent="0.2">
      <c r="B56" s="722" t="s">
        <v>115</v>
      </c>
      <c r="C56" s="723" t="s">
        <v>116</v>
      </c>
      <c r="D56" s="1222">
        <v>2847947209</v>
      </c>
      <c r="E56" s="1222"/>
      <c r="F56" s="1222">
        <f t="shared" si="4"/>
        <v>2847947209</v>
      </c>
      <c r="G56" s="1224"/>
      <c r="H56" s="1225"/>
      <c r="I56" s="1225"/>
      <c r="J56" s="1225"/>
      <c r="K56" s="1221">
        <f t="shared" si="5"/>
        <v>2847947209</v>
      </c>
      <c r="N56" s="50">
        <f>G55-N55</f>
        <v>-9148542007</v>
      </c>
    </row>
    <row r="57" spans="2:14" s="628" customFormat="1" ht="15.6" customHeight="1" x14ac:dyDescent="0.2">
      <c r="B57" s="722" t="s">
        <v>182</v>
      </c>
      <c r="C57" s="723" t="s">
        <v>335</v>
      </c>
      <c r="D57" s="1222">
        <v>26197711066</v>
      </c>
      <c r="E57" s="1222"/>
      <c r="F57" s="1222">
        <f t="shared" si="4"/>
        <v>26197711066</v>
      </c>
      <c r="G57" s="1224"/>
      <c r="H57" s="1225"/>
      <c r="I57" s="1225"/>
      <c r="J57" s="1225"/>
      <c r="K57" s="1221">
        <f t="shared" si="5"/>
        <v>26197711066</v>
      </c>
    </row>
    <row r="58" spans="2:14" s="628" customFormat="1" ht="15.6" customHeight="1" x14ac:dyDescent="0.2">
      <c r="B58" s="722">
        <v>1503003007</v>
      </c>
      <c r="C58" s="723" t="s">
        <v>538</v>
      </c>
      <c r="D58" s="1222">
        <v>26893316661</v>
      </c>
      <c r="E58" s="1222"/>
      <c r="F58" s="1222">
        <f t="shared" si="4"/>
        <v>26893316661</v>
      </c>
      <c r="G58" s="1224">
        <v>1500000000</v>
      </c>
      <c r="H58" s="1225"/>
      <c r="I58" s="1225"/>
      <c r="J58" s="1225"/>
      <c r="K58" s="1221">
        <f t="shared" si="5"/>
        <v>28393316661</v>
      </c>
    </row>
    <row r="59" spans="2:14" s="628" customFormat="1" ht="15.6" customHeight="1" x14ac:dyDescent="0.2">
      <c r="B59" s="722" t="s">
        <v>204</v>
      </c>
      <c r="C59" s="723" t="s">
        <v>82</v>
      </c>
      <c r="D59" s="1222">
        <v>1000297162</v>
      </c>
      <c r="E59" s="1222"/>
      <c r="F59" s="1222">
        <f t="shared" si="4"/>
        <v>1000297162</v>
      </c>
      <c r="G59" s="1224"/>
      <c r="H59" s="1225"/>
      <c r="I59" s="1225"/>
      <c r="J59" s="1225"/>
      <c r="K59" s="1221">
        <f t="shared" si="5"/>
        <v>1000297162</v>
      </c>
    </row>
    <row r="60" spans="2:14" s="628" customFormat="1" ht="15.6" customHeight="1" x14ac:dyDescent="0.2">
      <c r="B60" s="722" t="s">
        <v>288</v>
      </c>
      <c r="C60" s="723" t="s">
        <v>289</v>
      </c>
      <c r="D60" s="1222">
        <v>14520000000</v>
      </c>
      <c r="E60" s="1222"/>
      <c r="F60" s="1222">
        <f t="shared" si="4"/>
        <v>14520000000</v>
      </c>
      <c r="G60" s="1224"/>
      <c r="H60" s="1225"/>
      <c r="I60" s="1225"/>
      <c r="J60" s="1225"/>
      <c r="K60" s="1221">
        <f t="shared" si="5"/>
        <v>14520000000</v>
      </c>
    </row>
    <row r="61" spans="2:14" s="628" customFormat="1" ht="15.6" customHeight="1" x14ac:dyDescent="0.2">
      <c r="B61" s="726">
        <v>40902056</v>
      </c>
      <c r="C61" s="727" t="s">
        <v>352</v>
      </c>
      <c r="D61" s="1221">
        <v>1387500000</v>
      </c>
      <c r="E61" s="1221"/>
      <c r="F61" s="1222">
        <f t="shared" si="4"/>
        <v>1387500000</v>
      </c>
      <c r="G61" s="1224"/>
      <c r="H61" s="1224"/>
      <c r="I61" s="1225"/>
      <c r="J61" s="1225"/>
      <c r="K61" s="1221">
        <f t="shared" si="5"/>
        <v>1387500000</v>
      </c>
    </row>
    <row r="62" spans="2:14" s="628" customFormat="1" ht="15.6" customHeight="1" x14ac:dyDescent="0.2">
      <c r="B62" s="726" t="s">
        <v>344</v>
      </c>
      <c r="C62" s="727" t="s">
        <v>345</v>
      </c>
      <c r="D62" s="1221">
        <v>8000000000</v>
      </c>
      <c r="E62" s="1221"/>
      <c r="F62" s="1222">
        <f t="shared" si="4"/>
        <v>8000000000</v>
      </c>
      <c r="G62" s="1224"/>
      <c r="H62" s="1224"/>
      <c r="I62" s="1225"/>
      <c r="J62" s="1225"/>
      <c r="K62" s="1221">
        <f t="shared" si="5"/>
        <v>8000000000</v>
      </c>
    </row>
    <row r="63" spans="2:14" s="628" customFormat="1" ht="15.6" customHeight="1" x14ac:dyDescent="0.2">
      <c r="B63" s="728" t="s">
        <v>77</v>
      </c>
      <c r="C63" s="729" t="s">
        <v>143</v>
      </c>
      <c r="D63" s="1222">
        <v>42948789475</v>
      </c>
      <c r="E63" s="1222"/>
      <c r="F63" s="1222">
        <f t="shared" si="4"/>
        <v>42948789475</v>
      </c>
      <c r="G63" s="1224"/>
      <c r="H63" s="1225"/>
      <c r="I63" s="1225"/>
      <c r="J63" s="1225"/>
      <c r="K63" s="1221">
        <f t="shared" si="5"/>
        <v>42948789475</v>
      </c>
      <c r="N63" s="50">
        <f>N64-D65</f>
        <v>-881511168</v>
      </c>
    </row>
    <row r="64" spans="2:14" s="628" customFormat="1" ht="15.6" customHeight="1" x14ac:dyDescent="0.2">
      <c r="B64" s="726" t="s">
        <v>98</v>
      </c>
      <c r="C64" s="727" t="s">
        <v>219</v>
      </c>
      <c r="D64" s="1221">
        <v>1880996737</v>
      </c>
      <c r="E64" s="1221"/>
      <c r="F64" s="1222">
        <f t="shared" si="4"/>
        <v>1880996737</v>
      </c>
      <c r="G64" s="1224"/>
      <c r="H64" s="1224"/>
      <c r="I64" s="1225"/>
      <c r="J64" s="1225"/>
      <c r="K64" s="1221">
        <f t="shared" si="5"/>
        <v>1880996737</v>
      </c>
      <c r="N64" s="628">
        <v>3110634027</v>
      </c>
    </row>
    <row r="65" spans="2:14" s="628" customFormat="1" ht="15.6" customHeight="1" x14ac:dyDescent="0.2">
      <c r="B65" s="730" t="s">
        <v>75</v>
      </c>
      <c r="C65" s="727" t="s">
        <v>76</v>
      </c>
      <c r="D65" s="1221">
        <v>3992145195</v>
      </c>
      <c r="E65" s="1221"/>
      <c r="F65" s="1222">
        <f t="shared" si="4"/>
        <v>3992145195</v>
      </c>
      <c r="G65" s="1224"/>
      <c r="H65" s="1224"/>
      <c r="I65" s="1225"/>
      <c r="J65" s="1225">
        <v>-309756220</v>
      </c>
      <c r="K65" s="1221">
        <f>D65+G65+H65+E65+I65+J65</f>
        <v>3682388975</v>
      </c>
      <c r="N65" s="628">
        <v>2521351992</v>
      </c>
    </row>
    <row r="66" spans="2:14" s="628" customFormat="1" ht="15.6" customHeight="1" x14ac:dyDescent="0.2">
      <c r="B66" s="731" t="s">
        <v>546</v>
      </c>
      <c r="C66" s="732" t="s">
        <v>545</v>
      </c>
      <c r="D66" s="1222">
        <v>93174403565</v>
      </c>
      <c r="E66" s="1222"/>
      <c r="F66" s="1222">
        <f t="shared" si="4"/>
        <v>93174403565</v>
      </c>
      <c r="G66" s="1224">
        <v>7569874255</v>
      </c>
      <c r="H66" s="1225"/>
      <c r="I66" s="1225">
        <v>-165588192</v>
      </c>
      <c r="J66" s="1225"/>
      <c r="K66" s="1221">
        <f t="shared" ref="K66:K67" si="6">D66+G66+H66+E66+I66+J66</f>
        <v>100578689628</v>
      </c>
      <c r="N66" s="50">
        <f>G65-N65</f>
        <v>-2521351992</v>
      </c>
    </row>
    <row r="67" spans="2:14" s="628" customFormat="1" ht="15.6" customHeight="1" x14ac:dyDescent="0.2">
      <c r="B67" s="731" t="s">
        <v>555</v>
      </c>
      <c r="C67" s="732" t="s">
        <v>545</v>
      </c>
      <c r="D67" s="1221">
        <v>88721000000</v>
      </c>
      <c r="E67" s="1221"/>
      <c r="F67" s="1222">
        <f t="shared" si="4"/>
        <v>88721000000</v>
      </c>
      <c r="G67" s="1224">
        <v>3125724537</v>
      </c>
      <c r="H67" s="1224"/>
      <c r="I67" s="1225"/>
      <c r="J67" s="1225">
        <v>309756220</v>
      </c>
      <c r="K67" s="1221">
        <f t="shared" si="6"/>
        <v>92156480757</v>
      </c>
      <c r="N67" s="50"/>
    </row>
    <row r="68" spans="2:14" s="628" customFormat="1" ht="15.6" customHeight="1" x14ac:dyDescent="0.2">
      <c r="B68" s="229" t="s">
        <v>99</v>
      </c>
      <c r="C68" s="315" t="s">
        <v>100</v>
      </c>
      <c r="D68" s="1222">
        <v>17441493381</v>
      </c>
      <c r="E68" s="1222"/>
      <c r="F68" s="1222">
        <f t="shared" si="4"/>
        <v>17441493381</v>
      </c>
      <c r="G68" s="1224"/>
      <c r="H68" s="1225"/>
      <c r="I68" s="1225"/>
      <c r="J68" s="1225"/>
      <c r="K68" s="1221">
        <f t="shared" si="5"/>
        <v>17441493381</v>
      </c>
    </row>
    <row r="69" spans="2:14" s="628" customFormat="1" ht="15.6" customHeight="1" x14ac:dyDescent="0.2">
      <c r="B69" s="229" t="s">
        <v>113</v>
      </c>
      <c r="C69" s="315" t="s">
        <v>114</v>
      </c>
      <c r="D69" s="1222">
        <v>12759092073</v>
      </c>
      <c r="E69" s="1222"/>
      <c r="F69" s="1222">
        <f t="shared" si="4"/>
        <v>12759092073</v>
      </c>
      <c r="G69" s="1224"/>
      <c r="H69" s="1225"/>
      <c r="I69" s="1225"/>
      <c r="J69" s="1225"/>
      <c r="K69" s="1221">
        <f t="shared" si="5"/>
        <v>12759092073</v>
      </c>
      <c r="N69" s="1354">
        <f>H27+I66</f>
        <v>1469983406</v>
      </c>
    </row>
    <row r="70" spans="2:14" s="628" customFormat="1" ht="15.6" customHeight="1" x14ac:dyDescent="0.2">
      <c r="B70" s="100" t="s">
        <v>73</v>
      </c>
      <c r="C70" s="85" t="s">
        <v>74</v>
      </c>
      <c r="D70" s="1221">
        <v>57768296348</v>
      </c>
      <c r="E70" s="1221"/>
      <c r="F70" s="1222">
        <f t="shared" si="4"/>
        <v>57768296348</v>
      </c>
      <c r="G70" s="1224"/>
      <c r="H70" s="1224"/>
      <c r="I70" s="1225"/>
      <c r="J70" s="1225"/>
      <c r="K70" s="1221">
        <f t="shared" si="5"/>
        <v>57768296348</v>
      </c>
    </row>
    <row r="71" spans="2:14" s="628" customFormat="1" ht="15.6" customHeight="1" x14ac:dyDescent="0.2">
      <c r="B71" s="101" t="s">
        <v>71</v>
      </c>
      <c r="C71" s="213" t="s">
        <v>72</v>
      </c>
      <c r="D71" s="1221">
        <v>976880462</v>
      </c>
      <c r="E71" s="1221"/>
      <c r="F71" s="1222">
        <f t="shared" si="4"/>
        <v>976880462</v>
      </c>
      <c r="G71" s="1224"/>
      <c r="H71" s="1224"/>
      <c r="I71" s="1225"/>
      <c r="J71" s="1225"/>
      <c r="K71" s="1221">
        <f t="shared" si="5"/>
        <v>976880462</v>
      </c>
    </row>
    <row r="72" spans="2:14" s="628" customFormat="1" ht="15.6" customHeight="1" x14ac:dyDescent="0.2">
      <c r="B72" s="229" t="s">
        <v>158</v>
      </c>
      <c r="C72" s="315" t="s">
        <v>349</v>
      </c>
      <c r="D72" s="1222">
        <v>3976110615</v>
      </c>
      <c r="E72" s="1222"/>
      <c r="F72" s="1222">
        <f t="shared" si="4"/>
        <v>3976110615</v>
      </c>
      <c r="G72" s="1224"/>
      <c r="H72" s="1225"/>
      <c r="I72" s="1225"/>
      <c r="J72" s="1225"/>
      <c r="K72" s="1221">
        <f t="shared" si="5"/>
        <v>3976110615</v>
      </c>
    </row>
    <row r="73" spans="2:14" s="628" customFormat="1" ht="15.6" customHeight="1" x14ac:dyDescent="0.2">
      <c r="B73" s="101">
        <v>1307006002</v>
      </c>
      <c r="C73" s="296" t="s">
        <v>88</v>
      </c>
      <c r="D73" s="1221">
        <v>12028465912</v>
      </c>
      <c r="E73" s="1221"/>
      <c r="F73" s="1222">
        <f t="shared" si="4"/>
        <v>12028465912</v>
      </c>
      <c r="G73" s="1224"/>
      <c r="H73" s="1224"/>
      <c r="I73" s="1225"/>
      <c r="J73" s="1225"/>
      <c r="K73" s="1221">
        <f t="shared" si="5"/>
        <v>12028465912</v>
      </c>
    </row>
    <row r="74" spans="2:14" s="628" customFormat="1" ht="15.6" customHeight="1" x14ac:dyDescent="0.2">
      <c r="B74" s="101" t="s">
        <v>125</v>
      </c>
      <c r="C74" s="213" t="s">
        <v>335</v>
      </c>
      <c r="D74" s="1221">
        <v>10504124963</v>
      </c>
      <c r="E74" s="1221"/>
      <c r="F74" s="1222">
        <f t="shared" si="4"/>
        <v>10504124963</v>
      </c>
      <c r="G74" s="1224">
        <v>500000000</v>
      </c>
      <c r="H74" s="1224"/>
      <c r="I74" s="1225"/>
      <c r="J74" s="1225"/>
      <c r="K74" s="1221">
        <f t="shared" si="5"/>
        <v>11004124963</v>
      </c>
    </row>
    <row r="75" spans="2:14" s="628" customFormat="1" ht="15.6" customHeight="1" x14ac:dyDescent="0.2">
      <c r="B75" s="101" t="s">
        <v>126</v>
      </c>
      <c r="C75" s="213" t="s">
        <v>375</v>
      </c>
      <c r="D75" s="1221">
        <v>10950522134</v>
      </c>
      <c r="E75" s="1221"/>
      <c r="F75" s="1222">
        <f t="shared" si="4"/>
        <v>10950522134</v>
      </c>
      <c r="G75" s="1224"/>
      <c r="H75" s="1224"/>
      <c r="I75" s="1225"/>
      <c r="J75" s="1225"/>
      <c r="K75" s="1221">
        <f t="shared" si="5"/>
        <v>10950522134</v>
      </c>
    </row>
    <row r="76" spans="2:14" s="628" customFormat="1" ht="15.6" customHeight="1" x14ac:dyDescent="0.2">
      <c r="B76" s="733" t="s">
        <v>548</v>
      </c>
      <c r="C76" s="961" t="s">
        <v>547</v>
      </c>
      <c r="D76" s="1222">
        <v>213125168828</v>
      </c>
      <c r="E76" s="1222"/>
      <c r="F76" s="1222">
        <f t="shared" si="4"/>
        <v>213125168828</v>
      </c>
      <c r="G76" s="1224">
        <v>104288671768</v>
      </c>
      <c r="H76" s="1225"/>
      <c r="I76" s="1225"/>
      <c r="J76" s="1225"/>
      <c r="K76" s="1221">
        <f t="shared" si="5"/>
        <v>317413840596</v>
      </c>
      <c r="N76" s="628">
        <v>57050000692</v>
      </c>
    </row>
    <row r="77" spans="2:14" s="628" customFormat="1" ht="15.6" customHeight="1" x14ac:dyDescent="0.2">
      <c r="B77" s="272" t="s">
        <v>540</v>
      </c>
      <c r="C77" s="295" t="s">
        <v>541</v>
      </c>
      <c r="D77" s="1222">
        <v>187563697169</v>
      </c>
      <c r="E77" s="1222"/>
      <c r="F77" s="1222">
        <f t="shared" si="4"/>
        <v>187563697169</v>
      </c>
      <c r="G77" s="1224"/>
      <c r="H77" s="1225"/>
      <c r="I77" s="1225"/>
      <c r="J77" s="1225"/>
      <c r="K77" s="1221">
        <f t="shared" si="5"/>
        <v>187563697169</v>
      </c>
      <c r="M77" s="628">
        <v>187563697169</v>
      </c>
      <c r="N77" s="628">
        <v>115281091671</v>
      </c>
    </row>
    <row r="78" spans="2:14" s="628" customFormat="1" ht="15.6" customHeight="1" x14ac:dyDescent="0.2">
      <c r="B78" s="734" t="s">
        <v>544</v>
      </c>
      <c r="C78" s="735" t="s">
        <v>543</v>
      </c>
      <c r="D78" s="1222">
        <v>0</v>
      </c>
      <c r="E78" s="1222"/>
      <c r="F78" s="1222">
        <f t="shared" si="4"/>
        <v>0</v>
      </c>
      <c r="G78" s="1224"/>
      <c r="H78" s="1225"/>
      <c r="I78" s="1225"/>
      <c r="J78" s="1225"/>
      <c r="K78" s="1221">
        <f t="shared" si="5"/>
        <v>0</v>
      </c>
      <c r="M78" s="50">
        <f>M77-K77</f>
        <v>0</v>
      </c>
      <c r="N78" s="628">
        <f>N76+N77</f>
        <v>172331092363</v>
      </c>
    </row>
    <row r="79" spans="2:14" s="628" customFormat="1" ht="15.6" customHeight="1" x14ac:dyDescent="0.2">
      <c r="B79" s="272" t="s">
        <v>554</v>
      </c>
      <c r="C79" s="736" t="s">
        <v>553</v>
      </c>
      <c r="D79" s="1222">
        <v>2028608256</v>
      </c>
      <c r="E79" s="1222"/>
      <c r="F79" s="1222">
        <f t="shared" si="4"/>
        <v>2028608256</v>
      </c>
      <c r="G79" s="1224"/>
      <c r="H79" s="1225"/>
      <c r="I79" s="1225"/>
      <c r="J79" s="1225"/>
      <c r="K79" s="1221">
        <f t="shared" si="5"/>
        <v>2028608256</v>
      </c>
      <c r="M79" s="50">
        <f>G77+M78</f>
        <v>0</v>
      </c>
      <c r="N79" s="50">
        <f>K76-N78</f>
        <v>145082748233</v>
      </c>
    </row>
    <row r="80" spans="2:14" s="628" customFormat="1" ht="15.6" customHeight="1" x14ac:dyDescent="0.2">
      <c r="B80" s="734" t="s">
        <v>610</v>
      </c>
      <c r="C80" s="843" t="s">
        <v>596</v>
      </c>
      <c r="D80" s="1222">
        <v>5663688254</v>
      </c>
      <c r="E80" s="1222"/>
      <c r="F80" s="1222">
        <f t="shared" si="4"/>
        <v>5663688254</v>
      </c>
      <c r="G80" s="1224">
        <v>139624567903</v>
      </c>
      <c r="H80" s="1225"/>
      <c r="I80" s="1225"/>
      <c r="J80" s="1225"/>
      <c r="K80" s="1221">
        <f t="shared" si="5"/>
        <v>145288256157</v>
      </c>
    </row>
    <row r="81" spans="2:17" s="628" customFormat="1" ht="15.6" customHeight="1" x14ac:dyDescent="0.2">
      <c r="B81" s="734" t="s">
        <v>612</v>
      </c>
      <c r="C81" s="843" t="s">
        <v>606</v>
      </c>
      <c r="D81" s="1222">
        <v>5400000000</v>
      </c>
      <c r="E81" s="1222"/>
      <c r="F81" s="1222">
        <f t="shared" si="4"/>
        <v>5400000000</v>
      </c>
      <c r="G81" s="1224"/>
      <c r="H81" s="1225"/>
      <c r="I81" s="1225"/>
      <c r="J81" s="1225"/>
      <c r="K81" s="1221">
        <f t="shared" si="5"/>
        <v>5400000000</v>
      </c>
    </row>
    <row r="82" spans="2:17" s="628" customFormat="1" ht="15.6" customHeight="1" x14ac:dyDescent="0.2">
      <c r="B82" s="425" t="s">
        <v>810</v>
      </c>
      <c r="C82" s="737" t="s">
        <v>1085</v>
      </c>
      <c r="D82" s="1222">
        <v>30000000000</v>
      </c>
      <c r="E82" s="1222"/>
      <c r="F82" s="1222">
        <f t="shared" si="4"/>
        <v>30000000000</v>
      </c>
      <c r="G82" s="1224"/>
      <c r="H82" s="1225"/>
      <c r="I82" s="1225"/>
      <c r="J82" s="1225"/>
      <c r="K82" s="1221">
        <f t="shared" si="5"/>
        <v>30000000000</v>
      </c>
    </row>
    <row r="83" spans="2:17" s="628" customFormat="1" ht="15.6" customHeight="1" x14ac:dyDescent="0.2">
      <c r="B83" s="101" t="s">
        <v>372</v>
      </c>
      <c r="C83" s="213" t="s">
        <v>373</v>
      </c>
      <c r="D83" s="1222">
        <v>177670779521</v>
      </c>
      <c r="E83" s="1222"/>
      <c r="F83" s="1222">
        <f t="shared" si="4"/>
        <v>177670779521</v>
      </c>
      <c r="G83" s="1224"/>
      <c r="H83" s="1225"/>
      <c r="I83" s="1225"/>
      <c r="J83" s="1225"/>
      <c r="K83" s="1221">
        <f t="shared" si="5"/>
        <v>177670779521</v>
      </c>
    </row>
    <row r="84" spans="2:17" s="628" customFormat="1" ht="15.6" customHeight="1" x14ac:dyDescent="0.2">
      <c r="B84" s="738" t="s">
        <v>550</v>
      </c>
      <c r="C84" s="843" t="s">
        <v>556</v>
      </c>
      <c r="D84" s="1222">
        <v>12908474164</v>
      </c>
      <c r="E84" s="1222"/>
      <c r="F84" s="1222">
        <f t="shared" si="4"/>
        <v>12908474164</v>
      </c>
      <c r="G84" s="1224"/>
      <c r="H84" s="1225"/>
      <c r="I84" s="1225"/>
      <c r="J84" s="1225"/>
      <c r="K84" s="1221">
        <f t="shared" si="5"/>
        <v>12908474164</v>
      </c>
      <c r="M84" s="50">
        <f>SUM(K51:K84)</f>
        <v>9717919541627</v>
      </c>
    </row>
    <row r="85" spans="2:17" s="628" customFormat="1" ht="15.6" customHeight="1" x14ac:dyDescent="0.2">
      <c r="B85" s="722" t="s">
        <v>123</v>
      </c>
      <c r="C85" s="623" t="s">
        <v>124</v>
      </c>
      <c r="D85" s="1222">
        <v>616226627</v>
      </c>
      <c r="E85" s="1222"/>
      <c r="F85" s="1222">
        <f t="shared" si="4"/>
        <v>616226627</v>
      </c>
      <c r="G85" s="1224"/>
      <c r="H85" s="1225"/>
      <c r="I85" s="1225"/>
      <c r="J85" s="1225"/>
      <c r="K85" s="1221">
        <f t="shared" si="5"/>
        <v>616226627</v>
      </c>
      <c r="M85" s="50"/>
    </row>
    <row r="86" spans="2:17" s="628" customFormat="1" ht="15.6" customHeight="1" x14ac:dyDescent="0.2">
      <c r="B86" s="734" t="s">
        <v>777</v>
      </c>
      <c r="C86" s="969" t="s">
        <v>776</v>
      </c>
      <c r="D86" s="1222">
        <v>228560</v>
      </c>
      <c r="E86" s="1222"/>
      <c r="F86" s="1222">
        <f t="shared" si="4"/>
        <v>228560</v>
      </c>
      <c r="G86" s="1224"/>
      <c r="H86" s="1225"/>
      <c r="I86" s="1225"/>
      <c r="J86" s="1225"/>
      <c r="K86" s="1221">
        <f t="shared" si="5"/>
        <v>228560</v>
      </c>
      <c r="M86" s="50"/>
    </row>
    <row r="87" spans="2:17" s="628" customFormat="1" ht="15.6" customHeight="1" x14ac:dyDescent="0.2">
      <c r="B87" s="622" t="s">
        <v>101</v>
      </c>
      <c r="C87" s="1070" t="s">
        <v>102</v>
      </c>
      <c r="D87" s="1222">
        <v>6809441520</v>
      </c>
      <c r="E87" s="1222"/>
      <c r="F87" s="1222">
        <f t="shared" si="4"/>
        <v>6809441520</v>
      </c>
      <c r="G87" s="1224"/>
      <c r="H87" s="1225"/>
      <c r="I87" s="1225"/>
      <c r="J87" s="1225"/>
      <c r="K87" s="1221">
        <f t="shared" si="5"/>
        <v>6809441520</v>
      </c>
      <c r="M87" s="50"/>
      <c r="N87" s="50">
        <f>N90-K90</f>
        <v>-1278007738809</v>
      </c>
    </row>
    <row r="88" spans="2:17" s="628" customFormat="1" ht="15.6" customHeight="1" x14ac:dyDescent="0.2">
      <c r="B88" s="228" t="s">
        <v>161</v>
      </c>
      <c r="C88" s="1067" t="s">
        <v>202</v>
      </c>
      <c r="D88" s="1222">
        <v>466504472</v>
      </c>
      <c r="E88" s="1222"/>
      <c r="F88" s="1222">
        <f t="shared" si="4"/>
        <v>466504472</v>
      </c>
      <c r="G88" s="1224"/>
      <c r="H88" s="1225"/>
      <c r="I88" s="1225"/>
      <c r="J88" s="1225"/>
      <c r="K88" s="1221">
        <f t="shared" si="5"/>
        <v>466504472</v>
      </c>
      <c r="M88" s="50"/>
    </row>
    <row r="89" spans="2:17" s="628" customFormat="1" ht="15.6" customHeight="1" x14ac:dyDescent="0.2">
      <c r="B89" s="228" t="s">
        <v>287</v>
      </c>
      <c r="C89" s="85" t="s">
        <v>202</v>
      </c>
      <c r="D89" s="1222">
        <v>193267173</v>
      </c>
      <c r="E89" s="1222"/>
      <c r="F89" s="1222">
        <f t="shared" si="4"/>
        <v>193267173</v>
      </c>
      <c r="G89" s="1224"/>
      <c r="H89" s="1225"/>
      <c r="I89" s="1225"/>
      <c r="J89" s="1225"/>
      <c r="K89" s="1221">
        <f t="shared" si="5"/>
        <v>193267173</v>
      </c>
      <c r="M89" s="50"/>
    </row>
    <row r="90" spans="2:17" s="628" customFormat="1" ht="15.6" customHeight="1" x14ac:dyDescent="0.2">
      <c r="B90" s="3788" t="s">
        <v>195</v>
      </c>
      <c r="C90" s="3789"/>
      <c r="D90" s="1226">
        <f>SUM(D51:D89)</f>
        <v>8447996852540</v>
      </c>
      <c r="E90" s="1226">
        <f>SUM(E51:E89)</f>
        <v>0</v>
      </c>
      <c r="F90" s="1226">
        <f>SUM(F51:F89)-1000000</f>
        <v>8447995852540</v>
      </c>
      <c r="G90" s="1226">
        <f>SUM(G51:G89)+1000000</f>
        <v>1315024704478</v>
      </c>
      <c r="H90" s="1226">
        <f>SUM(H51:H89)</f>
        <v>1635579774</v>
      </c>
      <c r="I90" s="1226">
        <f>SUM(I51:I89)</f>
        <v>-38650926813</v>
      </c>
      <c r="J90" s="1226"/>
      <c r="K90" s="1226">
        <f>SUM(K51:K89)-1000000</f>
        <v>9726004209979</v>
      </c>
      <c r="N90" s="628">
        <v>8447996471170</v>
      </c>
      <c r="O90" s="1517">
        <v>9726004961065</v>
      </c>
      <c r="Q90" s="1518">
        <f>O90-K90</f>
        <v>751086</v>
      </c>
    </row>
    <row r="91" spans="2:17" s="628" customFormat="1" ht="12.75" customHeight="1" x14ac:dyDescent="0.2">
      <c r="B91" s="976"/>
      <c r="C91" s="976"/>
      <c r="D91" s="1227"/>
      <c r="E91" s="1227"/>
      <c r="F91" s="1227"/>
      <c r="G91" s="1227" t="s">
        <v>531</v>
      </c>
      <c r="H91" s="3786" t="s">
        <v>930</v>
      </c>
      <c r="I91" s="3786"/>
      <c r="J91" s="1711"/>
      <c r="K91" s="1228"/>
      <c r="N91" s="1354">
        <f>D90+G90+H90+I90</f>
        <v>9726006209979</v>
      </c>
    </row>
    <row r="92" spans="2:17" ht="52.9" customHeight="1" x14ac:dyDescent="0.35">
      <c r="B92" s="3790" t="s">
        <v>1809</v>
      </c>
      <c r="C92" s="3790"/>
      <c r="D92" s="3790"/>
      <c r="E92" s="3790"/>
      <c r="F92" s="3790"/>
      <c r="G92" s="3790"/>
      <c r="H92" s="3790"/>
      <c r="I92" s="3790"/>
      <c r="J92" s="3790"/>
      <c r="K92" s="3790"/>
      <c r="M92" s="3783" t="s">
        <v>992</v>
      </c>
      <c r="N92" s="3783"/>
      <c r="O92" s="3783"/>
      <c r="P92" s="3783"/>
    </row>
    <row r="93" spans="2:17" ht="32.25" customHeight="1" x14ac:dyDescent="0.35">
      <c r="B93" s="3787" t="s">
        <v>1958</v>
      </c>
      <c r="C93" s="3787"/>
      <c r="D93" s="3787"/>
      <c r="E93" s="3787"/>
      <c r="F93" s="3787"/>
      <c r="G93" s="3787"/>
      <c r="H93" s="3787"/>
      <c r="I93" s="3787"/>
      <c r="J93" s="3787"/>
      <c r="K93" s="3787"/>
      <c r="L93" s="3787"/>
      <c r="M93" s="1384"/>
      <c r="N93" s="1384"/>
      <c r="O93" s="1384"/>
      <c r="P93" s="1384"/>
    </row>
    <row r="94" spans="2:17" ht="18.600000000000001" customHeight="1" x14ac:dyDescent="0.35">
      <c r="B94" s="3787"/>
      <c r="C94" s="3787"/>
      <c r="D94" s="3787"/>
      <c r="E94" s="3787"/>
      <c r="F94" s="3787"/>
      <c r="G94" s="3787"/>
      <c r="H94" s="3787"/>
      <c r="I94" s="3787"/>
      <c r="J94" s="3787"/>
      <c r="K94" s="3787"/>
      <c r="L94" s="3787"/>
      <c r="M94" s="1384"/>
      <c r="N94" s="1384"/>
      <c r="O94" s="1384"/>
      <c r="P94" s="1384"/>
    </row>
    <row r="95" spans="2:17" ht="13.5" customHeight="1" x14ac:dyDescent="0.35">
      <c r="B95" s="3078">
        <v>65</v>
      </c>
      <c r="C95" s="3078"/>
      <c r="D95" s="3078"/>
      <c r="E95" s="3078"/>
      <c r="F95" s="3078"/>
      <c r="G95" s="3078"/>
      <c r="H95" s="3078"/>
      <c r="I95" s="3078"/>
      <c r="J95" s="3078"/>
      <c r="K95" s="3078"/>
    </row>
    <row r="96" spans="2:17" x14ac:dyDescent="0.35">
      <c r="K96" s="1229"/>
    </row>
    <row r="97" spans="2:3" x14ac:dyDescent="0.35">
      <c r="B97" s="446"/>
      <c r="C97" s="1010"/>
    </row>
  </sheetData>
  <mergeCells count="41">
    <mergeCell ref="B92:K92"/>
    <mergeCell ref="F10:F11"/>
    <mergeCell ref="G9:K9"/>
    <mergeCell ref="A1:L1"/>
    <mergeCell ref="A2:L2"/>
    <mergeCell ref="A3:L3"/>
    <mergeCell ref="A4:L4"/>
    <mergeCell ref="B8:K8"/>
    <mergeCell ref="J10:J11"/>
    <mergeCell ref="E10:E11"/>
    <mergeCell ref="B48:C48"/>
    <mergeCell ref="G48:K48"/>
    <mergeCell ref="B10:B11"/>
    <mergeCell ref="C10:C11"/>
    <mergeCell ref="D10:D11"/>
    <mergeCell ref="G10:G11"/>
    <mergeCell ref="M92:P92"/>
    <mergeCell ref="B95:K95"/>
    <mergeCell ref="B49:B50"/>
    <mergeCell ref="C49:C50"/>
    <mergeCell ref="D49:D50"/>
    <mergeCell ref="G49:G50"/>
    <mergeCell ref="K49:K50"/>
    <mergeCell ref="B51:C51"/>
    <mergeCell ref="H49:H50"/>
    <mergeCell ref="I49:I50"/>
    <mergeCell ref="H91:I91"/>
    <mergeCell ref="E49:E50"/>
    <mergeCell ref="F49:F50"/>
    <mergeCell ref="B93:L94"/>
    <mergeCell ref="B90:C90"/>
    <mergeCell ref="J49:J50"/>
    <mergeCell ref="A46:L46"/>
    <mergeCell ref="A47:L47"/>
    <mergeCell ref="H10:H11"/>
    <mergeCell ref="I10:I11"/>
    <mergeCell ref="K10:K11"/>
    <mergeCell ref="B40:C40"/>
    <mergeCell ref="B43:K43"/>
    <mergeCell ref="A44:L44"/>
    <mergeCell ref="A45:L45"/>
  </mergeCells>
  <printOptions horizontalCentered="1"/>
  <pageMargins left="0.47244094488188998" right="0.47244094488188998" top="0" bottom="0" header="0" footer="0"/>
  <pageSetup scale="89" orientation="portrait" r:id="rId1"/>
  <rowBreaks count="2" manualBreakCount="2">
    <brk id="43" max="16383" man="1"/>
    <brk id="95" max="16383"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2060"/>
  </sheetPr>
  <dimension ref="A1:BI362"/>
  <sheetViews>
    <sheetView rightToLeft="1" view="pageBreakPreview" topLeftCell="A193" zoomScale="42" zoomScaleNormal="90" zoomScaleSheetLayoutView="42" workbookViewId="0">
      <selection activeCell="O285" sqref="O285"/>
    </sheetView>
  </sheetViews>
  <sheetFormatPr defaultColWidth="9.140625" defaultRowHeight="17.25" x14ac:dyDescent="0.2"/>
  <cols>
    <col min="1" max="1" width="1.28515625" style="2365" customWidth="1"/>
    <col min="2" max="2" width="2.85546875" style="2365" customWidth="1"/>
    <col min="3" max="3" width="12.7109375" style="2367" customWidth="1"/>
    <col min="4" max="4" width="65" style="2368" customWidth="1"/>
    <col min="5" max="5" width="11.28515625" style="2206" customWidth="1"/>
    <col min="6" max="6" width="13.28515625" style="2206" hidden="1" customWidth="1"/>
    <col min="7" max="7" width="18.28515625" style="2206" hidden="1" customWidth="1"/>
    <col min="8" max="8" width="14.7109375" style="2206" hidden="1" customWidth="1"/>
    <col min="9" max="9" width="10.140625" style="2206" customWidth="1"/>
    <col min="10" max="10" width="8.7109375" style="2206" hidden="1" customWidth="1"/>
    <col min="11" max="12" width="11.85546875" style="2204" customWidth="1"/>
    <col min="13" max="13" width="6.85546875" style="2204" hidden="1" customWidth="1"/>
    <col min="14" max="14" width="13.85546875" style="2204" hidden="1" customWidth="1"/>
    <col min="15" max="15" width="8.7109375" style="2204" customWidth="1"/>
    <col min="16" max="16" width="8.85546875" style="2204" customWidth="1"/>
    <col min="17" max="17" width="6.42578125" style="2204" hidden="1" customWidth="1"/>
    <col min="18" max="18" width="12.5703125" style="2207" customWidth="1"/>
    <col min="19" max="19" width="0.7109375" style="2438" customWidth="1"/>
    <col min="20" max="20" width="2.5703125" style="2438" hidden="1" customWidth="1"/>
    <col min="21" max="21" width="1.7109375" style="2365" hidden="1" customWidth="1"/>
    <col min="22" max="22" width="1.85546875" style="2365" hidden="1" customWidth="1"/>
    <col min="23" max="24" width="2.28515625" style="2365" hidden="1" customWidth="1"/>
    <col min="25" max="25" width="1.42578125" style="2365" hidden="1" customWidth="1"/>
    <col min="26" max="26" width="2.85546875" style="2365" hidden="1" customWidth="1"/>
    <col min="27" max="27" width="2.5703125" style="2365" hidden="1" customWidth="1"/>
    <col min="28" max="28" width="2.140625" style="2365" hidden="1" customWidth="1"/>
    <col min="29" max="29" width="3.28515625" style="2365" hidden="1" customWidth="1"/>
    <col min="30" max="30" width="4.42578125" style="2365" hidden="1" customWidth="1"/>
    <col min="31" max="31" width="2.7109375" style="2365" hidden="1" customWidth="1"/>
    <col min="32" max="32" width="3.42578125" style="2365" hidden="1" customWidth="1"/>
    <col min="33" max="33" width="5.28515625" style="2365" hidden="1" customWidth="1"/>
    <col min="34" max="34" width="4.42578125" style="2365" hidden="1" customWidth="1"/>
    <col min="35" max="35" width="5" style="2365" hidden="1" customWidth="1"/>
    <col min="36" max="36" width="2.7109375" style="2365" hidden="1" customWidth="1"/>
    <col min="37" max="37" width="3.85546875" style="2365" hidden="1" customWidth="1"/>
    <col min="38" max="38" width="3.28515625" style="2365" hidden="1" customWidth="1"/>
    <col min="39" max="39" width="7.28515625" style="2365" customWidth="1"/>
    <col min="40" max="40" width="10.28515625" style="2366" bestFit="1" customWidth="1"/>
    <col min="41" max="41" width="24.28515625" style="2365" customWidth="1"/>
    <col min="42" max="46" width="15.7109375" style="2365" customWidth="1"/>
    <col min="47" max="16384" width="9.140625" style="2365"/>
  </cols>
  <sheetData>
    <row r="1" spans="2:20" ht="22.9" customHeight="1" x14ac:dyDescent="0.2">
      <c r="B1" s="3808" t="s">
        <v>32</v>
      </c>
      <c r="C1" s="3808"/>
      <c r="D1" s="3808"/>
      <c r="E1" s="3808"/>
      <c r="F1" s="3808"/>
      <c r="G1" s="3808"/>
      <c r="H1" s="3808"/>
      <c r="I1" s="3808"/>
      <c r="J1" s="3808"/>
      <c r="K1" s="3808"/>
      <c r="L1" s="3808"/>
      <c r="M1" s="3808"/>
      <c r="N1" s="3808"/>
      <c r="O1" s="3808"/>
      <c r="P1" s="3808"/>
      <c r="Q1" s="3808"/>
      <c r="R1" s="3808"/>
      <c r="S1" s="2364"/>
      <c r="T1" s="2364"/>
    </row>
    <row r="2" spans="2:20" ht="22.9" customHeight="1" x14ac:dyDescent="0.2">
      <c r="B2" s="3808" t="s">
        <v>45</v>
      </c>
      <c r="C2" s="3808"/>
      <c r="D2" s="3808"/>
      <c r="E2" s="3808"/>
      <c r="F2" s="3808"/>
      <c r="G2" s="3808"/>
      <c r="H2" s="3808"/>
      <c r="I2" s="3808"/>
      <c r="J2" s="3808"/>
      <c r="K2" s="3808"/>
      <c r="L2" s="3808"/>
      <c r="M2" s="3808"/>
      <c r="N2" s="3808"/>
      <c r="O2" s="3808"/>
      <c r="P2" s="3808"/>
      <c r="Q2" s="3808"/>
      <c r="R2" s="3808"/>
      <c r="S2" s="2364"/>
      <c r="T2" s="2364"/>
    </row>
    <row r="3" spans="2:20" ht="22.9" customHeight="1" x14ac:dyDescent="0.2">
      <c r="B3" s="3808" t="s">
        <v>46</v>
      </c>
      <c r="C3" s="3808"/>
      <c r="D3" s="3808"/>
      <c r="E3" s="3808"/>
      <c r="F3" s="3808"/>
      <c r="G3" s="3808"/>
      <c r="H3" s="3808"/>
      <c r="I3" s="3808"/>
      <c r="J3" s="3808"/>
      <c r="K3" s="3808"/>
      <c r="L3" s="3808"/>
      <c r="M3" s="3808"/>
      <c r="N3" s="3808"/>
      <c r="O3" s="3808"/>
      <c r="P3" s="3808"/>
      <c r="Q3" s="3808"/>
      <c r="R3" s="3808"/>
      <c r="S3" s="2364"/>
      <c r="T3" s="2364"/>
    </row>
    <row r="4" spans="2:20" ht="22.9" customHeight="1" x14ac:dyDescent="0.2">
      <c r="B4" s="3799" t="s">
        <v>1988</v>
      </c>
      <c r="C4" s="3799"/>
      <c r="D4" s="3799"/>
      <c r="E4" s="3799"/>
      <c r="F4" s="3799"/>
      <c r="G4" s="3799"/>
      <c r="H4" s="3799"/>
      <c r="I4" s="3799"/>
      <c r="J4" s="3799"/>
      <c r="K4" s="3799"/>
      <c r="L4" s="3799"/>
      <c r="M4" s="3799"/>
      <c r="N4" s="3799"/>
      <c r="O4" s="3799"/>
      <c r="P4" s="3799"/>
      <c r="Q4" s="3799"/>
      <c r="R4" s="3799"/>
      <c r="S4" s="2185"/>
      <c r="T4" s="2185"/>
    </row>
    <row r="5" spans="2:20" ht="20.45" customHeight="1" x14ac:dyDescent="0.2">
      <c r="B5" s="2240"/>
      <c r="O5" s="2240"/>
      <c r="P5" s="2240"/>
      <c r="Q5" s="2240"/>
      <c r="R5" s="2239"/>
      <c r="S5" s="2369"/>
      <c r="T5" s="2369"/>
    </row>
    <row r="6" spans="2:20" ht="20.45" customHeight="1" x14ac:dyDescent="0.2">
      <c r="B6" s="2240"/>
      <c r="C6" s="3746" t="s">
        <v>1948</v>
      </c>
      <c r="D6" s="3746"/>
      <c r="E6" s="3746"/>
      <c r="F6" s="3746"/>
      <c r="G6" s="3746"/>
      <c r="H6" s="3746"/>
      <c r="I6" s="3746"/>
      <c r="J6" s="3746"/>
      <c r="K6" s="3746"/>
      <c r="O6" s="2240"/>
      <c r="P6" s="2240"/>
      <c r="Q6" s="2240"/>
      <c r="R6" s="2239"/>
      <c r="S6" s="2369"/>
      <c r="T6" s="2369"/>
    </row>
    <row r="7" spans="2:20" ht="20.45" customHeight="1" x14ac:dyDescent="0.2">
      <c r="B7" s="2240"/>
      <c r="C7" s="2370"/>
      <c r="D7" s="2370"/>
      <c r="E7" s="2371"/>
      <c r="F7" s="2371"/>
      <c r="G7" s="2371"/>
      <c r="H7" s="2371"/>
      <c r="I7" s="2371"/>
      <c r="J7" s="2371"/>
      <c r="K7" s="2371"/>
      <c r="O7" s="2204" t="s">
        <v>1193</v>
      </c>
      <c r="P7" s="2240"/>
      <c r="Q7" s="2240"/>
      <c r="R7" s="2239"/>
      <c r="S7" s="2369"/>
      <c r="T7" s="2369"/>
    </row>
    <row r="8" spans="2:20" ht="20.45" customHeight="1" x14ac:dyDescent="0.2">
      <c r="B8" s="2240"/>
      <c r="C8" s="2370"/>
      <c r="D8" s="2370"/>
      <c r="E8" s="2372" t="s">
        <v>9</v>
      </c>
      <c r="F8" s="2373"/>
      <c r="G8" s="2373"/>
      <c r="H8" s="2373"/>
      <c r="J8" s="404"/>
      <c r="K8" s="217" t="s">
        <v>1980</v>
      </c>
      <c r="O8" s="217" t="s">
        <v>1380</v>
      </c>
      <c r="P8" s="2240"/>
      <c r="Q8" s="2240"/>
      <c r="R8" s="2239"/>
      <c r="S8" s="2369"/>
      <c r="T8" s="2369"/>
    </row>
    <row r="9" spans="2:20" ht="20.45" customHeight="1" x14ac:dyDescent="0.2">
      <c r="B9" s="2240"/>
      <c r="C9" s="2370"/>
      <c r="E9" s="2371"/>
      <c r="F9" s="2371"/>
      <c r="G9" s="2371"/>
      <c r="H9" s="2371"/>
      <c r="I9" s="2371"/>
      <c r="J9" s="2371"/>
      <c r="K9" s="2371"/>
      <c r="P9" s="2240"/>
      <c r="Q9" s="2240"/>
      <c r="R9" s="2239"/>
      <c r="S9" s="2369"/>
      <c r="T9" s="2369"/>
    </row>
    <row r="10" spans="2:20" ht="20.45" customHeight="1" x14ac:dyDescent="0.2">
      <c r="B10" s="2240"/>
      <c r="C10" s="2370"/>
      <c r="D10" s="2370" t="s">
        <v>1823</v>
      </c>
      <c r="E10" s="2374" t="s">
        <v>895</v>
      </c>
      <c r="F10" s="2371"/>
      <c r="G10" s="2371"/>
      <c r="H10" s="2371"/>
      <c r="I10" s="2371"/>
      <c r="J10" s="2371"/>
      <c r="K10" s="2375">
        <f>K24</f>
        <v>11091823598863</v>
      </c>
      <c r="O10" s="2204">
        <f>O24</f>
        <v>9170973582424</v>
      </c>
      <c r="P10" s="2240"/>
      <c r="Q10" s="2240"/>
      <c r="R10" s="2239"/>
      <c r="S10" s="2369"/>
      <c r="T10" s="2369"/>
    </row>
    <row r="11" spans="2:20" ht="20.45" customHeight="1" x14ac:dyDescent="0.2">
      <c r="B11" s="2240"/>
      <c r="C11" s="2370"/>
      <c r="D11" s="2370" t="s">
        <v>1824</v>
      </c>
      <c r="E11" s="2374" t="s">
        <v>896</v>
      </c>
      <c r="F11" s="2371"/>
      <c r="G11" s="2371"/>
      <c r="H11" s="2371"/>
      <c r="I11" s="2371"/>
      <c r="J11" s="2371"/>
      <c r="K11" s="2375">
        <f>'يادداشت 12ح پ حاز ع غ مبادله ای'!D28</f>
        <v>192182307626</v>
      </c>
      <c r="O11" s="2204">
        <f>'يادداشت 12ح پ حاز ع غ مبادله ای'!F28</f>
        <v>192182307626</v>
      </c>
      <c r="P11" s="2240"/>
      <c r="Q11" s="2240"/>
      <c r="R11" s="2239"/>
      <c r="S11" s="2369"/>
      <c r="T11" s="2369"/>
    </row>
    <row r="12" spans="2:20" ht="20.45" customHeight="1" thickBot="1" x14ac:dyDescent="0.25">
      <c r="B12" s="2240"/>
      <c r="C12" s="2370"/>
      <c r="D12" s="2370"/>
      <c r="E12" s="2371"/>
      <c r="F12" s="2371"/>
      <c r="G12" s="2371"/>
      <c r="H12" s="2371"/>
      <c r="I12" s="2371"/>
      <c r="J12" s="2371"/>
      <c r="K12" s="2376">
        <f>SUM(K10:K11)</f>
        <v>11284005906489</v>
      </c>
      <c r="O12" s="2377">
        <f>SUM(O10:O11)</f>
        <v>9363155890050</v>
      </c>
      <c r="P12" s="2240"/>
      <c r="Q12" s="2240"/>
      <c r="R12" s="2239"/>
      <c r="S12" s="2369"/>
      <c r="T12" s="2369"/>
    </row>
    <row r="13" spans="2:20" ht="20.45" customHeight="1" thickTop="1" x14ac:dyDescent="0.2">
      <c r="B13" s="2240"/>
      <c r="C13" s="2370"/>
      <c r="D13" s="2370"/>
      <c r="E13" s="2371"/>
      <c r="F13" s="2371"/>
      <c r="G13" s="2371"/>
      <c r="H13" s="2371"/>
      <c r="I13" s="2371"/>
      <c r="J13" s="2371"/>
      <c r="K13" s="2371"/>
      <c r="P13" s="2240"/>
      <c r="Q13" s="2240"/>
      <c r="R13" s="2239"/>
      <c r="S13" s="2369"/>
      <c r="T13" s="2369"/>
    </row>
    <row r="14" spans="2:20" ht="20.45" customHeight="1" x14ac:dyDescent="0.2">
      <c r="B14" s="2240"/>
      <c r="C14" s="2370"/>
      <c r="D14" s="2370"/>
      <c r="E14" s="2371"/>
      <c r="F14" s="2371"/>
      <c r="G14" s="2371"/>
      <c r="H14" s="2371"/>
      <c r="I14" s="2371"/>
      <c r="J14" s="2371"/>
      <c r="K14" s="2371"/>
      <c r="P14" s="2240"/>
      <c r="Q14" s="2240"/>
      <c r="R14" s="2239"/>
      <c r="S14" s="2369"/>
      <c r="T14" s="2369"/>
    </row>
    <row r="15" spans="2:20" ht="20.45" customHeight="1" x14ac:dyDescent="0.2">
      <c r="B15" s="2240"/>
      <c r="C15" s="3746" t="s">
        <v>1822</v>
      </c>
      <c r="D15" s="3746"/>
      <c r="E15" s="3746"/>
      <c r="F15" s="3746"/>
      <c r="G15" s="3746"/>
      <c r="H15" s="3746"/>
      <c r="I15" s="3746"/>
      <c r="J15" s="3746"/>
      <c r="K15" s="3746"/>
      <c r="P15" s="2240"/>
      <c r="Q15" s="2240"/>
      <c r="R15" s="2239"/>
      <c r="S15" s="2369"/>
      <c r="T15" s="2369"/>
    </row>
    <row r="16" spans="2:20" ht="20.45" customHeight="1" x14ac:dyDescent="0.2">
      <c r="B16" s="2240"/>
      <c r="C16" s="2370"/>
      <c r="D16" s="2370"/>
      <c r="E16" s="2371"/>
      <c r="F16" s="2371"/>
      <c r="G16" s="2371"/>
      <c r="H16" s="2371"/>
      <c r="I16" s="2371"/>
      <c r="J16" s="2371"/>
      <c r="K16" s="2371"/>
      <c r="O16" s="2204" t="s">
        <v>1193</v>
      </c>
      <c r="P16" s="2240"/>
      <c r="Q16" s="2240"/>
      <c r="R16" s="2239"/>
      <c r="S16" s="2369"/>
      <c r="T16" s="2369"/>
    </row>
    <row r="17" spans="2:40" ht="20.45" customHeight="1" x14ac:dyDescent="0.2">
      <c r="B17" s="2240"/>
      <c r="C17" s="2378"/>
      <c r="D17" s="2365"/>
      <c r="E17" s="2372" t="s">
        <v>9</v>
      </c>
      <c r="F17" s="2373"/>
      <c r="G17" s="2373"/>
      <c r="H17" s="2373"/>
      <c r="J17" s="404"/>
      <c r="K17" s="217" t="s">
        <v>1380</v>
      </c>
      <c r="O17" s="217" t="s">
        <v>1148</v>
      </c>
      <c r="P17" s="2240"/>
      <c r="Q17" s="2240"/>
      <c r="R17" s="2239"/>
      <c r="S17" s="2369"/>
      <c r="T17" s="2369"/>
      <c r="AI17" s="2365">
        <v>58861502926</v>
      </c>
      <c r="AM17" s="2365">
        <v>0</v>
      </c>
    </row>
    <row r="18" spans="2:40" ht="20.45" customHeight="1" x14ac:dyDescent="0.2">
      <c r="B18" s="2240"/>
      <c r="C18" s="2378"/>
      <c r="D18" s="2365"/>
      <c r="E18" s="2373"/>
      <c r="F18" s="2373"/>
      <c r="G18" s="2373"/>
      <c r="H18" s="2373"/>
      <c r="J18" s="2379"/>
      <c r="K18" s="2379"/>
      <c r="O18" s="2379"/>
      <c r="P18" s="2240"/>
      <c r="Q18" s="2240"/>
      <c r="R18" s="2239"/>
      <c r="S18" s="2369"/>
      <c r="T18" s="2369"/>
    </row>
    <row r="19" spans="2:40" ht="20.45" customHeight="1" x14ac:dyDescent="0.2">
      <c r="B19" s="2240"/>
      <c r="C19" s="2365"/>
      <c r="D19" s="2380" t="s">
        <v>1949</v>
      </c>
      <c r="E19" s="2374" t="s">
        <v>1825</v>
      </c>
      <c r="F19" s="2374"/>
      <c r="G19" s="2374"/>
      <c r="H19" s="2374"/>
      <c r="J19" s="325"/>
      <c r="K19" s="325">
        <f>R212</f>
        <v>9209470626955</v>
      </c>
      <c r="O19" s="80">
        <f>E212</f>
        <v>7803686942326</v>
      </c>
      <c r="P19" s="2240"/>
      <c r="Q19" s="2240"/>
      <c r="R19" s="2239"/>
      <c r="S19" s="2369"/>
      <c r="T19" s="2369"/>
    </row>
    <row r="20" spans="2:40" ht="20.45" customHeight="1" x14ac:dyDescent="0.2">
      <c r="B20" s="2240"/>
      <c r="C20" s="2365"/>
      <c r="D20" s="2380" t="s">
        <v>1251</v>
      </c>
      <c r="E20" s="2374" t="s">
        <v>1826</v>
      </c>
      <c r="F20" s="2374"/>
      <c r="G20" s="2374"/>
      <c r="H20" s="2374"/>
      <c r="J20" s="80"/>
      <c r="K20" s="80">
        <f>'يادداشت 2-2-10سپرده_پرداختني'!F52</f>
        <v>1882352971908</v>
      </c>
      <c r="O20" s="80">
        <f>'يادداشت 2-10سپرداه_پرداختني_'!D86</f>
        <v>1367286640098</v>
      </c>
      <c r="P20" s="2240"/>
      <c r="Q20" s="2240"/>
      <c r="R20" s="2239"/>
      <c r="S20" s="2369"/>
      <c r="T20" s="2369"/>
    </row>
    <row r="21" spans="2:40" ht="20.45" customHeight="1" x14ac:dyDescent="0.2">
      <c r="B21" s="2240"/>
      <c r="C21" s="2365"/>
      <c r="D21" s="2380" t="s">
        <v>1252</v>
      </c>
      <c r="E21" s="2374" t="s">
        <v>1827</v>
      </c>
      <c r="F21" s="2374"/>
      <c r="G21" s="2374"/>
      <c r="H21" s="2374"/>
      <c r="J21" s="80"/>
      <c r="K21" s="581">
        <v>589141706893</v>
      </c>
      <c r="O21" s="581">
        <v>1072679000000</v>
      </c>
      <c r="P21" s="2240"/>
      <c r="Q21" s="2240"/>
      <c r="R21" s="2239"/>
      <c r="S21" s="2369"/>
      <c r="T21" s="2369"/>
    </row>
    <row r="22" spans="2:40" ht="20.45" customHeight="1" x14ac:dyDescent="0.2">
      <c r="B22" s="2240"/>
      <c r="C22" s="2365"/>
      <c r="D22" s="2380"/>
      <c r="E22" s="2374"/>
      <c r="F22" s="2374"/>
      <c r="G22" s="2374"/>
      <c r="H22" s="2374"/>
      <c r="J22" s="80"/>
      <c r="K22" s="405">
        <f>K21+K20+K19</f>
        <v>11680965305756</v>
      </c>
      <c r="O22" s="405">
        <f>SUM(O19:O21)</f>
        <v>10243652582424</v>
      </c>
      <c r="P22" s="2240"/>
      <c r="Q22" s="2240"/>
      <c r="R22" s="2239"/>
      <c r="S22" s="2369"/>
      <c r="T22" s="2369"/>
    </row>
    <row r="23" spans="2:40" ht="20.45" customHeight="1" x14ac:dyDescent="0.2">
      <c r="B23" s="2240"/>
      <c r="C23" s="2365"/>
      <c r="D23" s="2380" t="s">
        <v>1288</v>
      </c>
      <c r="E23" s="2374"/>
      <c r="F23" s="2374"/>
      <c r="G23" s="2374"/>
      <c r="H23" s="2374"/>
      <c r="J23" s="80"/>
      <c r="K23" s="80">
        <v>-589141706893</v>
      </c>
      <c r="O23" s="80">
        <v>-1072679000000</v>
      </c>
      <c r="P23" s="2240"/>
      <c r="Q23" s="2240"/>
      <c r="R23" s="2239"/>
      <c r="S23" s="2369"/>
      <c r="T23" s="2369"/>
      <c r="AN23" s="2366">
        <v>18501660000</v>
      </c>
    </row>
    <row r="24" spans="2:40" ht="20.45" customHeight="1" thickBot="1" x14ac:dyDescent="0.25">
      <c r="B24" s="2240"/>
      <c r="C24" s="2378"/>
      <c r="D24" s="1919"/>
      <c r="E24" s="2381"/>
      <c r="F24" s="2381"/>
      <c r="G24" s="2381"/>
      <c r="H24" s="2381"/>
      <c r="J24" s="405"/>
      <c r="K24" s="218">
        <f>SUM(K19:K20)</f>
        <v>11091823598863</v>
      </c>
      <c r="O24" s="218">
        <f>SUM(O22:O23)</f>
        <v>9170973582424</v>
      </c>
      <c r="P24" s="2240"/>
      <c r="Q24" s="2240"/>
      <c r="R24" s="2239"/>
      <c r="S24" s="2369"/>
      <c r="T24" s="2369"/>
      <c r="AN24" s="2382">
        <f>AN46-R53</f>
        <v>-353914057265</v>
      </c>
    </row>
    <row r="25" spans="2:40" ht="10.15" customHeight="1" thickTop="1" x14ac:dyDescent="0.2">
      <c r="B25" s="2240"/>
      <c r="C25" s="2383"/>
      <c r="D25" s="2240"/>
      <c r="E25" s="2240"/>
      <c r="F25" s="2240"/>
      <c r="G25" s="2240"/>
      <c r="H25" s="2240"/>
      <c r="I25" s="2240"/>
      <c r="J25" s="2240"/>
      <c r="K25" s="2383"/>
      <c r="L25" s="2240"/>
      <c r="M25" s="2240"/>
      <c r="N25" s="2240"/>
      <c r="O25" s="2240"/>
      <c r="P25" s="2240"/>
      <c r="Q25" s="2240"/>
      <c r="R25" s="2239"/>
      <c r="S25" s="2369"/>
      <c r="T25" s="2369"/>
    </row>
    <row r="26" spans="2:40" ht="10.15" customHeight="1" x14ac:dyDescent="0.2">
      <c r="B26" s="2240"/>
      <c r="C26" s="2383"/>
      <c r="D26" s="2240"/>
      <c r="E26" s="2240"/>
      <c r="F26" s="2240"/>
      <c r="G26" s="2240"/>
      <c r="H26" s="2240"/>
      <c r="I26" s="2240"/>
      <c r="J26" s="2240"/>
      <c r="K26" s="2383"/>
      <c r="L26" s="2240"/>
      <c r="M26" s="2240"/>
      <c r="N26" s="2240"/>
      <c r="O26" s="2240"/>
      <c r="P26" s="2240"/>
      <c r="Q26" s="2240"/>
      <c r="R26" s="2239"/>
      <c r="S26" s="2369"/>
      <c r="T26" s="2369"/>
    </row>
    <row r="27" spans="2:40" ht="10.15" customHeight="1" x14ac:dyDescent="0.2">
      <c r="B27" s="2240"/>
      <c r="C27" s="2383"/>
      <c r="D27" s="2240"/>
      <c r="E27" s="2240"/>
      <c r="F27" s="2240"/>
      <c r="G27" s="2240"/>
      <c r="H27" s="2240"/>
      <c r="I27" s="2240"/>
      <c r="J27" s="2240"/>
      <c r="K27" s="2383"/>
      <c r="L27" s="2240"/>
      <c r="M27" s="2240"/>
      <c r="N27" s="2240"/>
      <c r="O27" s="2240"/>
      <c r="P27" s="2240"/>
      <c r="Q27" s="2240"/>
      <c r="R27" s="2239"/>
      <c r="S27" s="2369"/>
      <c r="T27" s="2369"/>
    </row>
    <row r="28" spans="2:40" ht="10.15" customHeight="1" x14ac:dyDescent="0.2">
      <c r="B28" s="2240"/>
      <c r="C28" s="2383"/>
      <c r="D28" s="2240"/>
      <c r="E28" s="2240"/>
      <c r="F28" s="2240"/>
      <c r="G28" s="2240"/>
      <c r="H28" s="2240"/>
      <c r="I28" s="2240"/>
      <c r="J28" s="2240"/>
      <c r="K28" s="2383"/>
      <c r="L28" s="2240"/>
      <c r="M28" s="2240"/>
      <c r="N28" s="2240"/>
      <c r="O28" s="2240"/>
      <c r="P28" s="2240"/>
      <c r="Q28" s="2240"/>
      <c r="R28" s="2239"/>
      <c r="S28" s="2369"/>
      <c r="T28" s="2369"/>
    </row>
    <row r="29" spans="2:40" ht="10.15" customHeight="1" x14ac:dyDescent="0.2">
      <c r="B29" s="2240"/>
      <c r="C29" s="2383"/>
      <c r="D29" s="2240"/>
      <c r="E29" s="2240"/>
      <c r="F29" s="2240"/>
      <c r="G29" s="2240"/>
      <c r="H29" s="2240"/>
      <c r="I29" s="2240"/>
      <c r="J29" s="2240"/>
      <c r="K29" s="2383"/>
      <c r="L29" s="2240"/>
      <c r="M29" s="2240"/>
      <c r="N29" s="2240"/>
      <c r="O29" s="2240"/>
      <c r="P29" s="2240"/>
      <c r="Q29" s="2240"/>
      <c r="R29" s="2239"/>
      <c r="S29" s="2369"/>
      <c r="T29" s="2369"/>
    </row>
    <row r="30" spans="2:40" ht="10.15" customHeight="1" x14ac:dyDescent="0.2">
      <c r="B30" s="2240"/>
      <c r="C30" s="2383"/>
      <c r="D30" s="2240"/>
      <c r="E30" s="2240"/>
      <c r="F30" s="2240"/>
      <c r="G30" s="2240"/>
      <c r="H30" s="2240"/>
      <c r="I30" s="2240"/>
      <c r="J30" s="2240"/>
      <c r="K30" s="2383"/>
      <c r="L30" s="2240"/>
      <c r="M30" s="2240"/>
      <c r="N30" s="2240"/>
      <c r="O30" s="2240"/>
      <c r="P30" s="2240"/>
      <c r="Q30" s="2240"/>
      <c r="R30" s="2239"/>
      <c r="S30" s="2369"/>
      <c r="T30" s="2369"/>
    </row>
    <row r="31" spans="2:40" ht="10.15" customHeight="1" x14ac:dyDescent="0.2">
      <c r="B31" s="2240"/>
      <c r="C31" s="2383"/>
      <c r="D31" s="2240"/>
      <c r="E31" s="2240"/>
      <c r="F31" s="2240"/>
      <c r="G31" s="2240"/>
      <c r="H31" s="2240"/>
      <c r="I31" s="2240"/>
      <c r="J31" s="2240"/>
      <c r="K31" s="2383"/>
      <c r="L31" s="2240"/>
      <c r="M31" s="2240"/>
      <c r="N31" s="2240"/>
      <c r="O31" s="2240"/>
      <c r="P31" s="2240"/>
      <c r="Q31" s="2240"/>
      <c r="R31" s="2239"/>
      <c r="S31" s="2369"/>
      <c r="T31" s="2369"/>
    </row>
    <row r="32" spans="2:40" ht="10.15" customHeight="1" x14ac:dyDescent="0.2">
      <c r="B32" s="2240"/>
      <c r="C32" s="2383"/>
      <c r="D32" s="2240"/>
      <c r="E32" s="2240"/>
      <c r="F32" s="2240"/>
      <c r="G32" s="2240"/>
      <c r="H32" s="2240"/>
      <c r="I32" s="2240"/>
      <c r="J32" s="2240"/>
      <c r="K32" s="2383"/>
      <c r="L32" s="2240"/>
      <c r="M32" s="2240"/>
      <c r="N32" s="2240"/>
      <c r="O32" s="2240"/>
      <c r="P32" s="2240"/>
      <c r="Q32" s="2240"/>
      <c r="R32" s="2239"/>
      <c r="S32" s="2369"/>
      <c r="T32" s="2369"/>
    </row>
    <row r="33" spans="1:41" ht="9.75" hidden="1" customHeight="1" x14ac:dyDescent="0.2">
      <c r="B33" s="2240"/>
      <c r="C33" s="2383"/>
      <c r="D33" s="2240"/>
      <c r="E33" s="2240"/>
      <c r="F33" s="2240"/>
      <c r="G33" s="2240"/>
      <c r="H33" s="2240"/>
      <c r="I33" s="2240"/>
      <c r="J33" s="2240"/>
      <c r="K33" s="2383"/>
      <c r="L33" s="2240"/>
      <c r="M33" s="2240"/>
      <c r="N33" s="2240"/>
      <c r="O33" s="2240"/>
      <c r="P33" s="2240"/>
      <c r="Q33" s="2240"/>
      <c r="R33" s="2239"/>
      <c r="S33" s="2369"/>
      <c r="T33" s="2369"/>
    </row>
    <row r="34" spans="1:41" ht="9.75" hidden="1" customHeight="1" x14ac:dyDescent="0.2">
      <c r="B34" s="2240"/>
      <c r="C34" s="2383"/>
      <c r="D34" s="2240"/>
      <c r="E34" s="2240"/>
      <c r="F34" s="2240"/>
      <c r="G34" s="2240"/>
      <c r="H34" s="2240"/>
      <c r="I34" s="2240"/>
      <c r="J34" s="2240"/>
      <c r="K34" s="2383"/>
      <c r="L34" s="2240"/>
      <c r="M34" s="2240"/>
      <c r="N34" s="2240"/>
      <c r="O34" s="2240"/>
      <c r="P34" s="2240"/>
      <c r="Q34" s="2240"/>
      <c r="R34" s="2239"/>
      <c r="S34" s="2369"/>
      <c r="T34" s="2369"/>
    </row>
    <row r="35" spans="1:41" ht="10.15" hidden="1" customHeight="1" x14ac:dyDescent="0.2">
      <c r="B35" s="2240"/>
      <c r="C35" s="2383"/>
      <c r="D35" s="2240"/>
      <c r="E35" s="2240"/>
      <c r="F35" s="2240"/>
      <c r="G35" s="2240"/>
      <c r="H35" s="2240"/>
      <c r="I35" s="2240"/>
      <c r="J35" s="2240"/>
      <c r="K35" s="2383"/>
      <c r="L35" s="2240"/>
      <c r="M35" s="2240"/>
      <c r="N35" s="2240"/>
      <c r="O35" s="2240"/>
      <c r="P35" s="2240"/>
      <c r="Q35" s="2240"/>
      <c r="R35" s="2239"/>
      <c r="S35" s="2369"/>
      <c r="T35" s="2369"/>
    </row>
    <row r="36" spans="1:41" ht="10.15" hidden="1" customHeight="1" x14ac:dyDescent="0.2">
      <c r="B36" s="2240"/>
      <c r="C36" s="2383"/>
      <c r="D36" s="2240"/>
      <c r="E36" s="2240"/>
      <c r="F36" s="2240"/>
      <c r="G36" s="2240"/>
      <c r="H36" s="2240"/>
      <c r="I36" s="2240"/>
      <c r="J36" s="2240"/>
      <c r="K36" s="2383"/>
      <c r="L36" s="2240"/>
      <c r="M36" s="2240"/>
      <c r="N36" s="2240"/>
      <c r="O36" s="2240"/>
      <c r="P36" s="2240"/>
      <c r="Q36" s="2240"/>
      <c r="R36" s="2239"/>
      <c r="S36" s="2369"/>
      <c r="T36" s="2369"/>
    </row>
    <row r="37" spans="1:41" ht="10.15" customHeight="1" x14ac:dyDescent="0.2">
      <c r="B37" s="2240"/>
      <c r="C37" s="2383"/>
      <c r="D37" s="2240"/>
      <c r="E37" s="2240"/>
      <c r="F37" s="2240"/>
      <c r="G37" s="2240"/>
      <c r="H37" s="2240"/>
      <c r="I37" s="2240"/>
      <c r="J37" s="2240"/>
      <c r="K37" s="2383"/>
      <c r="L37" s="2240"/>
      <c r="M37" s="2240"/>
      <c r="N37" s="2240"/>
      <c r="O37" s="2240"/>
      <c r="P37" s="2240"/>
      <c r="Q37" s="2240"/>
      <c r="R37" s="2239"/>
      <c r="S37" s="2369"/>
      <c r="T37" s="2369"/>
    </row>
    <row r="38" spans="1:41" ht="26.45" customHeight="1" x14ac:dyDescent="0.2">
      <c r="A38" s="3809">
        <v>66000000</v>
      </c>
      <c r="B38" s="3809"/>
      <c r="C38" s="3809"/>
      <c r="D38" s="3809"/>
      <c r="E38" s="3809"/>
      <c r="F38" s="3809"/>
      <c r="G38" s="3809"/>
      <c r="H38" s="3809"/>
      <c r="I38" s="3809"/>
      <c r="J38" s="3809"/>
      <c r="K38" s="3809"/>
      <c r="L38" s="3809"/>
      <c r="M38" s="3809"/>
      <c r="N38" s="3809"/>
      <c r="O38" s="3809"/>
      <c r="P38" s="3809"/>
      <c r="Q38" s="3809"/>
      <c r="R38" s="3809"/>
      <c r="S38" s="2369"/>
      <c r="T38" s="2369"/>
    </row>
    <row r="39" spans="1:41" ht="26.45" customHeight="1" x14ac:dyDescent="0.2">
      <c r="A39" s="3809"/>
      <c r="B39" s="3809"/>
      <c r="C39" s="3809"/>
      <c r="D39" s="3809"/>
      <c r="E39" s="3809"/>
      <c r="F39" s="3809"/>
      <c r="G39" s="3809"/>
      <c r="H39" s="3809"/>
      <c r="I39" s="3809"/>
      <c r="J39" s="3809"/>
      <c r="K39" s="3809"/>
      <c r="L39" s="3809"/>
      <c r="M39" s="3809"/>
      <c r="N39" s="3809"/>
      <c r="O39" s="3809"/>
      <c r="P39" s="3809"/>
      <c r="Q39" s="3809"/>
      <c r="R39" s="3809"/>
      <c r="S39" s="2369"/>
      <c r="T39" s="2369"/>
    </row>
    <row r="40" spans="1:41" ht="23.45" customHeight="1" x14ac:dyDescent="0.2">
      <c r="B40" s="3808" t="s">
        <v>32</v>
      </c>
      <c r="C40" s="3808"/>
      <c r="D40" s="3808"/>
      <c r="E40" s="3808"/>
      <c r="F40" s="3808"/>
      <c r="G40" s="3808"/>
      <c r="H40" s="3808"/>
      <c r="I40" s="3808"/>
      <c r="J40" s="3808"/>
      <c r="K40" s="3808"/>
      <c r="L40" s="3808"/>
      <c r="M40" s="3808"/>
      <c r="N40" s="3808"/>
      <c r="O40" s="3808"/>
      <c r="P40" s="3808"/>
      <c r="Q40" s="3808"/>
      <c r="R40" s="3808"/>
      <c r="S40" s="2369"/>
      <c r="T40" s="2369"/>
    </row>
    <row r="41" spans="1:41" ht="23.45" customHeight="1" x14ac:dyDescent="0.2">
      <c r="B41" s="3808" t="s">
        <v>45</v>
      </c>
      <c r="C41" s="3808"/>
      <c r="D41" s="3808"/>
      <c r="E41" s="3808"/>
      <c r="F41" s="3808"/>
      <c r="G41" s="3808"/>
      <c r="H41" s="3808"/>
      <c r="I41" s="3808"/>
      <c r="J41" s="3808"/>
      <c r="K41" s="3808"/>
      <c r="L41" s="3808"/>
      <c r="M41" s="3808"/>
      <c r="N41" s="3808"/>
      <c r="O41" s="3808"/>
      <c r="P41" s="3808"/>
      <c r="Q41" s="3808"/>
      <c r="R41" s="3808"/>
      <c r="S41" s="2369"/>
      <c r="T41" s="2369"/>
    </row>
    <row r="42" spans="1:41" ht="23.45" customHeight="1" x14ac:dyDescent="0.2">
      <c r="B42" s="3808" t="s">
        <v>46</v>
      </c>
      <c r="C42" s="3808"/>
      <c r="D42" s="3808"/>
      <c r="E42" s="3808"/>
      <c r="F42" s="3808"/>
      <c r="G42" s="3808"/>
      <c r="H42" s="3808"/>
      <c r="I42" s="3808"/>
      <c r="J42" s="3808"/>
      <c r="K42" s="3808"/>
      <c r="L42" s="3808"/>
      <c r="M42" s="3808"/>
      <c r="N42" s="3808"/>
      <c r="O42" s="3808"/>
      <c r="P42" s="3808"/>
      <c r="Q42" s="3808"/>
      <c r="R42" s="3808"/>
      <c r="S42" s="2369"/>
      <c r="T42" s="2369"/>
    </row>
    <row r="43" spans="1:41" ht="23.45" customHeight="1" x14ac:dyDescent="0.2">
      <c r="B43" s="3799" t="s">
        <v>1988</v>
      </c>
      <c r="C43" s="3799"/>
      <c r="D43" s="3799"/>
      <c r="E43" s="3799"/>
      <c r="F43" s="3799"/>
      <c r="G43" s="3799"/>
      <c r="H43" s="3799"/>
      <c r="I43" s="3799"/>
      <c r="J43" s="3799"/>
      <c r="K43" s="3799"/>
      <c r="L43" s="3799"/>
      <c r="M43" s="3799"/>
      <c r="N43" s="3799"/>
      <c r="O43" s="3799"/>
      <c r="P43" s="3799"/>
      <c r="Q43" s="3799"/>
      <c r="R43" s="3799"/>
      <c r="S43" s="2369"/>
      <c r="T43" s="2369"/>
    </row>
    <row r="44" spans="1:41" ht="9" customHeight="1" x14ac:dyDescent="0.2">
      <c r="B44" s="2240"/>
      <c r="C44" s="2383"/>
      <c r="D44" s="2240"/>
      <c r="E44" s="2240"/>
      <c r="F44" s="2240"/>
      <c r="G44" s="2240"/>
      <c r="H44" s="2240"/>
      <c r="I44" s="2240"/>
      <c r="J44" s="2240"/>
      <c r="K44" s="2383"/>
      <c r="L44" s="2240"/>
      <c r="M44" s="2240"/>
      <c r="N44" s="2240"/>
      <c r="O44" s="2240"/>
      <c r="P44" s="2240"/>
      <c r="Q44" s="2240"/>
      <c r="R44" s="2239"/>
      <c r="S44" s="2369"/>
      <c r="T44" s="2369"/>
    </row>
    <row r="45" spans="1:41" ht="28.9" customHeight="1" x14ac:dyDescent="0.2">
      <c r="C45" s="3746" t="s">
        <v>1828</v>
      </c>
      <c r="D45" s="3746"/>
      <c r="E45" s="3746"/>
      <c r="F45" s="3746"/>
      <c r="G45" s="3746"/>
      <c r="H45" s="3746"/>
      <c r="I45" s="3746"/>
      <c r="J45" s="3746"/>
      <c r="K45" s="3746"/>
      <c r="L45" s="3746"/>
      <c r="M45" s="3746"/>
      <c r="N45" s="2383"/>
      <c r="O45" s="2371"/>
      <c r="P45" s="3832" t="s">
        <v>1193</v>
      </c>
      <c r="Q45" s="3832"/>
      <c r="R45" s="3832"/>
      <c r="S45" s="2384"/>
      <c r="T45" s="2384"/>
      <c r="AO45" s="2365">
        <v>14932547758</v>
      </c>
    </row>
    <row r="46" spans="1:41" ht="28.9" customHeight="1" x14ac:dyDescent="0.2">
      <c r="B46" s="3800" t="s">
        <v>419</v>
      </c>
      <c r="C46" s="3801" t="s">
        <v>53</v>
      </c>
      <c r="D46" s="3802" t="s">
        <v>54</v>
      </c>
      <c r="E46" s="3803" t="s">
        <v>1396</v>
      </c>
      <c r="F46" s="3804"/>
      <c r="G46" s="3804" t="s">
        <v>1116</v>
      </c>
      <c r="H46" s="3806" t="s">
        <v>1371</v>
      </c>
      <c r="I46" s="3803" t="s">
        <v>1253</v>
      </c>
      <c r="J46" s="3804" t="s">
        <v>1113</v>
      </c>
      <c r="K46" s="3807" t="s">
        <v>898</v>
      </c>
      <c r="L46" s="3803" t="s">
        <v>1373</v>
      </c>
      <c r="M46" s="3803" t="s">
        <v>899</v>
      </c>
      <c r="N46" s="2385"/>
      <c r="O46" s="3804" t="s">
        <v>313</v>
      </c>
      <c r="P46" s="3804" t="s">
        <v>1254</v>
      </c>
      <c r="Q46" s="2385"/>
      <c r="R46" s="3803" t="s">
        <v>1997</v>
      </c>
      <c r="S46" s="2386"/>
      <c r="T46" s="2386"/>
      <c r="AN46" s="2382">
        <f>SUM(AO45:AO46)</f>
        <v>64045276724</v>
      </c>
      <c r="AO46" s="2365">
        <v>49112728966</v>
      </c>
    </row>
    <row r="47" spans="1:41" ht="37.9" customHeight="1" x14ac:dyDescent="0.2">
      <c r="B47" s="3800"/>
      <c r="C47" s="3801"/>
      <c r="D47" s="3802"/>
      <c r="E47" s="3803"/>
      <c r="F47" s="3805"/>
      <c r="G47" s="3805"/>
      <c r="H47" s="3806"/>
      <c r="I47" s="3803"/>
      <c r="J47" s="3805"/>
      <c r="K47" s="3807"/>
      <c r="L47" s="3803"/>
      <c r="M47" s="3803"/>
      <c r="N47" s="2385"/>
      <c r="O47" s="3805"/>
      <c r="P47" s="3805"/>
      <c r="Q47" s="2385" t="s">
        <v>919</v>
      </c>
      <c r="R47" s="3803"/>
      <c r="S47" s="2386"/>
      <c r="T47" s="2386"/>
    </row>
    <row r="48" spans="1:41" ht="28.9" customHeight="1" x14ac:dyDescent="0.2">
      <c r="B48" s="3831" t="s">
        <v>180</v>
      </c>
      <c r="C48" s="1788" t="s">
        <v>346</v>
      </c>
      <c r="D48" s="2387" t="s">
        <v>323</v>
      </c>
      <c r="E48" s="2385">
        <f>1657609028645-E201</f>
        <v>1454470323965</v>
      </c>
      <c r="F48" s="2385">
        <v>8252359994948</v>
      </c>
      <c r="G48" s="2385"/>
      <c r="H48" s="2385">
        <f>E48+G48</f>
        <v>1454470323965</v>
      </c>
      <c r="I48" s="2385">
        <f>F48-Q48-J48-K48-P48-O48</f>
        <v>7793467721408</v>
      </c>
      <c r="J48" s="2385"/>
      <c r="K48" s="1811">
        <f>'یادداشت 7 دارایییی اصلاحی'!W20</f>
        <v>498976416676</v>
      </c>
      <c r="L48" s="2385">
        <f>N48</f>
        <v>-8074231765743</v>
      </c>
      <c r="M48" s="2385"/>
      <c r="N48" s="2385">
        <f>-8074231765743</f>
        <v>-8074231765743</v>
      </c>
      <c r="O48" s="2385">
        <f>'یادداشت 7 دارایییی اصلاحی'!V20+'پيش پرداخت سرمايه اي يادداشت 6'!O27</f>
        <v>-21779308701</v>
      </c>
      <c r="P48" s="2385">
        <f>'پيش پرداخت سرمايه اي يادداشت 6'!P27</f>
        <v>-18304834435</v>
      </c>
      <c r="Q48" s="2385"/>
      <c r="R48" s="2385">
        <f>1835737257850-R201</f>
        <v>1632598553170</v>
      </c>
      <c r="S48" s="2386"/>
      <c r="T48" s="2386"/>
      <c r="AN48" s="2382">
        <f>E48+I48+L48+K48+O48+P48</f>
        <v>1632598553170</v>
      </c>
      <c r="AO48" s="2365">
        <f>R48-AN48</f>
        <v>0</v>
      </c>
    </row>
    <row r="49" spans="2:47" ht="28.9" customHeight="1" x14ac:dyDescent="0.2">
      <c r="B49" s="3822"/>
      <c r="C49" s="1786">
        <v>1503002046</v>
      </c>
      <c r="D49" s="2388" t="s">
        <v>83</v>
      </c>
      <c r="E49" s="2385">
        <f>1325899440719-E194</f>
        <v>1221236484010</v>
      </c>
      <c r="F49" s="2385">
        <v>1405326753472</v>
      </c>
      <c r="G49" s="2385"/>
      <c r="H49" s="2385">
        <f t="shared" ref="H49:H105" si="0">E49+G49</f>
        <v>1221236484010</v>
      </c>
      <c r="I49" s="2385">
        <f>F49-Q49-J49-K49-P49-O49</f>
        <v>1306158917427</v>
      </c>
      <c r="J49" s="2385"/>
      <c r="K49" s="1811">
        <f>'یادداشت 7 دارایییی اصلاحی'!W21</f>
        <v>99167836045</v>
      </c>
      <c r="L49" s="2385">
        <f t="shared" ref="L49:L106" si="1">N49</f>
        <v>-929809411954</v>
      </c>
      <c r="M49" s="2385"/>
      <c r="N49" s="2385">
        <f>-929809411954</f>
        <v>-929809411954</v>
      </c>
      <c r="O49" s="2385"/>
      <c r="P49" s="2385"/>
      <c r="Q49" s="2385"/>
      <c r="R49" s="2385">
        <f>1801416782237-R194</f>
        <v>1696753825528</v>
      </c>
      <c r="S49" s="2386"/>
      <c r="T49" s="2386"/>
      <c r="AN49" s="2382">
        <f t="shared" ref="AN49:AN133" si="2">E49+I49+L49+K49+O49+P49</f>
        <v>1696753825528</v>
      </c>
      <c r="AO49" s="2365">
        <f t="shared" ref="AO49:AO133" si="3">R49-AN49</f>
        <v>0</v>
      </c>
    </row>
    <row r="50" spans="2:47" ht="28.9" customHeight="1" x14ac:dyDescent="0.2">
      <c r="B50" s="3822"/>
      <c r="C50" s="1788" t="s">
        <v>608</v>
      </c>
      <c r="D50" s="2389" t="s">
        <v>1289</v>
      </c>
      <c r="E50" s="1531">
        <f>1425294847798-E203</f>
        <v>1010216932598</v>
      </c>
      <c r="F50" s="2385">
        <v>2258682241125</v>
      </c>
      <c r="G50" s="2385"/>
      <c r="H50" s="2385">
        <f t="shared" si="0"/>
        <v>1010216932598</v>
      </c>
      <c r="I50" s="2385">
        <f t="shared" ref="I50:I106" si="4">F50-Q50-J50-K50-P50-O50</f>
        <v>1921533665256</v>
      </c>
      <c r="J50" s="2385"/>
      <c r="K50" s="88">
        <f>'یادداشت 7 دارایییی اصلاحی'!W166</f>
        <v>356446479677</v>
      </c>
      <c r="L50" s="2385">
        <f t="shared" si="1"/>
        <v>-2849712566731</v>
      </c>
      <c r="M50" s="2385"/>
      <c r="N50" s="2385">
        <v>-2849712566731</v>
      </c>
      <c r="O50" s="2385">
        <f>'یادداشت 7 دارایییی اصلاحی'!V166+'پيش پرداخت سرمايه اي يادداشت 6'!O61</f>
        <v>-11624502134</v>
      </c>
      <c r="P50" s="2385">
        <f>'پيش پرداخت سرمايه اي يادداشت 6'!P61</f>
        <v>-7673401674</v>
      </c>
      <c r="Q50" s="2385"/>
      <c r="R50" s="1531">
        <f>834264522192-R203</f>
        <v>419186606992</v>
      </c>
      <c r="S50" s="2390"/>
      <c r="T50" s="2390"/>
      <c r="U50" s="2365">
        <f>E50+I50+K50+L50+O50+P50+Q50</f>
        <v>419186606992</v>
      </c>
      <c r="V50" s="2365">
        <f>R50-U50</f>
        <v>0</v>
      </c>
      <c r="AB50" s="2365">
        <f>I50+J50+L50+Q50+P50+O50+E50+K50</f>
        <v>419186606992</v>
      </c>
      <c r="AC50" s="2365">
        <f>R50-AB50</f>
        <v>0</v>
      </c>
      <c r="AE50" s="2365">
        <f>E50+G50+I50+K50+L50+O50+P50+Q50</f>
        <v>419186606992</v>
      </c>
      <c r="AF50" s="2365">
        <f>R50-AE50</f>
        <v>0</v>
      </c>
      <c r="AG50" s="2365">
        <f>F50-G50-Q50</f>
        <v>2258682241125</v>
      </c>
      <c r="AH50" s="2365">
        <f>E50+G50+I50+K50+L50+O50+P50+Q50</f>
        <v>419186606992</v>
      </c>
      <c r="AI50" s="2365">
        <f>R50-AH50</f>
        <v>0</v>
      </c>
      <c r="AJ50" s="2365">
        <f>I50-AG50</f>
        <v>-337148575869</v>
      </c>
      <c r="AK50" s="2365">
        <f>N50-K50-O50-P50</f>
        <v>-3186861142600</v>
      </c>
      <c r="AL50" s="2365">
        <f>L50-AK50</f>
        <v>337148575869</v>
      </c>
      <c r="AN50" s="2382">
        <f t="shared" si="2"/>
        <v>419186606992</v>
      </c>
      <c r="AO50" s="2365">
        <f t="shared" si="3"/>
        <v>0</v>
      </c>
      <c r="AP50" s="2365">
        <v>0</v>
      </c>
      <c r="AR50" s="2365">
        <f>E50+I50+K50+L50+O50+P50+Q50</f>
        <v>419186606992</v>
      </c>
      <c r="AS50" s="2365">
        <f>R50-AR50</f>
        <v>0</v>
      </c>
      <c r="AT50" s="2365">
        <f>109842032421+454101135554</f>
        <v>563943167975</v>
      </c>
      <c r="AU50" s="2365">
        <f>R50-AT50</f>
        <v>-144756560983</v>
      </c>
    </row>
    <row r="51" spans="2:47" ht="28.9" customHeight="1" x14ac:dyDescent="0.2">
      <c r="B51" s="3822"/>
      <c r="C51" s="2391">
        <v>1503002173</v>
      </c>
      <c r="D51" s="2392" t="s">
        <v>317</v>
      </c>
      <c r="E51" s="2385">
        <v>426984175931</v>
      </c>
      <c r="F51" s="2385">
        <v>413524432729</v>
      </c>
      <c r="G51" s="2385"/>
      <c r="H51" s="2385">
        <f t="shared" si="0"/>
        <v>426984175931</v>
      </c>
      <c r="I51" s="2385">
        <f t="shared" si="4"/>
        <v>409870966460</v>
      </c>
      <c r="J51" s="2385"/>
      <c r="K51" s="1811">
        <f>'یادداشت 7 دارایییی اصلاحی'!W23</f>
        <v>3779643048</v>
      </c>
      <c r="L51" s="2385">
        <f t="shared" si="1"/>
        <v>-30856833381</v>
      </c>
      <c r="M51" s="2385"/>
      <c r="N51" s="2385">
        <f>-30856833381</f>
        <v>-30856833381</v>
      </c>
      <c r="O51" s="2385">
        <f>'یادداشت 7 دارایییی اصلاحی'!V23</f>
        <v>-126176779</v>
      </c>
      <c r="P51" s="2385"/>
      <c r="Q51" s="2385"/>
      <c r="R51" s="2385">
        <f>809651775279</f>
        <v>809651775279</v>
      </c>
      <c r="S51" s="2390"/>
      <c r="T51" s="2390"/>
      <c r="AN51" s="2382">
        <f t="shared" si="2"/>
        <v>809651775279</v>
      </c>
      <c r="AO51" s="2365">
        <f t="shared" si="3"/>
        <v>0</v>
      </c>
      <c r="AP51" s="2365">
        <v>-58861502926</v>
      </c>
    </row>
    <row r="52" spans="2:47" ht="28.9" customHeight="1" x14ac:dyDescent="0.2">
      <c r="B52" s="3822"/>
      <c r="C52" s="1786">
        <v>1307002010</v>
      </c>
      <c r="D52" s="2388" t="s">
        <v>203</v>
      </c>
      <c r="E52" s="2385">
        <f>636744148775-E188</f>
        <v>577882645849</v>
      </c>
      <c r="F52" s="2385">
        <v>1612945297305</v>
      </c>
      <c r="G52" s="2385"/>
      <c r="H52" s="2385">
        <f t="shared" si="0"/>
        <v>577882645849</v>
      </c>
      <c r="I52" s="2385">
        <f t="shared" si="4"/>
        <v>1627840412121</v>
      </c>
      <c r="J52" s="2385"/>
      <c r="K52" s="1811">
        <f>'یادداشت 7 دارایییی اصلاحی'!W19</f>
        <v>-13094213497</v>
      </c>
      <c r="L52" s="2385">
        <f t="shared" si="1"/>
        <v>-1788753687912</v>
      </c>
      <c r="M52" s="2385"/>
      <c r="N52" s="2385">
        <f>-1788753687912</f>
        <v>-1788753687912</v>
      </c>
      <c r="O52" s="2385">
        <f>'یادداشت 7 دارایییی اصلاحی'!V19</f>
        <v>-1800901319</v>
      </c>
      <c r="P52" s="2385"/>
      <c r="Q52" s="2385"/>
      <c r="R52" s="2385">
        <f>460935758168-R188</f>
        <v>402074255242</v>
      </c>
      <c r="S52" s="2393"/>
      <c r="T52" s="2393"/>
      <c r="U52" s="2365">
        <f>E52+I52+K52+L52+O52+P52+Q52</f>
        <v>402074255242</v>
      </c>
      <c r="V52" s="2365">
        <f>R52-U52</f>
        <v>0</v>
      </c>
      <c r="AB52" s="2365">
        <f>I52+J52+L52+Q52+P52+O52+E52+K52</f>
        <v>402074255242</v>
      </c>
      <c r="AC52" s="2365">
        <f>R52-AB52</f>
        <v>0</v>
      </c>
      <c r="AE52" s="2365">
        <f>E52+G52+I52+K52+L52+O52+P52+Q52</f>
        <v>402074255242</v>
      </c>
      <c r="AF52" s="2365">
        <f>R52-AE52</f>
        <v>0</v>
      </c>
      <c r="AG52" s="2365">
        <f>F52-G52-Q52</f>
        <v>1612945297305</v>
      </c>
      <c r="AH52" s="2365">
        <f>E52+G52+I52+K52+L52+O52+P52+Q52</f>
        <v>402074255242</v>
      </c>
      <c r="AI52" s="2365">
        <f>R52-AH52</f>
        <v>0</v>
      </c>
      <c r="AJ52" s="2365">
        <f>I52-AG52</f>
        <v>14895114816</v>
      </c>
      <c r="AK52" s="2365">
        <f>N52-K52-O52-P52</f>
        <v>-1773858573096</v>
      </c>
      <c r="AL52" s="2365">
        <f>L52-AK52</f>
        <v>-14895114816</v>
      </c>
      <c r="AN52" s="2382">
        <f t="shared" si="2"/>
        <v>402074255242</v>
      </c>
      <c r="AO52" s="2365">
        <f t="shared" si="3"/>
        <v>0</v>
      </c>
      <c r="AP52" s="2365">
        <v>-10000000000</v>
      </c>
      <c r="AR52" s="2365">
        <f>E52+I52+K52+L52+O52+P52+Q52</f>
        <v>402074255242</v>
      </c>
      <c r="AS52" s="2365">
        <f>R52-AR52</f>
        <v>0</v>
      </c>
    </row>
    <row r="53" spans="2:47" ht="28.9" customHeight="1" x14ac:dyDescent="0.2">
      <c r="B53" s="3822"/>
      <c r="C53" s="742" t="s">
        <v>1330</v>
      </c>
      <c r="D53" s="2394" t="s">
        <v>1329</v>
      </c>
      <c r="E53" s="1811">
        <v>39050835524</v>
      </c>
      <c r="F53" s="1811">
        <v>391629907915</v>
      </c>
      <c r="G53" s="1811"/>
      <c r="H53" s="2385">
        <f t="shared" si="0"/>
        <v>39050835524</v>
      </c>
      <c r="I53" s="2385">
        <f t="shared" si="4"/>
        <v>391629907915</v>
      </c>
      <c r="J53" s="1811"/>
      <c r="K53" s="1811">
        <f>'یادداشت 7 دارایییی اصلاحی'!W356</f>
        <v>0</v>
      </c>
      <c r="L53" s="2385">
        <f t="shared" si="1"/>
        <v>-12721409450</v>
      </c>
      <c r="M53" s="1811"/>
      <c r="N53" s="1811">
        <f>-12721409450</f>
        <v>-12721409450</v>
      </c>
      <c r="O53" s="1811"/>
      <c r="P53" s="1811"/>
      <c r="Q53" s="1811"/>
      <c r="R53" s="1811">
        <f>417959333989</f>
        <v>417959333989</v>
      </c>
      <c r="S53" s="2393"/>
      <c r="T53" s="2393"/>
      <c r="AN53" s="2382">
        <f t="shared" si="2"/>
        <v>417959333989</v>
      </c>
      <c r="AO53" s="2365">
        <f t="shared" si="3"/>
        <v>0</v>
      </c>
    </row>
    <row r="54" spans="2:47" ht="28.9" customHeight="1" x14ac:dyDescent="0.4">
      <c r="B54" s="3822"/>
      <c r="C54" s="1800" t="s">
        <v>2056</v>
      </c>
      <c r="D54" s="1801" t="s">
        <v>2072</v>
      </c>
      <c r="E54" s="2395"/>
      <c r="F54" s="2395">
        <v>546412530962</v>
      </c>
      <c r="G54" s="2395"/>
      <c r="H54" s="2385">
        <f t="shared" si="0"/>
        <v>0</v>
      </c>
      <c r="I54" s="2385">
        <f t="shared" si="4"/>
        <v>546412530962</v>
      </c>
      <c r="J54" s="2395"/>
      <c r="K54" s="2395">
        <f>'یادداشت 7 دارایییی اصلاحی'!W365</f>
        <v>0</v>
      </c>
      <c r="L54" s="2385">
        <f t="shared" si="1"/>
        <v>-296778152188</v>
      </c>
      <c r="M54" s="2395"/>
      <c r="N54" s="2395">
        <f>-296778152188</f>
        <v>-296778152188</v>
      </c>
      <c r="O54" s="2395"/>
      <c r="P54" s="2395"/>
      <c r="Q54" s="2395"/>
      <c r="R54" s="2396">
        <f>249634378774</f>
        <v>249634378774</v>
      </c>
      <c r="S54" s="2390"/>
      <c r="T54" s="2390"/>
      <c r="U54" s="2365">
        <f>E49+I49+K49+L49+O49+P49+Q49</f>
        <v>1696753825528</v>
      </c>
      <c r="V54" s="2365">
        <f>R49-U54</f>
        <v>0</v>
      </c>
      <c r="AB54" s="2365">
        <f>I49+J49+L49+Q49+P49+O49+E49+K49</f>
        <v>1696753825528</v>
      </c>
      <c r="AC54" s="2365">
        <f>R49-AB54</f>
        <v>0</v>
      </c>
      <c r="AE54" s="2365">
        <f>E49+G49+I49+K49+L49+O49+P49+Q49</f>
        <v>1696753825528</v>
      </c>
      <c r="AF54" s="2365">
        <f>R49-AE54</f>
        <v>0</v>
      </c>
      <c r="AG54" s="2365">
        <f>F49-G49-Q49</f>
        <v>1405326753472</v>
      </c>
      <c r="AH54" s="2365">
        <f>E49+G49+I49+K49+L49+O49+P49+Q49</f>
        <v>1696753825528</v>
      </c>
      <c r="AI54" s="2365">
        <f>R49-AH54</f>
        <v>0</v>
      </c>
      <c r="AJ54" s="2365">
        <f>I49-AG54</f>
        <v>-99167836045</v>
      </c>
      <c r="AK54" s="2365">
        <f>N49-K49-O49-P49</f>
        <v>-1028977247999</v>
      </c>
      <c r="AL54" s="2365">
        <f>L49-AK54</f>
        <v>99167836045</v>
      </c>
      <c r="AN54" s="2382">
        <f t="shared" si="2"/>
        <v>249634378774</v>
      </c>
      <c r="AO54" s="2365">
        <f t="shared" si="3"/>
        <v>0</v>
      </c>
      <c r="AP54" s="2365">
        <v>-335000000</v>
      </c>
      <c r="AR54" s="2365">
        <f>E49+I49+K49+L49+O49+P49+Q49</f>
        <v>1696753825528</v>
      </c>
      <c r="AS54" s="2397">
        <f>R49-AR54</f>
        <v>0</v>
      </c>
    </row>
    <row r="55" spans="2:47" ht="25.15" customHeight="1" x14ac:dyDescent="0.4">
      <c r="B55" s="3822"/>
      <c r="C55" s="1800" t="s">
        <v>2060</v>
      </c>
      <c r="D55" s="1805" t="s">
        <v>2037</v>
      </c>
      <c r="E55" s="2395"/>
      <c r="F55" s="2395">
        <v>295631927453</v>
      </c>
      <c r="G55" s="2395"/>
      <c r="H55" s="2385">
        <f t="shared" si="0"/>
        <v>0</v>
      </c>
      <c r="I55" s="2385">
        <f t="shared" si="4"/>
        <v>268554820919</v>
      </c>
      <c r="J55" s="2395"/>
      <c r="K55" s="2395">
        <f>'یادداشت 7 دارایییی اصلاحی'!W389</f>
        <v>27077106534</v>
      </c>
      <c r="L55" s="2385">
        <f t="shared" si="1"/>
        <v>-101463608331</v>
      </c>
      <c r="M55" s="2395"/>
      <c r="N55" s="2395">
        <f>-101463608331</f>
        <v>-101463608331</v>
      </c>
      <c r="O55" s="2395"/>
      <c r="P55" s="2395"/>
      <c r="Q55" s="2395"/>
      <c r="R55" s="2395">
        <f>194168319122</f>
        <v>194168319122</v>
      </c>
      <c r="S55" s="2390"/>
      <c r="T55" s="2390"/>
      <c r="U55" s="2365">
        <f>E48+I48+K48+L48+O48+P48+Q48</f>
        <v>1632598553170</v>
      </c>
      <c r="V55" s="2365">
        <f>R48-U55</f>
        <v>0</v>
      </c>
      <c r="AB55" s="2365">
        <f>I48+J48+L48+Q48+P48+O48+E48+K48</f>
        <v>1632598553170</v>
      </c>
      <c r="AC55" s="2365">
        <f>R48-AB55</f>
        <v>0</v>
      </c>
      <c r="AE55" s="2365">
        <f>E48+G48+I48+K48+L48+O48+P48+Q48</f>
        <v>1632598553170</v>
      </c>
      <c r="AF55" s="2365">
        <f>R48-AE55</f>
        <v>0</v>
      </c>
      <c r="AG55" s="2365">
        <f>F48-G48-Q48</f>
        <v>8252359994948</v>
      </c>
      <c r="AH55" s="2365">
        <f>E48+G48+I48+K48+L48+O48+P48+Q48</f>
        <v>1632598553170</v>
      </c>
      <c r="AI55" s="2365">
        <f>R48-AH55</f>
        <v>0</v>
      </c>
      <c r="AJ55" s="2365">
        <f>I48-AG55</f>
        <v>-458892273540</v>
      </c>
      <c r="AK55" s="2365">
        <f>N48-K48-O48-P48</f>
        <v>-8533124039283</v>
      </c>
      <c r="AL55" s="2365">
        <f>L48-AK55</f>
        <v>458892273540</v>
      </c>
      <c r="AN55" s="2382">
        <f t="shared" si="2"/>
        <v>194168319122</v>
      </c>
      <c r="AO55" s="2365">
        <f t="shared" si="3"/>
        <v>0</v>
      </c>
      <c r="AP55" s="2365">
        <v>-3161451789</v>
      </c>
      <c r="AR55" s="2365">
        <f>E48+I48+K48+L48+O48+P48+Q48</f>
        <v>1632598553170</v>
      </c>
      <c r="AS55" s="2365">
        <f>R48-AR55</f>
        <v>0</v>
      </c>
    </row>
    <row r="56" spans="2:47" ht="25.15" customHeight="1" x14ac:dyDescent="0.2">
      <c r="B56" s="3822"/>
      <c r="C56" s="1788" t="s">
        <v>609</v>
      </c>
      <c r="D56" s="2389" t="s">
        <v>607</v>
      </c>
      <c r="E56" s="2385">
        <f>196406408538-E192</f>
        <v>195598311682</v>
      </c>
      <c r="F56" s="2385">
        <v>346197064572</v>
      </c>
      <c r="G56" s="2385"/>
      <c r="H56" s="2385">
        <f t="shared" si="0"/>
        <v>195598311682</v>
      </c>
      <c r="I56" s="2385">
        <f t="shared" si="4"/>
        <v>353890409133</v>
      </c>
      <c r="J56" s="2385"/>
      <c r="K56" s="1811">
        <f>'یادداشت 7 دارایییی اصلاحی'!W167</f>
        <v>-3043780591</v>
      </c>
      <c r="L56" s="2385">
        <f t="shared" si="1"/>
        <v>-372156342154</v>
      </c>
      <c r="M56" s="2385"/>
      <c r="N56" s="2385">
        <f>-372156342154</f>
        <v>-372156342154</v>
      </c>
      <c r="O56" s="2385"/>
      <c r="P56" s="2385">
        <f>'پيش پرداخت سرمايه اي يادداشت 6'!P63</f>
        <v>-4649563970</v>
      </c>
      <c r="Q56" s="2385"/>
      <c r="R56" s="2385">
        <f>170447130956-R192</f>
        <v>169639034100</v>
      </c>
      <c r="S56" s="2390"/>
      <c r="T56" s="2390"/>
      <c r="AN56" s="2382">
        <f t="shared" si="2"/>
        <v>169639034100</v>
      </c>
      <c r="AO56" s="2365">
        <f t="shared" si="3"/>
        <v>0</v>
      </c>
    </row>
    <row r="57" spans="2:47" ht="25.15" customHeight="1" x14ac:dyDescent="0.4">
      <c r="B57" s="3822"/>
      <c r="C57" s="1795" t="s">
        <v>2041</v>
      </c>
      <c r="D57" s="1805" t="s">
        <v>2040</v>
      </c>
      <c r="E57" s="2395"/>
      <c r="F57" s="2395">
        <v>1171707753666</v>
      </c>
      <c r="G57" s="2395"/>
      <c r="H57" s="2385">
        <f t="shared" si="0"/>
        <v>0</v>
      </c>
      <c r="I57" s="2385">
        <f t="shared" si="4"/>
        <v>1136857861859</v>
      </c>
      <c r="J57" s="2395"/>
      <c r="K57" s="2395">
        <f>'یادداشت 7 دارایییی اصلاحی'!W392</f>
        <v>34849891807</v>
      </c>
      <c r="L57" s="2385">
        <f t="shared" si="1"/>
        <v>-1011893033719</v>
      </c>
      <c r="M57" s="2395"/>
      <c r="N57" s="2395">
        <f>-1011893033719</f>
        <v>-1011893033719</v>
      </c>
      <c r="O57" s="2395"/>
      <c r="P57" s="2395"/>
      <c r="Q57" s="2395"/>
      <c r="R57" s="2395">
        <v>159814719947</v>
      </c>
      <c r="S57" s="2390"/>
      <c r="T57" s="2390"/>
      <c r="AN57" s="2382">
        <f t="shared" si="2"/>
        <v>159814719947</v>
      </c>
      <c r="AO57" s="2365">
        <f t="shared" si="3"/>
        <v>0</v>
      </c>
    </row>
    <row r="58" spans="2:47" ht="25.15" customHeight="1" x14ac:dyDescent="0.4">
      <c r="B58" s="3822"/>
      <c r="C58" s="1800" t="s">
        <v>2050</v>
      </c>
      <c r="D58" s="1805" t="s">
        <v>2028</v>
      </c>
      <c r="E58" s="2395"/>
      <c r="F58" s="2395">
        <v>264973167437</v>
      </c>
      <c r="G58" s="2395"/>
      <c r="H58" s="2385">
        <f t="shared" si="0"/>
        <v>0</v>
      </c>
      <c r="I58" s="2385">
        <f t="shared" si="4"/>
        <v>253059889258</v>
      </c>
      <c r="J58" s="2395"/>
      <c r="K58" s="2395">
        <f>'یادداشت 7 دارایییی اصلاحی'!W382</f>
        <v>11913278179</v>
      </c>
      <c r="L58" s="2385">
        <f t="shared" si="1"/>
        <v>-124095385027</v>
      </c>
      <c r="M58" s="2395"/>
      <c r="N58" s="2395">
        <f>-124095385027</f>
        <v>-124095385027</v>
      </c>
      <c r="O58" s="2395"/>
      <c r="P58" s="2395"/>
      <c r="Q58" s="2395"/>
      <c r="R58" s="2395">
        <v>140877782410</v>
      </c>
      <c r="S58" s="2390"/>
      <c r="T58" s="2390"/>
      <c r="AN58" s="2382">
        <f t="shared" si="2"/>
        <v>140877782410</v>
      </c>
      <c r="AO58" s="2365">
        <f t="shared" si="3"/>
        <v>0</v>
      </c>
    </row>
    <row r="59" spans="2:47" ht="25.15" customHeight="1" x14ac:dyDescent="0.2">
      <c r="B59" s="3822"/>
      <c r="C59" s="1762" t="s">
        <v>624</v>
      </c>
      <c r="D59" s="2389" t="s">
        <v>600</v>
      </c>
      <c r="E59" s="2385">
        <f>114779566925-E206</f>
        <v>108041742315</v>
      </c>
      <c r="F59" s="2385">
        <v>269879851789</v>
      </c>
      <c r="G59" s="2385"/>
      <c r="H59" s="2385">
        <f t="shared" si="0"/>
        <v>108041742315</v>
      </c>
      <c r="I59" s="2385">
        <f t="shared" si="4"/>
        <v>269316037716</v>
      </c>
      <c r="J59" s="2385"/>
      <c r="K59" s="1811">
        <f>'یادداشت 7 دارایییی اصلاحی'!W176</f>
        <v>986044417</v>
      </c>
      <c r="L59" s="2385">
        <f t="shared" si="1"/>
        <v>-248432926359</v>
      </c>
      <c r="M59" s="2385"/>
      <c r="N59" s="2385">
        <f>-248432926359</f>
        <v>-248432926359</v>
      </c>
      <c r="O59" s="2385"/>
      <c r="P59" s="2385">
        <f>'پيش پرداخت سرمايه اي يادداشت 6'!P83</f>
        <v>-422230344</v>
      </c>
      <c r="Q59" s="2385"/>
      <c r="R59" s="2385">
        <f>136226492355-R206</f>
        <v>129488667745</v>
      </c>
      <c r="S59" s="2390"/>
      <c r="T59" s="2390"/>
      <c r="AN59" s="2382">
        <f t="shared" si="2"/>
        <v>129488667745</v>
      </c>
      <c r="AO59" s="2365">
        <f t="shared" si="3"/>
        <v>0</v>
      </c>
    </row>
    <row r="60" spans="2:47" ht="25.15" customHeight="1" x14ac:dyDescent="0.4">
      <c r="B60" s="3822"/>
      <c r="C60" s="1800" t="s">
        <v>2053</v>
      </c>
      <c r="D60" s="1801" t="s">
        <v>2031</v>
      </c>
      <c r="E60" s="2395"/>
      <c r="F60" s="2395">
        <v>155357555787</v>
      </c>
      <c r="G60" s="2395"/>
      <c r="H60" s="2385">
        <f t="shared" si="0"/>
        <v>0</v>
      </c>
      <c r="I60" s="2385">
        <f>F60-Q60-J60-K60-P60-O60</f>
        <v>155357555787</v>
      </c>
      <c r="J60" s="2395"/>
      <c r="K60" s="2395">
        <f>'یادداشت 7 دارایییی اصلاحی'!W379</f>
        <v>0</v>
      </c>
      <c r="L60" s="2385">
        <f t="shared" si="1"/>
        <v>-21972799594</v>
      </c>
      <c r="M60" s="2395"/>
      <c r="N60" s="2395">
        <f>-21972799594</f>
        <v>-21972799594</v>
      </c>
      <c r="O60" s="2395"/>
      <c r="P60" s="2395"/>
      <c r="Q60" s="2395"/>
      <c r="R60" s="2395">
        <v>133384756193</v>
      </c>
      <c r="S60" s="2390"/>
      <c r="T60" s="2390"/>
      <c r="AN60" s="2382">
        <f>E60+I60+L60+K60+O60+P60</f>
        <v>133384756193</v>
      </c>
      <c r="AO60" s="2365">
        <f t="shared" si="3"/>
        <v>0</v>
      </c>
      <c r="AP60" s="2365">
        <v>-17028127716</v>
      </c>
    </row>
    <row r="61" spans="2:47" ht="25.15" customHeight="1" x14ac:dyDescent="0.2">
      <c r="B61" s="3822"/>
      <c r="C61" s="2398">
        <v>1307006001</v>
      </c>
      <c r="D61" s="2388" t="s">
        <v>87</v>
      </c>
      <c r="E61" s="2385">
        <v>10833750729</v>
      </c>
      <c r="F61" s="2385">
        <v>699430384200</v>
      </c>
      <c r="G61" s="2385"/>
      <c r="H61" s="2385">
        <f t="shared" si="0"/>
        <v>10833750729</v>
      </c>
      <c r="I61" s="2385">
        <f t="shared" si="4"/>
        <v>680803214383</v>
      </c>
      <c r="J61" s="2385"/>
      <c r="K61" s="1811">
        <f>'یادداشت 7 دارایییی اصلاحی'!W25</f>
        <v>18627169817</v>
      </c>
      <c r="L61" s="2385">
        <f t="shared" si="1"/>
        <v>-586195203905</v>
      </c>
      <c r="M61" s="2385"/>
      <c r="N61" s="2385">
        <f>-586195203905</f>
        <v>-586195203905</v>
      </c>
      <c r="O61" s="2385"/>
      <c r="P61" s="2385"/>
      <c r="Q61" s="2385"/>
      <c r="R61" s="2385">
        <v>124068931024</v>
      </c>
      <c r="S61" s="2390"/>
      <c r="T61" s="2390"/>
      <c r="AN61" s="2382">
        <f t="shared" si="2"/>
        <v>124068931024</v>
      </c>
      <c r="AO61" s="2365">
        <f t="shared" si="3"/>
        <v>0</v>
      </c>
    </row>
    <row r="62" spans="2:47" ht="25.15" customHeight="1" x14ac:dyDescent="0.4">
      <c r="B62" s="3823"/>
      <c r="C62" s="1802" t="s">
        <v>2153</v>
      </c>
      <c r="D62" s="1820" t="s">
        <v>2036</v>
      </c>
      <c r="E62" s="2395"/>
      <c r="F62" s="2395">
        <v>374939061688</v>
      </c>
      <c r="G62" s="2395"/>
      <c r="H62" s="2385">
        <f t="shared" si="0"/>
        <v>0</v>
      </c>
      <c r="I62" s="2385">
        <f t="shared" si="4"/>
        <v>374939061688</v>
      </c>
      <c r="J62" s="2395"/>
      <c r="K62" s="2395">
        <f>'یادداشت 7 دارایییی اصلاحی'!W394</f>
        <v>0</v>
      </c>
      <c r="L62" s="2385">
        <f t="shared" si="1"/>
        <v>-256761638758</v>
      </c>
      <c r="M62" s="2395"/>
      <c r="N62" s="2395">
        <f>-256761638758</f>
        <v>-256761638758</v>
      </c>
      <c r="O62" s="2395"/>
      <c r="P62" s="2395"/>
      <c r="Q62" s="2395"/>
      <c r="R62" s="2395">
        <v>118177422930</v>
      </c>
      <c r="S62" s="2390"/>
      <c r="T62" s="2390"/>
      <c r="AN62" s="2382">
        <f t="shared" si="2"/>
        <v>118177422930</v>
      </c>
      <c r="AO62" s="2365">
        <f t="shared" si="3"/>
        <v>0</v>
      </c>
    </row>
    <row r="63" spans="2:47" ht="25.15" customHeight="1" x14ac:dyDescent="0.2">
      <c r="B63" s="3795" t="s">
        <v>94</v>
      </c>
      <c r="C63" s="3796"/>
      <c r="D63" s="3797"/>
      <c r="E63" s="2385">
        <f>SUM(E48:E62)</f>
        <v>5044315202603</v>
      </c>
      <c r="F63" s="2385">
        <f t="shared" ref="F63:P63" si="5">SUM(F48:F62)</f>
        <v>18458997925048</v>
      </c>
      <c r="G63" s="2385">
        <f t="shared" si="5"/>
        <v>0</v>
      </c>
      <c r="H63" s="2385">
        <f t="shared" si="5"/>
        <v>5044315202603</v>
      </c>
      <c r="I63" s="2385">
        <f t="shared" si="5"/>
        <v>17489692972292</v>
      </c>
      <c r="J63" s="2385">
        <f t="shared" si="5"/>
        <v>0</v>
      </c>
      <c r="K63" s="2385">
        <f t="shared" si="5"/>
        <v>1035685872112</v>
      </c>
      <c r="L63" s="2385">
        <f t="shared" si="5"/>
        <v>-16705834765206</v>
      </c>
      <c r="M63" s="2385">
        <f t="shared" si="5"/>
        <v>0</v>
      </c>
      <c r="N63" s="2385">
        <f t="shared" si="5"/>
        <v>-16705834765206</v>
      </c>
      <c r="O63" s="2385">
        <f t="shared" si="5"/>
        <v>-35330888933</v>
      </c>
      <c r="P63" s="2385">
        <f t="shared" si="5"/>
        <v>-31050030423</v>
      </c>
      <c r="Q63" s="2385">
        <f t="shared" ref="Q63" si="6">SUM(Q48:Q62)</f>
        <v>0</v>
      </c>
      <c r="R63" s="2385">
        <f t="shared" ref="R63" si="7">SUM(R48:R62)</f>
        <v>6797478362445</v>
      </c>
      <c r="S63" s="2390"/>
      <c r="T63" s="2390"/>
      <c r="AN63" s="2382"/>
    </row>
    <row r="64" spans="2:47" ht="25.15" customHeight="1" x14ac:dyDescent="0.2">
      <c r="B64" s="2399"/>
      <c r="C64" s="3798" t="s">
        <v>2274</v>
      </c>
      <c r="D64" s="3798"/>
      <c r="E64" s="3798"/>
      <c r="F64" s="3798"/>
      <c r="G64" s="3798"/>
      <c r="H64" s="3798"/>
      <c r="I64" s="3798"/>
      <c r="J64" s="3798"/>
      <c r="K64" s="3798"/>
      <c r="L64" s="3798"/>
      <c r="M64" s="3798"/>
      <c r="N64" s="3798"/>
      <c r="O64" s="3798"/>
      <c r="P64" s="3798"/>
      <c r="Q64" s="3798"/>
      <c r="R64" s="3798"/>
      <c r="S64" s="2390"/>
      <c r="T64" s="2390"/>
      <c r="AN64" s="2382"/>
    </row>
    <row r="65" spans="2:42" ht="25.15" customHeight="1" x14ac:dyDescent="0.2">
      <c r="B65" s="3574" t="s">
        <v>32</v>
      </c>
      <c r="C65" s="3574"/>
      <c r="D65" s="3574"/>
      <c r="E65" s="3574"/>
      <c r="F65" s="3574"/>
      <c r="G65" s="3574"/>
      <c r="H65" s="3574"/>
      <c r="I65" s="3574"/>
      <c r="J65" s="3574"/>
      <c r="K65" s="3574"/>
      <c r="L65" s="3574"/>
      <c r="M65" s="3574"/>
      <c r="N65" s="3574"/>
      <c r="O65" s="3574"/>
      <c r="P65" s="3574"/>
      <c r="Q65" s="3574"/>
      <c r="R65" s="3574"/>
      <c r="S65" s="2390"/>
      <c r="T65" s="2390"/>
      <c r="AN65" s="2382"/>
    </row>
    <row r="66" spans="2:42" ht="25.15" customHeight="1" x14ac:dyDescent="0.2">
      <c r="B66" s="3574" t="s">
        <v>45</v>
      </c>
      <c r="C66" s="3574"/>
      <c r="D66" s="3574"/>
      <c r="E66" s="3574"/>
      <c r="F66" s="3574"/>
      <c r="G66" s="3574"/>
      <c r="H66" s="3574"/>
      <c r="I66" s="3574"/>
      <c r="J66" s="3574"/>
      <c r="K66" s="3574"/>
      <c r="L66" s="3574"/>
      <c r="M66" s="3574"/>
      <c r="N66" s="3574"/>
      <c r="O66" s="3574"/>
      <c r="P66" s="3574"/>
      <c r="Q66" s="3574"/>
      <c r="R66" s="3574"/>
      <c r="S66" s="2390"/>
      <c r="T66" s="2390"/>
      <c r="AN66" s="2382"/>
    </row>
    <row r="67" spans="2:42" ht="25.15" customHeight="1" x14ac:dyDescent="0.2">
      <c r="B67" s="3574" t="s">
        <v>46</v>
      </c>
      <c r="C67" s="3574"/>
      <c r="D67" s="3574"/>
      <c r="E67" s="3574"/>
      <c r="F67" s="3574"/>
      <c r="G67" s="3574"/>
      <c r="H67" s="3574"/>
      <c r="I67" s="3574"/>
      <c r="J67" s="3574"/>
      <c r="K67" s="3574"/>
      <c r="L67" s="3574"/>
      <c r="M67" s="3574"/>
      <c r="N67" s="3574"/>
      <c r="O67" s="3574"/>
      <c r="P67" s="3574"/>
      <c r="Q67" s="3574"/>
      <c r="R67" s="3574"/>
      <c r="S67" s="2390"/>
      <c r="T67" s="2390"/>
      <c r="AN67" s="2382"/>
    </row>
    <row r="68" spans="2:42" ht="25.15" customHeight="1" x14ac:dyDescent="0.2">
      <c r="B68" s="3799" t="s">
        <v>1988</v>
      </c>
      <c r="C68" s="3799"/>
      <c r="D68" s="3799"/>
      <c r="E68" s="3799"/>
      <c r="F68" s="3799"/>
      <c r="G68" s="3799"/>
      <c r="H68" s="3799"/>
      <c r="I68" s="3799"/>
      <c r="J68" s="3799"/>
      <c r="K68" s="3799"/>
      <c r="L68" s="3799"/>
      <c r="M68" s="3799"/>
      <c r="N68" s="3799"/>
      <c r="O68" s="3799"/>
      <c r="P68" s="3799"/>
      <c r="Q68" s="3799"/>
      <c r="R68" s="3799"/>
      <c r="S68" s="2390"/>
      <c r="T68" s="2390"/>
      <c r="AN68" s="2382"/>
    </row>
    <row r="69" spans="2:42" ht="25.15" customHeight="1" x14ac:dyDescent="0.2">
      <c r="B69" s="2399"/>
      <c r="C69" s="3746" t="s">
        <v>1829</v>
      </c>
      <c r="D69" s="3746"/>
      <c r="E69" s="3746"/>
      <c r="F69" s="3746"/>
      <c r="G69" s="3746"/>
      <c r="H69" s="3746"/>
      <c r="I69" s="3746"/>
      <c r="J69" s="3746"/>
      <c r="K69" s="3746"/>
      <c r="L69" s="3746"/>
      <c r="R69" s="2400"/>
      <c r="S69" s="2390"/>
      <c r="T69" s="2390"/>
      <c r="AN69" s="2382"/>
    </row>
    <row r="70" spans="2:42" ht="25.15" customHeight="1" x14ac:dyDescent="0.2">
      <c r="B70" s="3800" t="s">
        <v>419</v>
      </c>
      <c r="C70" s="3801" t="s">
        <v>53</v>
      </c>
      <c r="D70" s="3802" t="s">
        <v>54</v>
      </c>
      <c r="E70" s="3803" t="s">
        <v>1396</v>
      </c>
      <c r="F70" s="3804"/>
      <c r="G70" s="3804" t="s">
        <v>1116</v>
      </c>
      <c r="H70" s="3806" t="s">
        <v>1371</v>
      </c>
      <c r="I70" s="3803" t="s">
        <v>1253</v>
      </c>
      <c r="J70" s="3804" t="s">
        <v>1113</v>
      </c>
      <c r="K70" s="3807" t="s">
        <v>898</v>
      </c>
      <c r="L70" s="3803" t="s">
        <v>1373</v>
      </c>
      <c r="M70" s="3803" t="s">
        <v>899</v>
      </c>
      <c r="N70" s="2385"/>
      <c r="O70" s="3804" t="s">
        <v>313</v>
      </c>
      <c r="P70" s="3804" t="s">
        <v>1254</v>
      </c>
      <c r="Q70" s="2385"/>
      <c r="R70" s="3803" t="s">
        <v>1997</v>
      </c>
      <c r="S70" s="2390"/>
      <c r="T70" s="2390"/>
      <c r="AN70" s="2382"/>
    </row>
    <row r="71" spans="2:42" ht="25.15" customHeight="1" x14ac:dyDescent="0.2">
      <c r="B71" s="3800"/>
      <c r="C71" s="3801"/>
      <c r="D71" s="3802"/>
      <c r="E71" s="3803"/>
      <c r="F71" s="3805"/>
      <c r="G71" s="3805"/>
      <c r="H71" s="3806"/>
      <c r="I71" s="3803"/>
      <c r="J71" s="3805"/>
      <c r="K71" s="3807"/>
      <c r="L71" s="3803"/>
      <c r="M71" s="3803"/>
      <c r="N71" s="2385"/>
      <c r="O71" s="3805"/>
      <c r="P71" s="3805"/>
      <c r="Q71" s="2385" t="s">
        <v>919</v>
      </c>
      <c r="R71" s="3803"/>
      <c r="S71" s="2390"/>
      <c r="T71" s="2390"/>
      <c r="AN71" s="2382"/>
    </row>
    <row r="72" spans="2:42" ht="25.15" customHeight="1" x14ac:dyDescent="0.2">
      <c r="B72" s="3831" t="s">
        <v>420</v>
      </c>
      <c r="C72" s="3793" t="s">
        <v>181</v>
      </c>
      <c r="D72" s="3793"/>
      <c r="E72" s="2385">
        <f>E63</f>
        <v>5044315202603</v>
      </c>
      <c r="F72" s="2385">
        <f t="shared" ref="F72:R72" si="8">F63</f>
        <v>18458997925048</v>
      </c>
      <c r="G72" s="2385">
        <f t="shared" si="8"/>
        <v>0</v>
      </c>
      <c r="H72" s="2385">
        <f t="shared" si="8"/>
        <v>5044315202603</v>
      </c>
      <c r="I72" s="2385">
        <f t="shared" si="8"/>
        <v>17489692972292</v>
      </c>
      <c r="J72" s="2385">
        <f t="shared" si="8"/>
        <v>0</v>
      </c>
      <c r="K72" s="2385">
        <f t="shared" si="8"/>
        <v>1035685872112</v>
      </c>
      <c r="L72" s="2385">
        <f t="shared" si="8"/>
        <v>-16705834765206</v>
      </c>
      <c r="M72" s="2385">
        <f t="shared" si="8"/>
        <v>0</v>
      </c>
      <c r="N72" s="2385">
        <f t="shared" si="8"/>
        <v>-16705834765206</v>
      </c>
      <c r="O72" s="2385">
        <f t="shared" si="8"/>
        <v>-35330888933</v>
      </c>
      <c r="P72" s="2385">
        <f t="shared" si="8"/>
        <v>-31050030423</v>
      </c>
      <c r="Q72" s="2385">
        <f t="shared" si="8"/>
        <v>0</v>
      </c>
      <c r="R72" s="2385">
        <f t="shared" si="8"/>
        <v>6797478362445</v>
      </c>
      <c r="S72" s="2390"/>
      <c r="T72" s="2390"/>
      <c r="AN72" s="2382"/>
    </row>
    <row r="73" spans="2:42" ht="22.15" customHeight="1" x14ac:dyDescent="0.2">
      <c r="B73" s="3822"/>
      <c r="C73" s="1788" t="s">
        <v>622</v>
      </c>
      <c r="D73" s="2389" t="s">
        <v>620</v>
      </c>
      <c r="E73" s="2401">
        <f>310273997126-E199</f>
        <v>310022063164</v>
      </c>
      <c r="F73" s="2401">
        <v>759504745955</v>
      </c>
      <c r="G73" s="2401"/>
      <c r="H73" s="2385">
        <f t="shared" si="0"/>
        <v>310022063164</v>
      </c>
      <c r="I73" s="2385">
        <f t="shared" si="4"/>
        <v>732306185977</v>
      </c>
      <c r="J73" s="2401"/>
      <c r="K73" s="1654">
        <f>'یادداشت 7 دارایییی اصلاحی'!W172</f>
        <v>28607336260</v>
      </c>
      <c r="L73" s="2385">
        <f t="shared" si="1"/>
        <v>-956952434305</v>
      </c>
      <c r="M73" s="2401"/>
      <c r="N73" s="2401">
        <f>-956952434305</f>
        <v>-956952434305</v>
      </c>
      <c r="O73" s="2401"/>
      <c r="P73" s="2401">
        <f>'پيش پرداخت سرمايه اي يادداشت 6'!P79</f>
        <v>-1408776282</v>
      </c>
      <c r="Q73" s="2401"/>
      <c r="R73" s="2401">
        <f>112826308776-R199</f>
        <v>112574374814</v>
      </c>
      <c r="S73" s="2390"/>
      <c r="T73" s="2390"/>
      <c r="AN73" s="2382">
        <f t="shared" si="2"/>
        <v>112574374814</v>
      </c>
      <c r="AO73" s="2365">
        <f t="shared" si="3"/>
        <v>0</v>
      </c>
    </row>
    <row r="74" spans="2:42" ht="22.15" customHeight="1" x14ac:dyDescent="0.2">
      <c r="B74" s="3822"/>
      <c r="C74" s="1762" t="s">
        <v>627</v>
      </c>
      <c r="D74" s="2389" t="s">
        <v>603</v>
      </c>
      <c r="E74" s="2385">
        <v>76153916253</v>
      </c>
      <c r="F74" s="2385">
        <v>109996663238</v>
      </c>
      <c r="G74" s="2385"/>
      <c r="H74" s="2385">
        <f t="shared" si="0"/>
        <v>76153916253</v>
      </c>
      <c r="I74" s="2385">
        <f t="shared" si="4"/>
        <v>99574663238</v>
      </c>
      <c r="J74" s="2385"/>
      <c r="K74" s="1811">
        <f>'یادداشت 7 دارایییی اصلاحی'!W179</f>
        <v>10622000000</v>
      </c>
      <c r="L74" s="2385">
        <f t="shared" si="1"/>
        <v>-73807700694</v>
      </c>
      <c r="M74" s="2385"/>
      <c r="N74" s="2385">
        <f>-73807700694</f>
        <v>-73807700694</v>
      </c>
      <c r="O74" s="2385"/>
      <c r="P74" s="2385">
        <f>'پيش پرداخت سرمايه اي يادداشت 6'!P88</f>
        <v>-200000000</v>
      </c>
      <c r="Q74" s="2385"/>
      <c r="R74" s="2385">
        <v>112342878797</v>
      </c>
      <c r="S74" s="2390"/>
      <c r="T74" s="2390"/>
      <c r="AN74" s="2382">
        <f>E74+I74+L74+K74+O74+P74</f>
        <v>112342878797</v>
      </c>
      <c r="AO74" s="2365">
        <f t="shared" si="3"/>
        <v>0</v>
      </c>
    </row>
    <row r="75" spans="2:42" ht="22.15" customHeight="1" x14ac:dyDescent="0.2">
      <c r="B75" s="3822"/>
      <c r="C75" s="1784">
        <v>1502001005</v>
      </c>
      <c r="D75" s="2388" t="s">
        <v>233</v>
      </c>
      <c r="E75" s="2385">
        <v>20740956633</v>
      </c>
      <c r="F75" s="2385">
        <v>157673827760</v>
      </c>
      <c r="G75" s="2385"/>
      <c r="H75" s="2385">
        <f t="shared" si="0"/>
        <v>20740956633</v>
      </c>
      <c r="I75" s="2385">
        <f t="shared" si="4"/>
        <v>160403957649</v>
      </c>
      <c r="J75" s="2385"/>
      <c r="K75" s="1811">
        <f>'یادداشت 7 دارایییی اصلاحی'!W54</f>
        <v>-2730129889</v>
      </c>
      <c r="L75" s="2385">
        <f t="shared" si="1"/>
        <v>-67048663312</v>
      </c>
      <c r="M75" s="2385"/>
      <c r="N75" s="2385">
        <f>-67048663312</f>
        <v>-67048663312</v>
      </c>
      <c r="O75" s="2385"/>
      <c r="P75" s="2385"/>
      <c r="Q75" s="2385"/>
      <c r="R75" s="2385">
        <v>111366121081</v>
      </c>
      <c r="S75" s="2390"/>
      <c r="T75" s="2390"/>
      <c r="AN75" s="2382">
        <f t="shared" si="2"/>
        <v>111366121081</v>
      </c>
      <c r="AO75" s="2365">
        <f t="shared" si="3"/>
        <v>0</v>
      </c>
    </row>
    <row r="76" spans="2:42" ht="22.15" customHeight="1" x14ac:dyDescent="0.2">
      <c r="B76" s="3822"/>
      <c r="C76" s="1786">
        <v>1503002096</v>
      </c>
      <c r="D76" s="2388" t="s">
        <v>84</v>
      </c>
      <c r="E76" s="1811">
        <f>65197712176-E195</f>
        <v>62026593855</v>
      </c>
      <c r="F76" s="2385">
        <v>60250805610</v>
      </c>
      <c r="G76" s="2385"/>
      <c r="H76" s="2385">
        <f t="shared" si="0"/>
        <v>62026593855</v>
      </c>
      <c r="I76" s="2385">
        <f t="shared" si="4"/>
        <v>68261608960</v>
      </c>
      <c r="J76" s="2385"/>
      <c r="K76" s="1811">
        <f>'یادداشت 7 دارایییی اصلاحی'!W22</f>
        <v>0</v>
      </c>
      <c r="L76" s="2385">
        <f t="shared" si="1"/>
        <v>-18645477725</v>
      </c>
      <c r="M76" s="2385"/>
      <c r="N76" s="2385">
        <f>-18645477725</f>
        <v>-18645477725</v>
      </c>
      <c r="O76" s="2385">
        <f>'یادداشت 7 دارایییی اصلاحی'!V22</f>
        <v>-25282840</v>
      </c>
      <c r="P76" s="2385">
        <f>'پيش پرداخت سرمايه اي يادداشت 6'!P10</f>
        <v>-7985520510</v>
      </c>
      <c r="Q76" s="2385"/>
      <c r="R76" s="1811">
        <f>106803040061-R195</f>
        <v>103631921740</v>
      </c>
      <c r="S76" s="2390"/>
      <c r="T76" s="2390"/>
      <c r="AN76" s="2382">
        <f t="shared" si="2"/>
        <v>103631921740</v>
      </c>
      <c r="AO76" s="2365">
        <f t="shared" si="3"/>
        <v>0</v>
      </c>
    </row>
    <row r="77" spans="2:42" ht="22.15" customHeight="1" x14ac:dyDescent="0.4">
      <c r="B77" s="3822"/>
      <c r="C77" s="1800" t="s">
        <v>2049</v>
      </c>
      <c r="D77" s="1801" t="s">
        <v>2025</v>
      </c>
      <c r="E77" s="2395"/>
      <c r="F77" s="2395">
        <v>439696270664</v>
      </c>
      <c r="G77" s="2395"/>
      <c r="H77" s="2385">
        <f t="shared" si="0"/>
        <v>0</v>
      </c>
      <c r="I77" s="2385">
        <f t="shared" si="4"/>
        <v>382544912667</v>
      </c>
      <c r="J77" s="2395"/>
      <c r="K77" s="2395">
        <f>'یادداشت 7 دارایییی اصلاحی'!W363</f>
        <v>57151357997</v>
      </c>
      <c r="L77" s="2385">
        <f t="shared" si="1"/>
        <v>-341112568891</v>
      </c>
      <c r="M77" s="2395"/>
      <c r="N77" s="2395">
        <f>-341112568891</f>
        <v>-341112568891</v>
      </c>
      <c r="O77" s="2395"/>
      <c r="P77" s="2395"/>
      <c r="Q77" s="2395"/>
      <c r="R77" s="2395">
        <v>98583701773</v>
      </c>
      <c r="S77" s="2390"/>
      <c r="T77" s="2390"/>
      <c r="AN77" s="2382">
        <f t="shared" si="2"/>
        <v>98583701773</v>
      </c>
      <c r="AO77" s="2365">
        <f t="shared" si="3"/>
        <v>0</v>
      </c>
    </row>
    <row r="78" spans="2:42" ht="22.15" customHeight="1" x14ac:dyDescent="0.2">
      <c r="B78" s="3822"/>
      <c r="C78" s="1788" t="s">
        <v>629</v>
      </c>
      <c r="D78" s="2402" t="s">
        <v>605</v>
      </c>
      <c r="E78" s="2385">
        <v>110979743598</v>
      </c>
      <c r="F78" s="2385">
        <v>49049510941</v>
      </c>
      <c r="G78" s="2385"/>
      <c r="H78" s="2385">
        <f t="shared" si="0"/>
        <v>110979743598</v>
      </c>
      <c r="I78" s="2385">
        <f t="shared" si="4"/>
        <v>49369510941</v>
      </c>
      <c r="J78" s="2385"/>
      <c r="K78" s="1811">
        <f>'یادداشت 7 دارایییی اصلاحی'!W193</f>
        <v>0</v>
      </c>
      <c r="L78" s="2385">
        <f t="shared" si="1"/>
        <v>-81695988688</v>
      </c>
      <c r="M78" s="2385"/>
      <c r="N78" s="2385">
        <f>-81695988688</f>
        <v>-81695988688</v>
      </c>
      <c r="O78" s="2385"/>
      <c r="P78" s="2385">
        <f>'پيش پرداخت سرمايه اي يادداشت 6'!P90</f>
        <v>-320000000</v>
      </c>
      <c r="Q78" s="2385"/>
      <c r="R78" s="2385">
        <v>78333265851</v>
      </c>
      <c r="S78" s="2390"/>
      <c r="T78" s="2390"/>
      <c r="AN78" s="2382">
        <f t="shared" si="2"/>
        <v>78333265851</v>
      </c>
      <c r="AO78" s="2365">
        <f t="shared" si="3"/>
        <v>0</v>
      </c>
      <c r="AP78" s="2365">
        <v>0</v>
      </c>
    </row>
    <row r="79" spans="2:42" ht="22.15" customHeight="1" x14ac:dyDescent="0.2">
      <c r="B79" s="3822"/>
      <c r="C79" s="1787" t="s">
        <v>1080</v>
      </c>
      <c r="D79" s="2403" t="s">
        <v>1081</v>
      </c>
      <c r="E79" s="1811">
        <v>214262058049</v>
      </c>
      <c r="F79" s="1811">
        <v>70520093186</v>
      </c>
      <c r="G79" s="1811"/>
      <c r="H79" s="2385">
        <f t="shared" si="0"/>
        <v>214262058049</v>
      </c>
      <c r="I79" s="2385">
        <f t="shared" si="4"/>
        <v>170890317699</v>
      </c>
      <c r="J79" s="1811"/>
      <c r="K79" s="1811">
        <f>'یادداشت 7 دارایییی اصلاحی'!W349</f>
        <v>-100370224513</v>
      </c>
      <c r="L79" s="2385">
        <f t="shared" si="1"/>
        <v>-212462206332</v>
      </c>
      <c r="M79" s="1811"/>
      <c r="N79" s="1811">
        <f>-212462206332</f>
        <v>-212462206332</v>
      </c>
      <c r="O79" s="1811"/>
      <c r="P79" s="1811"/>
      <c r="Q79" s="1811"/>
      <c r="R79" s="1811">
        <v>72319944903</v>
      </c>
      <c r="S79" s="2390"/>
      <c r="T79" s="2390"/>
      <c r="AN79" s="2382">
        <f t="shared" si="2"/>
        <v>72319944903</v>
      </c>
      <c r="AO79" s="2365">
        <f t="shared" si="3"/>
        <v>0</v>
      </c>
      <c r="AP79" s="2365">
        <v>-146291680</v>
      </c>
    </row>
    <row r="80" spans="2:42" ht="22.15" customHeight="1" x14ac:dyDescent="0.2">
      <c r="B80" s="3822"/>
      <c r="C80" s="1788" t="s">
        <v>548</v>
      </c>
      <c r="D80" s="2387" t="s">
        <v>545</v>
      </c>
      <c r="E80" s="2385">
        <f>164747083287+4253714950-E202</f>
        <v>81055384902</v>
      </c>
      <c r="F80" s="2385">
        <v>149388536850</v>
      </c>
      <c r="G80" s="2385"/>
      <c r="H80" s="2385">
        <f t="shared" si="0"/>
        <v>81055384902</v>
      </c>
      <c r="I80" s="2385">
        <f t="shared" si="4"/>
        <v>62494418024</v>
      </c>
      <c r="J80" s="2385">
        <v>0</v>
      </c>
      <c r="K80" s="1811">
        <f>'یادداشت 7 دارایییی اصلاحی'!W147</f>
        <v>86894118826</v>
      </c>
      <c r="L80" s="2385">
        <f t="shared" si="1"/>
        <v>-167570829535</v>
      </c>
      <c r="M80" s="2385"/>
      <c r="N80" s="2385">
        <f>-255516242870-N202</f>
        <v>-167570829535</v>
      </c>
      <c r="O80" s="2385"/>
      <c r="P80" s="2385"/>
      <c r="Q80" s="2385"/>
      <c r="R80" s="2385">
        <f>58619377267+4253714950-R202</f>
        <v>62873092217</v>
      </c>
      <c r="S80" s="2390"/>
      <c r="T80" s="2390"/>
      <c r="AN80" s="2382">
        <f t="shared" si="2"/>
        <v>62873092217</v>
      </c>
      <c r="AO80" s="2365">
        <f t="shared" si="3"/>
        <v>0</v>
      </c>
    </row>
    <row r="81" spans="2:42" ht="22.15" customHeight="1" x14ac:dyDescent="0.2">
      <c r="B81" s="3822"/>
      <c r="C81" s="667" t="s">
        <v>540</v>
      </c>
      <c r="D81" s="2387" t="s">
        <v>541</v>
      </c>
      <c r="E81" s="2385">
        <f>97259681702-E200</f>
        <v>96210822846</v>
      </c>
      <c r="F81" s="2385">
        <v>206648586352</v>
      </c>
      <c r="G81" s="2385"/>
      <c r="H81" s="2385">
        <f t="shared" si="0"/>
        <v>96210822846</v>
      </c>
      <c r="I81" s="2385">
        <f t="shared" si="4"/>
        <v>206990247682</v>
      </c>
      <c r="J81" s="2385"/>
      <c r="K81" s="1811">
        <f>'یادداشت 7 دارایییی اصلاحی'!W323</f>
        <v>-341661330</v>
      </c>
      <c r="L81" s="2385">
        <f t="shared" si="1"/>
        <v>-244386831570</v>
      </c>
      <c r="M81" s="2385"/>
      <c r="N81" s="2385">
        <f>-244386831570</f>
        <v>-244386831570</v>
      </c>
      <c r="O81" s="2385"/>
      <c r="P81" s="2385"/>
      <c r="Q81" s="2385"/>
      <c r="R81" s="2385">
        <f>59521436484-R200</f>
        <v>58472577628</v>
      </c>
      <c r="S81" s="2390"/>
      <c r="T81" s="2390"/>
      <c r="AN81" s="2382">
        <f t="shared" si="2"/>
        <v>58472577628</v>
      </c>
      <c r="AO81" s="2365">
        <f t="shared" si="3"/>
        <v>0</v>
      </c>
      <c r="AP81" s="2365">
        <v>-379559761</v>
      </c>
    </row>
    <row r="82" spans="2:42" ht="22.15" customHeight="1" x14ac:dyDescent="0.2">
      <c r="B82" s="3822"/>
      <c r="C82" s="1762" t="s">
        <v>625</v>
      </c>
      <c r="D82" s="2404" t="s">
        <v>601</v>
      </c>
      <c r="E82" s="2385">
        <v>94109172663</v>
      </c>
      <c r="F82" s="2385">
        <v>183053502404</v>
      </c>
      <c r="G82" s="2385"/>
      <c r="H82" s="2385">
        <f t="shared" si="0"/>
        <v>94109172663</v>
      </c>
      <c r="I82" s="2385">
        <f t="shared" si="4"/>
        <v>189253308156</v>
      </c>
      <c r="J82" s="2385"/>
      <c r="K82" s="1811">
        <f>'یادداشت 7 دارایییی اصلاحی'!W177</f>
        <v>13596295268</v>
      </c>
      <c r="L82" s="2385">
        <f t="shared" si="1"/>
        <v>-219912549916</v>
      </c>
      <c r="M82" s="2385"/>
      <c r="N82" s="2385">
        <f>-219912549916</f>
        <v>-219912549916</v>
      </c>
      <c r="O82" s="2385"/>
      <c r="P82" s="2385">
        <f>'پيش پرداخت سرمايه اي يادداشت 6'!P84</f>
        <v>-19796101020</v>
      </c>
      <c r="Q82" s="2385"/>
      <c r="R82" s="2385">
        <v>57250125151</v>
      </c>
      <c r="S82" s="2390"/>
      <c r="T82" s="2390"/>
      <c r="AN82" s="2382">
        <f t="shared" si="2"/>
        <v>57250125151</v>
      </c>
      <c r="AO82" s="2365">
        <f t="shared" si="3"/>
        <v>0</v>
      </c>
      <c r="AP82" s="2365">
        <v>0</v>
      </c>
    </row>
    <row r="83" spans="2:42" ht="22.15" customHeight="1" x14ac:dyDescent="0.4">
      <c r="B83" s="3822"/>
      <c r="C83" s="1800" t="s">
        <v>2052</v>
      </c>
      <c r="D83" s="1805" t="s">
        <v>2030</v>
      </c>
      <c r="E83" s="2395"/>
      <c r="F83" s="2395">
        <v>128888372129</v>
      </c>
      <c r="G83" s="2395"/>
      <c r="H83" s="2385">
        <f t="shared" si="0"/>
        <v>0</v>
      </c>
      <c r="I83" s="2385">
        <f t="shared" si="4"/>
        <v>128055270047</v>
      </c>
      <c r="J83" s="2395"/>
      <c r="K83" s="2395">
        <f>'یادداشت 7 دارایییی اصلاحی'!W386</f>
        <v>833102082</v>
      </c>
      <c r="L83" s="2385">
        <f t="shared" si="1"/>
        <v>-74960788745</v>
      </c>
      <c r="M83" s="2395"/>
      <c r="N83" s="2395">
        <f>-74960788745</f>
        <v>-74960788745</v>
      </c>
      <c r="O83" s="2395"/>
      <c r="P83" s="2395"/>
      <c r="Q83" s="2395"/>
      <c r="R83" s="2395">
        <v>53927583384</v>
      </c>
      <c r="S83" s="2390"/>
      <c r="T83" s="2390"/>
      <c r="AN83" s="2382">
        <f t="shared" si="2"/>
        <v>53927583384</v>
      </c>
      <c r="AO83" s="2365">
        <f t="shared" si="3"/>
        <v>0</v>
      </c>
    </row>
    <row r="84" spans="2:42" ht="22.15" customHeight="1" x14ac:dyDescent="0.4">
      <c r="B84" s="3822"/>
      <c r="C84" s="1800" t="s">
        <v>2057</v>
      </c>
      <c r="D84" s="1801" t="s">
        <v>2034</v>
      </c>
      <c r="E84" s="2395"/>
      <c r="F84" s="2395">
        <v>173302533496</v>
      </c>
      <c r="G84" s="2395"/>
      <c r="H84" s="2385">
        <f t="shared" si="0"/>
        <v>0</v>
      </c>
      <c r="I84" s="2385">
        <f t="shared" si="4"/>
        <v>173302533496</v>
      </c>
      <c r="J84" s="2395"/>
      <c r="K84" s="2395">
        <f>'یادداشت 7 دارایییی اصلاحی'!W364</f>
        <v>0</v>
      </c>
      <c r="L84" s="2385">
        <f t="shared" si="1"/>
        <v>-120150998263</v>
      </c>
      <c r="M84" s="2395"/>
      <c r="N84" s="2395">
        <f>-120150998263</f>
        <v>-120150998263</v>
      </c>
      <c r="O84" s="2395"/>
      <c r="P84" s="2395"/>
      <c r="Q84" s="2395"/>
      <c r="R84" s="2395">
        <v>53151535233</v>
      </c>
      <c r="S84" s="2390"/>
      <c r="T84" s="2390"/>
      <c r="AN84" s="2382">
        <f t="shared" si="2"/>
        <v>53151535233</v>
      </c>
      <c r="AO84" s="2365">
        <f t="shared" si="3"/>
        <v>0</v>
      </c>
      <c r="AP84" s="2365">
        <v>-275532716</v>
      </c>
    </row>
    <row r="85" spans="2:42" ht="22.15" customHeight="1" x14ac:dyDescent="0.4">
      <c r="B85" s="3822"/>
      <c r="C85" s="1800" t="s">
        <v>2062</v>
      </c>
      <c r="D85" s="1801" t="s">
        <v>2144</v>
      </c>
      <c r="E85" s="2395"/>
      <c r="F85" s="2395">
        <v>93108460527</v>
      </c>
      <c r="G85" s="2395"/>
      <c r="H85" s="2385">
        <f t="shared" si="0"/>
        <v>0</v>
      </c>
      <c r="I85" s="2385">
        <f t="shared" si="4"/>
        <v>90091729634</v>
      </c>
      <c r="J85" s="2395"/>
      <c r="K85" s="2395">
        <f>'یادداشت 7 دارایییی اصلاحی'!W366</f>
        <v>3016730893</v>
      </c>
      <c r="L85" s="2385">
        <f t="shared" si="1"/>
        <v>-41252513552</v>
      </c>
      <c r="M85" s="2395"/>
      <c r="N85" s="2395">
        <f>-41252513552</f>
        <v>-41252513552</v>
      </c>
      <c r="O85" s="2395"/>
      <c r="P85" s="2395"/>
      <c r="Q85" s="2395"/>
      <c r="R85" s="2395">
        <v>51855946975</v>
      </c>
      <c r="S85" s="2390"/>
      <c r="T85" s="2390"/>
      <c r="AN85" s="2382">
        <f t="shared" si="2"/>
        <v>51855946975</v>
      </c>
      <c r="AO85" s="2365">
        <f t="shared" si="3"/>
        <v>0</v>
      </c>
    </row>
    <row r="86" spans="2:42" ht="22.15" customHeight="1" x14ac:dyDescent="0.4">
      <c r="B86" s="3822"/>
      <c r="C86" s="1800" t="s">
        <v>2061</v>
      </c>
      <c r="D86" s="1805" t="s">
        <v>2038</v>
      </c>
      <c r="E86" s="2395"/>
      <c r="F86" s="2395">
        <v>93627394807</v>
      </c>
      <c r="G86" s="2395"/>
      <c r="H86" s="2385">
        <f t="shared" si="0"/>
        <v>0</v>
      </c>
      <c r="I86" s="2385">
        <f t="shared" si="4"/>
        <v>93627394807</v>
      </c>
      <c r="J86" s="2395"/>
      <c r="K86" s="2395">
        <f>'یادداشت 7 دارایییی اصلاحی'!W385</f>
        <v>0</v>
      </c>
      <c r="L86" s="2385">
        <f t="shared" si="1"/>
        <v>-43834658324</v>
      </c>
      <c r="M86" s="2395"/>
      <c r="N86" s="2395">
        <f>-43834658324</f>
        <v>-43834658324</v>
      </c>
      <c r="O86" s="2395"/>
      <c r="P86" s="2395"/>
      <c r="Q86" s="2395"/>
      <c r="R86" s="2395">
        <v>49792736483</v>
      </c>
      <c r="S86" s="2390"/>
      <c r="T86" s="2390"/>
      <c r="AN86" s="2382">
        <f t="shared" si="2"/>
        <v>49792736483</v>
      </c>
      <c r="AO86" s="2365">
        <f t="shared" si="3"/>
        <v>0</v>
      </c>
      <c r="AP86" s="2365">
        <v>0</v>
      </c>
    </row>
    <row r="87" spans="2:42" ht="22.15" customHeight="1" x14ac:dyDescent="0.2">
      <c r="B87" s="3822"/>
      <c r="C87" s="1788" t="s">
        <v>677</v>
      </c>
      <c r="D87" s="2405" t="s">
        <v>676</v>
      </c>
      <c r="E87" s="1811">
        <f>118112892130-E208</f>
        <v>113752343994</v>
      </c>
      <c r="F87" s="1811">
        <v>141882961538</v>
      </c>
      <c r="G87" s="1811"/>
      <c r="H87" s="2385">
        <f t="shared" si="0"/>
        <v>113752343994</v>
      </c>
      <c r="I87" s="2385">
        <f t="shared" si="4"/>
        <v>124513032530</v>
      </c>
      <c r="J87" s="1811"/>
      <c r="K87" s="1811">
        <f>'یادداشت 7 دارایییی اصلاحی'!W201</f>
        <v>17369929008</v>
      </c>
      <c r="L87" s="2385">
        <f t="shared" si="1"/>
        <v>-213380541973</v>
      </c>
      <c r="M87" s="1811"/>
      <c r="N87" s="1811">
        <f>-213380541973</f>
        <v>-213380541973</v>
      </c>
      <c r="O87" s="1811"/>
      <c r="P87" s="1811"/>
      <c r="Q87" s="1811"/>
      <c r="R87" s="1811">
        <f>46615311695-R208</f>
        <v>42254763559</v>
      </c>
      <c r="S87" s="2390"/>
      <c r="T87" s="2390"/>
      <c r="AN87" s="2382">
        <f t="shared" si="2"/>
        <v>42254763559</v>
      </c>
      <c r="AO87" s="2365">
        <f t="shared" si="3"/>
        <v>0</v>
      </c>
      <c r="AP87" s="2365">
        <v>-22415805</v>
      </c>
    </row>
    <row r="88" spans="2:42" ht="22.15" customHeight="1" x14ac:dyDescent="0.2">
      <c r="B88" s="3822"/>
      <c r="C88" s="1762" t="s">
        <v>633</v>
      </c>
      <c r="D88" s="2402" t="s">
        <v>632</v>
      </c>
      <c r="E88" s="2385">
        <f>46813264155-E191</f>
        <v>42283592026</v>
      </c>
      <c r="F88" s="2385">
        <v>291216061331</v>
      </c>
      <c r="G88" s="2385"/>
      <c r="H88" s="2385">
        <f t="shared" si="0"/>
        <v>42283592026</v>
      </c>
      <c r="I88" s="2385">
        <f t="shared" si="4"/>
        <v>272764575041</v>
      </c>
      <c r="J88" s="2385"/>
      <c r="K88" s="1811">
        <f>'یادداشت 7 دارایییی اصلاحی'!W175</f>
        <v>26578093706</v>
      </c>
      <c r="L88" s="2385">
        <f t="shared" si="1"/>
        <v>-292465538474</v>
      </c>
      <c r="M88" s="2385"/>
      <c r="N88" s="2385">
        <f>-292465538474</f>
        <v>-292465538474</v>
      </c>
      <c r="O88" s="2385"/>
      <c r="P88" s="2385">
        <f>'پيش پرداخت سرمايه اي يادداشت 6'!P82</f>
        <v>-8126607416</v>
      </c>
      <c r="Q88" s="2385"/>
      <c r="R88" s="2385">
        <f>45563787012-R191</f>
        <v>41034114883</v>
      </c>
      <c r="S88" s="2390"/>
      <c r="T88" s="2390"/>
      <c r="AN88" s="2382">
        <f t="shared" si="2"/>
        <v>41034114883</v>
      </c>
      <c r="AO88" s="2365">
        <f>R88-AN88</f>
        <v>0</v>
      </c>
      <c r="AP88" s="2365">
        <v>0</v>
      </c>
    </row>
    <row r="89" spans="2:42" ht="22.15" customHeight="1" x14ac:dyDescent="0.4">
      <c r="B89" s="3823"/>
      <c r="C89" s="1800" t="s">
        <v>2058</v>
      </c>
      <c r="D89" s="1801" t="s">
        <v>2035</v>
      </c>
      <c r="E89" s="2395"/>
      <c r="F89" s="2395">
        <v>112315779297</v>
      </c>
      <c r="G89" s="2395"/>
      <c r="H89" s="2385">
        <f t="shared" si="0"/>
        <v>0</v>
      </c>
      <c r="I89" s="2385">
        <f t="shared" si="4"/>
        <v>115305676311</v>
      </c>
      <c r="J89" s="2395"/>
      <c r="K89" s="2395">
        <f>'یادداشت 7 دارایییی اصلاحی'!W380</f>
        <v>-2989897014</v>
      </c>
      <c r="L89" s="2385">
        <f t="shared" si="1"/>
        <v>-68926963343</v>
      </c>
      <c r="M89" s="2395"/>
      <c r="N89" s="2395">
        <f>-68926963343</f>
        <v>-68926963343</v>
      </c>
      <c r="O89" s="2395"/>
      <c r="P89" s="2395"/>
      <c r="Q89" s="2395"/>
      <c r="R89" s="2395">
        <v>43388815954</v>
      </c>
      <c r="S89" s="2390"/>
      <c r="T89" s="2390"/>
      <c r="AN89" s="2382">
        <f t="shared" si="2"/>
        <v>43388815954</v>
      </c>
      <c r="AO89" s="2365">
        <f t="shared" si="3"/>
        <v>0</v>
      </c>
      <c r="AP89" s="2365">
        <v>-22387641248</v>
      </c>
    </row>
    <row r="90" spans="2:42" ht="22.15" customHeight="1" x14ac:dyDescent="0.2">
      <c r="B90" s="3795" t="s">
        <v>94</v>
      </c>
      <c r="C90" s="3796"/>
      <c r="D90" s="3797"/>
      <c r="E90" s="2385">
        <f>SUM(E72:E89)</f>
        <v>6265911850586</v>
      </c>
      <c r="F90" s="2385">
        <f t="shared" ref="F90:R90" si="9">SUM(F72:F89)</f>
        <v>21679122031133</v>
      </c>
      <c r="G90" s="2385">
        <f t="shared" si="9"/>
        <v>0</v>
      </c>
      <c r="H90" s="2385">
        <f t="shared" si="9"/>
        <v>6265911850586</v>
      </c>
      <c r="I90" s="2385">
        <f t="shared" si="9"/>
        <v>20609442315151</v>
      </c>
      <c r="J90" s="2385">
        <f t="shared" si="9"/>
        <v>0</v>
      </c>
      <c r="K90" s="2385">
        <f t="shared" si="9"/>
        <v>1173922923406</v>
      </c>
      <c r="L90" s="2385">
        <f t="shared" si="9"/>
        <v>-19944402018848</v>
      </c>
      <c r="M90" s="2385">
        <f t="shared" si="9"/>
        <v>0</v>
      </c>
      <c r="N90" s="2385">
        <f t="shared" si="9"/>
        <v>-19944402018848</v>
      </c>
      <c r="O90" s="2385">
        <f t="shared" si="9"/>
        <v>-35356171773</v>
      </c>
      <c r="P90" s="2385">
        <f t="shared" si="9"/>
        <v>-68887035651</v>
      </c>
      <c r="Q90" s="2385">
        <f t="shared" si="9"/>
        <v>0</v>
      </c>
      <c r="R90" s="2385">
        <f t="shared" si="9"/>
        <v>8000631862871</v>
      </c>
      <c r="S90" s="2390"/>
      <c r="T90" s="2390"/>
      <c r="AN90" s="2382"/>
    </row>
    <row r="91" spans="2:42" ht="22.15" customHeight="1" x14ac:dyDescent="0.2">
      <c r="B91" s="2406"/>
      <c r="C91" s="2406"/>
      <c r="D91" s="2406"/>
      <c r="E91" s="2407"/>
      <c r="F91" s="2407"/>
      <c r="G91" s="2407"/>
      <c r="H91" s="2407"/>
      <c r="I91" s="2407"/>
      <c r="J91" s="2407"/>
      <c r="K91" s="2407"/>
      <c r="L91" s="2407"/>
      <c r="M91" s="2407"/>
      <c r="N91" s="2407"/>
      <c r="O91" s="2407"/>
      <c r="P91" s="2407"/>
      <c r="Q91" s="2407"/>
      <c r="R91" s="2407"/>
      <c r="S91" s="2390"/>
      <c r="T91" s="2390"/>
      <c r="AN91" s="2382"/>
    </row>
    <row r="92" spans="2:42" ht="22.15" customHeight="1" x14ac:dyDescent="0.2">
      <c r="B92" s="2399"/>
      <c r="C92" s="3798" t="s">
        <v>1885</v>
      </c>
      <c r="D92" s="3798"/>
      <c r="E92" s="3798"/>
      <c r="F92" s="3798"/>
      <c r="G92" s="3798"/>
      <c r="H92" s="3798"/>
      <c r="I92" s="3798"/>
      <c r="J92" s="3798"/>
      <c r="K92" s="3798"/>
      <c r="L92" s="3798"/>
      <c r="M92" s="3798"/>
      <c r="N92" s="3798"/>
      <c r="O92" s="3798"/>
      <c r="P92" s="3798"/>
      <c r="Q92" s="3798"/>
      <c r="R92" s="3798"/>
      <c r="S92" s="2390"/>
      <c r="T92" s="2390"/>
      <c r="AN92" s="2382"/>
    </row>
    <row r="93" spans="2:42" ht="22.15" customHeight="1" x14ac:dyDescent="0.2">
      <c r="B93" s="3574" t="s">
        <v>32</v>
      </c>
      <c r="C93" s="3574"/>
      <c r="D93" s="3574"/>
      <c r="E93" s="3574"/>
      <c r="F93" s="3574"/>
      <c r="G93" s="3574"/>
      <c r="H93" s="3574"/>
      <c r="I93" s="3574"/>
      <c r="J93" s="3574"/>
      <c r="K93" s="3574"/>
      <c r="L93" s="3574"/>
      <c r="M93" s="3574"/>
      <c r="N93" s="3574"/>
      <c r="O93" s="3574"/>
      <c r="P93" s="3574"/>
      <c r="Q93" s="3574"/>
      <c r="R93" s="3574"/>
      <c r="S93" s="2390"/>
      <c r="T93" s="2390"/>
      <c r="AN93" s="2382"/>
    </row>
    <row r="94" spans="2:42" ht="22.15" customHeight="1" x14ac:dyDescent="0.2">
      <c r="B94" s="3574" t="s">
        <v>45</v>
      </c>
      <c r="C94" s="3574"/>
      <c r="D94" s="3574"/>
      <c r="E94" s="3574"/>
      <c r="F94" s="3574"/>
      <c r="G94" s="3574"/>
      <c r="H94" s="3574"/>
      <c r="I94" s="3574"/>
      <c r="J94" s="3574"/>
      <c r="K94" s="3574"/>
      <c r="L94" s="3574"/>
      <c r="M94" s="3574"/>
      <c r="N94" s="3574"/>
      <c r="O94" s="3574"/>
      <c r="P94" s="3574"/>
      <c r="Q94" s="3574"/>
      <c r="R94" s="3574"/>
      <c r="S94" s="2390"/>
      <c r="T94" s="2390"/>
      <c r="AN94" s="2382"/>
    </row>
    <row r="95" spans="2:42" ht="22.15" customHeight="1" x14ac:dyDescent="0.2">
      <c r="B95" s="3574" t="s">
        <v>46</v>
      </c>
      <c r="C95" s="3574"/>
      <c r="D95" s="3574"/>
      <c r="E95" s="3574"/>
      <c r="F95" s="3574"/>
      <c r="G95" s="3574"/>
      <c r="H95" s="3574"/>
      <c r="I95" s="3574"/>
      <c r="J95" s="3574"/>
      <c r="K95" s="3574"/>
      <c r="L95" s="3574"/>
      <c r="M95" s="3574"/>
      <c r="N95" s="3574"/>
      <c r="O95" s="3574"/>
      <c r="P95" s="3574"/>
      <c r="Q95" s="3574"/>
      <c r="R95" s="3574"/>
      <c r="S95" s="2390"/>
      <c r="T95" s="2390"/>
      <c r="AN95" s="2382"/>
    </row>
    <row r="96" spans="2:42" ht="22.15" customHeight="1" x14ac:dyDescent="0.2">
      <c r="B96" s="3799" t="s">
        <v>1988</v>
      </c>
      <c r="C96" s="3799"/>
      <c r="D96" s="3799"/>
      <c r="E96" s="3799"/>
      <c r="F96" s="3799"/>
      <c r="G96" s="3799"/>
      <c r="H96" s="3799"/>
      <c r="I96" s="3799"/>
      <c r="J96" s="3799"/>
      <c r="K96" s="3799"/>
      <c r="L96" s="3799"/>
      <c r="M96" s="3799"/>
      <c r="N96" s="3799"/>
      <c r="O96" s="3799"/>
      <c r="P96" s="3799"/>
      <c r="Q96" s="3799"/>
      <c r="R96" s="3799"/>
      <c r="S96" s="2390"/>
      <c r="T96" s="2390"/>
      <c r="AN96" s="2382"/>
    </row>
    <row r="97" spans="2:45" ht="22.15" customHeight="1" x14ac:dyDescent="0.2">
      <c r="B97" s="2399"/>
      <c r="C97" s="3746" t="s">
        <v>1829</v>
      </c>
      <c r="D97" s="3746"/>
      <c r="E97" s="3746"/>
      <c r="F97" s="3746"/>
      <c r="G97" s="3746"/>
      <c r="H97" s="3746"/>
      <c r="I97" s="3746"/>
      <c r="J97" s="3746"/>
      <c r="K97" s="3746"/>
      <c r="L97" s="3746"/>
      <c r="R97" s="2400"/>
      <c r="S97" s="2390"/>
      <c r="T97" s="2390"/>
      <c r="AN97" s="2382"/>
    </row>
    <row r="98" spans="2:45" ht="22.15" customHeight="1" x14ac:dyDescent="0.2">
      <c r="B98" s="3800" t="s">
        <v>419</v>
      </c>
      <c r="C98" s="3801" t="s">
        <v>53</v>
      </c>
      <c r="D98" s="3802" t="s">
        <v>54</v>
      </c>
      <c r="E98" s="3803" t="s">
        <v>1396</v>
      </c>
      <c r="F98" s="3804"/>
      <c r="G98" s="3804" t="s">
        <v>1116</v>
      </c>
      <c r="H98" s="3806" t="s">
        <v>1371</v>
      </c>
      <c r="I98" s="3803" t="s">
        <v>1253</v>
      </c>
      <c r="J98" s="3804" t="s">
        <v>1113</v>
      </c>
      <c r="K98" s="3807" t="s">
        <v>898</v>
      </c>
      <c r="L98" s="3803" t="s">
        <v>1373</v>
      </c>
      <c r="M98" s="3803" t="s">
        <v>899</v>
      </c>
      <c r="N98" s="2385"/>
      <c r="O98" s="3804" t="s">
        <v>313</v>
      </c>
      <c r="P98" s="3804" t="s">
        <v>1254</v>
      </c>
      <c r="Q98" s="2385"/>
      <c r="R98" s="3803" t="s">
        <v>1997</v>
      </c>
      <c r="S98" s="2390"/>
      <c r="T98" s="2390"/>
      <c r="AN98" s="2382"/>
    </row>
    <row r="99" spans="2:45" ht="22.15" customHeight="1" x14ac:dyDescent="0.2">
      <c r="B99" s="3800"/>
      <c r="C99" s="3801"/>
      <c r="D99" s="3802"/>
      <c r="E99" s="3803"/>
      <c r="F99" s="3805"/>
      <c r="G99" s="3805"/>
      <c r="H99" s="3806"/>
      <c r="I99" s="3803"/>
      <c r="J99" s="3805"/>
      <c r="K99" s="3807"/>
      <c r="L99" s="3803"/>
      <c r="M99" s="3803"/>
      <c r="N99" s="2385"/>
      <c r="O99" s="3805"/>
      <c r="P99" s="3805"/>
      <c r="Q99" s="2385" t="s">
        <v>919</v>
      </c>
      <c r="R99" s="3803"/>
      <c r="S99" s="2390"/>
      <c r="T99" s="2390"/>
      <c r="AN99" s="2382"/>
    </row>
    <row r="100" spans="2:45" ht="22.15" customHeight="1" x14ac:dyDescent="0.2">
      <c r="B100" s="3831" t="s">
        <v>420</v>
      </c>
      <c r="C100" s="3793" t="s">
        <v>181</v>
      </c>
      <c r="D100" s="3793"/>
      <c r="E100" s="2385">
        <f>E90</f>
        <v>6265911850586</v>
      </c>
      <c r="F100" s="2385">
        <f t="shared" ref="F100:R100" si="10">F90</f>
        <v>21679122031133</v>
      </c>
      <c r="G100" s="2385">
        <f t="shared" si="10"/>
        <v>0</v>
      </c>
      <c r="H100" s="2385">
        <f t="shared" si="10"/>
        <v>6265911850586</v>
      </c>
      <c r="I100" s="2385">
        <f t="shared" si="10"/>
        <v>20609442315151</v>
      </c>
      <c r="J100" s="2385">
        <f t="shared" si="10"/>
        <v>0</v>
      </c>
      <c r="K100" s="2385">
        <f t="shared" si="10"/>
        <v>1173922923406</v>
      </c>
      <c r="L100" s="2385">
        <f t="shared" si="10"/>
        <v>-19944402018848</v>
      </c>
      <c r="M100" s="2385">
        <f t="shared" si="10"/>
        <v>0</v>
      </c>
      <c r="N100" s="2385">
        <f t="shared" si="10"/>
        <v>-19944402018848</v>
      </c>
      <c r="O100" s="2385">
        <f t="shared" si="10"/>
        <v>-35356171773</v>
      </c>
      <c r="P100" s="2385">
        <f t="shared" si="10"/>
        <v>-68887035651</v>
      </c>
      <c r="Q100" s="2385">
        <f t="shared" si="10"/>
        <v>0</v>
      </c>
      <c r="R100" s="2385">
        <f t="shared" si="10"/>
        <v>8000631862871</v>
      </c>
      <c r="S100" s="2390"/>
      <c r="T100" s="2390"/>
      <c r="AN100" s="2382"/>
    </row>
    <row r="101" spans="2:45" ht="22.15" customHeight="1" x14ac:dyDescent="0.2">
      <c r="B101" s="3822"/>
      <c r="C101" s="1913" t="s">
        <v>555</v>
      </c>
      <c r="D101" s="2402" t="s">
        <v>938</v>
      </c>
      <c r="E101" s="2385">
        <v>21464949849</v>
      </c>
      <c r="F101" s="2385">
        <v>226686283842</v>
      </c>
      <c r="G101" s="2385"/>
      <c r="H101" s="2385">
        <f t="shared" si="0"/>
        <v>21464949849</v>
      </c>
      <c r="I101" s="2385">
        <f t="shared" si="4"/>
        <v>222178703040</v>
      </c>
      <c r="J101" s="2385"/>
      <c r="K101" s="1811">
        <f>'یادداشت 7 دارایییی اصلاحی'!W151</f>
        <v>4507580802</v>
      </c>
      <c r="L101" s="2385">
        <f t="shared" si="1"/>
        <v>-211139672361</v>
      </c>
      <c r="M101" s="2385"/>
      <c r="N101" s="2385">
        <f>-211139672361</f>
        <v>-211139672361</v>
      </c>
      <c r="O101" s="2385"/>
      <c r="P101" s="2385"/>
      <c r="Q101" s="2385"/>
      <c r="R101" s="2385">
        <v>37011561330</v>
      </c>
      <c r="S101" s="2390"/>
      <c r="T101" s="2390"/>
      <c r="AN101" s="2382">
        <f t="shared" si="2"/>
        <v>37011561330</v>
      </c>
      <c r="AO101" s="2365">
        <f>R101-AN101</f>
        <v>0</v>
      </c>
    </row>
    <row r="102" spans="2:45" ht="22.15" customHeight="1" x14ac:dyDescent="0.4">
      <c r="B102" s="3822"/>
      <c r="C102" s="1802" t="s">
        <v>2067</v>
      </c>
      <c r="D102" s="1820" t="s">
        <v>2045</v>
      </c>
      <c r="E102" s="1531"/>
      <c r="F102" s="1531">
        <v>161203063004</v>
      </c>
      <c r="G102" s="1531"/>
      <c r="H102" s="2385">
        <f t="shared" si="0"/>
        <v>0</v>
      </c>
      <c r="I102" s="2385">
        <f t="shared" si="4"/>
        <v>161203063004</v>
      </c>
      <c r="J102" s="1531"/>
      <c r="K102" s="1531">
        <f>'یادداشت 7 دارایییی اصلاحی'!W367</f>
        <v>0</v>
      </c>
      <c r="L102" s="2385">
        <f t="shared" si="1"/>
        <v>-127821751351</v>
      </c>
      <c r="M102" s="1531"/>
      <c r="N102" s="1531">
        <f>-127821751351</f>
        <v>-127821751351</v>
      </c>
      <c r="O102" s="1531"/>
      <c r="P102" s="1531"/>
      <c r="Q102" s="1531"/>
      <c r="R102" s="1531">
        <v>33381311653</v>
      </c>
      <c r="S102" s="2390"/>
      <c r="T102" s="2390"/>
      <c r="AN102" s="2382">
        <f t="shared" si="2"/>
        <v>33381311653</v>
      </c>
      <c r="AO102" s="2365">
        <f t="shared" ref="AO102:AO122" si="11">R102-AN102</f>
        <v>0</v>
      </c>
    </row>
    <row r="103" spans="2:45" ht="22.15" customHeight="1" x14ac:dyDescent="0.2">
      <c r="B103" s="3822"/>
      <c r="C103" s="1762" t="s">
        <v>610</v>
      </c>
      <c r="D103" s="2389" t="s">
        <v>596</v>
      </c>
      <c r="E103" s="2385">
        <f>36595811184-E189</f>
        <v>35561679515</v>
      </c>
      <c r="F103" s="2385">
        <v>52550273110</v>
      </c>
      <c r="G103" s="2385"/>
      <c r="H103" s="2385">
        <f t="shared" si="0"/>
        <v>35561679515</v>
      </c>
      <c r="I103" s="2385">
        <f t="shared" si="4"/>
        <v>52550273110</v>
      </c>
      <c r="J103" s="2385"/>
      <c r="K103" s="1811">
        <f>'یادداشت 7 دارایییی اصلاحی'!W168</f>
        <v>0</v>
      </c>
      <c r="L103" s="2385">
        <f t="shared" si="1"/>
        <v>-60837272528</v>
      </c>
      <c r="M103" s="2385"/>
      <c r="N103" s="2385">
        <f>-60837272528</f>
        <v>-60837272528</v>
      </c>
      <c r="O103" s="2385"/>
      <c r="P103" s="2385"/>
      <c r="Q103" s="2385"/>
      <c r="R103" s="2385">
        <f>28308811766-R189</f>
        <v>27274680097</v>
      </c>
      <c r="S103" s="2390"/>
      <c r="T103" s="2390"/>
      <c r="AN103" s="2382">
        <f t="shared" si="2"/>
        <v>27274680097</v>
      </c>
      <c r="AO103" s="2365">
        <f t="shared" si="11"/>
        <v>0</v>
      </c>
    </row>
    <row r="104" spans="2:45" ht="22.15" customHeight="1" x14ac:dyDescent="0.2">
      <c r="B104" s="3822"/>
      <c r="C104" s="1788" t="s">
        <v>546</v>
      </c>
      <c r="D104" s="2387" t="s">
        <v>545</v>
      </c>
      <c r="E104" s="2385">
        <v>41407729835</v>
      </c>
      <c r="F104" s="2385">
        <v>66179221881</v>
      </c>
      <c r="G104" s="2385"/>
      <c r="H104" s="2385">
        <f t="shared" si="0"/>
        <v>41407729835</v>
      </c>
      <c r="I104" s="2385">
        <f t="shared" si="4"/>
        <v>75647477283</v>
      </c>
      <c r="J104" s="2385"/>
      <c r="K104" s="1811">
        <f>'یادداشت 7 دارایییی اصلاحی'!W149</f>
        <v>-9468255402</v>
      </c>
      <c r="L104" s="2385">
        <f t="shared" si="1"/>
        <v>-81183406577</v>
      </c>
      <c r="M104" s="2385"/>
      <c r="N104" s="1531">
        <f>-81183406577</f>
        <v>-81183406577</v>
      </c>
      <c r="O104" s="2385"/>
      <c r="P104" s="2385"/>
      <c r="Q104" s="2385"/>
      <c r="R104" s="2385">
        <v>26403545139</v>
      </c>
      <c r="S104" s="2390"/>
      <c r="T104" s="2390"/>
      <c r="AN104" s="2382">
        <f>E104+I104+L104+K104+O104+P104</f>
        <v>26403545139</v>
      </c>
      <c r="AO104" s="2365">
        <f t="shared" si="11"/>
        <v>0</v>
      </c>
    </row>
    <row r="105" spans="2:45" ht="22.15" customHeight="1" x14ac:dyDescent="0.4">
      <c r="B105" s="3822"/>
      <c r="C105" s="1813" t="s">
        <v>2068</v>
      </c>
      <c r="D105" s="1814" t="s">
        <v>2070</v>
      </c>
      <c r="E105" s="1531"/>
      <c r="F105" s="1531">
        <v>70734696767</v>
      </c>
      <c r="G105" s="1531"/>
      <c r="H105" s="2385">
        <f t="shared" si="0"/>
        <v>0</v>
      </c>
      <c r="I105" s="2385">
        <f t="shared" si="4"/>
        <v>39368023186</v>
      </c>
      <c r="J105" s="1531"/>
      <c r="K105" s="1531">
        <f>'یادداشت 7 دارایییی اصلاحی'!W396</f>
        <v>31366673581</v>
      </c>
      <c r="L105" s="2385">
        <f t="shared" si="1"/>
        <v>-46737445825</v>
      </c>
      <c r="M105" s="1531"/>
      <c r="N105" s="1531">
        <f>-46737445825</f>
        <v>-46737445825</v>
      </c>
      <c r="O105" s="1531"/>
      <c r="P105" s="1531"/>
      <c r="Q105" s="1531"/>
      <c r="R105" s="1531">
        <v>23997250942</v>
      </c>
      <c r="S105" s="2390"/>
      <c r="T105" s="2390"/>
      <c r="AN105" s="2382">
        <f t="shared" si="2"/>
        <v>23997250942</v>
      </c>
      <c r="AO105" s="2365">
        <f t="shared" si="11"/>
        <v>0</v>
      </c>
      <c r="AP105" s="2365">
        <v>0</v>
      </c>
    </row>
    <row r="106" spans="2:45" ht="22.15" customHeight="1" x14ac:dyDescent="0.4">
      <c r="B106" s="3822"/>
      <c r="C106" s="1762" t="s">
        <v>2055</v>
      </c>
      <c r="D106" s="1804" t="s">
        <v>2033</v>
      </c>
      <c r="E106" s="1531"/>
      <c r="F106" s="1531">
        <v>60136077239</v>
      </c>
      <c r="G106" s="1531"/>
      <c r="H106" s="2385">
        <f t="shared" ref="H106:H119" si="12">E106+G106</f>
        <v>0</v>
      </c>
      <c r="I106" s="2385">
        <f t="shared" si="4"/>
        <v>60136077239</v>
      </c>
      <c r="J106" s="1531"/>
      <c r="K106" s="1531">
        <f>'یادداشت 7 دارایییی اصلاحی'!W384</f>
        <v>0</v>
      </c>
      <c r="L106" s="2385">
        <f t="shared" si="1"/>
        <v>-38263514669</v>
      </c>
      <c r="M106" s="1531"/>
      <c r="N106" s="1531">
        <f>-38263514669</f>
        <v>-38263514669</v>
      </c>
      <c r="O106" s="1531"/>
      <c r="P106" s="1531"/>
      <c r="Q106" s="1531"/>
      <c r="R106" s="1531">
        <v>21872562570</v>
      </c>
      <c r="S106" s="2390"/>
      <c r="T106" s="2390"/>
      <c r="U106" s="2365">
        <f>E113+I113+K113+L113+O113+P113+Q113</f>
        <v>10701312291</v>
      </c>
      <c r="V106" s="2365">
        <f>R113-U106</f>
        <v>0</v>
      </c>
      <c r="AB106" s="2365">
        <f>I113+J113+L113+Q113+P113+O113+E113+K113</f>
        <v>10701312291</v>
      </c>
      <c r="AC106" s="2365">
        <f>R113-AB106</f>
        <v>0</v>
      </c>
      <c r="AE106" s="2365">
        <f>E113+G113+I113+K113+L113+O113+P113+Q113</f>
        <v>10701312291</v>
      </c>
      <c r="AF106" s="2365">
        <f>R113-AE106</f>
        <v>0</v>
      </c>
      <c r="AG106" s="2365">
        <f>F113-G113-Q113</f>
        <v>0</v>
      </c>
      <c r="AH106" s="2365">
        <f>E113+G113+I113+K113+L113+O113+P113+Q113</f>
        <v>10701312291</v>
      </c>
      <c r="AI106" s="2365">
        <f>R113-AH106</f>
        <v>0</v>
      </c>
      <c r="AJ106" s="2365">
        <f>I113-AG106</f>
        <v>422830644</v>
      </c>
      <c r="AK106" s="2365">
        <f>N113-K113-O113-P113</f>
        <v>0</v>
      </c>
      <c r="AL106" s="2365">
        <f>L113-AK106</f>
        <v>-422830644</v>
      </c>
      <c r="AN106" s="2382">
        <f t="shared" si="2"/>
        <v>21872562570</v>
      </c>
      <c r="AO106" s="2365">
        <f t="shared" si="11"/>
        <v>0</v>
      </c>
      <c r="AP106" s="2365">
        <v>-203138704680</v>
      </c>
      <c r="AR106" s="2365">
        <f>E113+I113+K113+L113+O113+P113+Q113</f>
        <v>10701312291</v>
      </c>
      <c r="AS106" s="2365">
        <f>R113-AR106</f>
        <v>0</v>
      </c>
    </row>
    <row r="107" spans="2:45" ht="22.15" customHeight="1" x14ac:dyDescent="0.4">
      <c r="B107" s="3822"/>
      <c r="C107" s="1762" t="s">
        <v>2051</v>
      </c>
      <c r="D107" s="1804" t="s">
        <v>2029</v>
      </c>
      <c r="E107" s="1531"/>
      <c r="F107" s="1531">
        <v>86970008208</v>
      </c>
      <c r="G107" s="1531"/>
      <c r="H107" s="2385">
        <f t="shared" si="12"/>
        <v>0</v>
      </c>
      <c r="I107" s="1531">
        <f t="shared" ref="I107:I119" si="13">F107-Q107-J107-K107-P107-O107</f>
        <v>80511313013</v>
      </c>
      <c r="J107" s="1531"/>
      <c r="K107" s="1531">
        <f>'یادداشت 7 دارایییی اصلاحی'!W381</f>
        <v>6458695195</v>
      </c>
      <c r="L107" s="1531">
        <f t="shared" ref="L107:L119" si="14">N107</f>
        <v>-65751877528</v>
      </c>
      <c r="M107" s="1531"/>
      <c r="N107" s="1531">
        <f>-65751877528</f>
        <v>-65751877528</v>
      </c>
      <c r="O107" s="1531"/>
      <c r="P107" s="1531"/>
      <c r="Q107" s="1531"/>
      <c r="R107" s="1531">
        <v>21218130680</v>
      </c>
      <c r="S107" s="2390"/>
      <c r="T107" s="2390"/>
      <c r="AN107" s="2382">
        <f t="shared" si="2"/>
        <v>21218130680</v>
      </c>
      <c r="AO107" s="2365">
        <f t="shared" si="11"/>
        <v>0</v>
      </c>
    </row>
    <row r="108" spans="2:45" ht="22.15" customHeight="1" x14ac:dyDescent="0.2">
      <c r="B108" s="3822"/>
      <c r="C108" s="1788" t="s">
        <v>542</v>
      </c>
      <c r="D108" s="2387" t="s">
        <v>335</v>
      </c>
      <c r="E108" s="2385">
        <f>87201521908-E207</f>
        <v>86997482971</v>
      </c>
      <c r="F108" s="2385">
        <v>89202392756</v>
      </c>
      <c r="G108" s="2385"/>
      <c r="H108" s="2385">
        <f t="shared" si="12"/>
        <v>86997482971</v>
      </c>
      <c r="I108" s="1531">
        <f t="shared" si="13"/>
        <v>149540010126</v>
      </c>
      <c r="J108" s="2385"/>
      <c r="K108" s="1811">
        <f>'یادداشت 7 دارایییی اصلاحی'!W148</f>
        <v>-60337617370</v>
      </c>
      <c r="L108" s="1531">
        <f t="shared" si="14"/>
        <v>-158580309925</v>
      </c>
      <c r="M108" s="2385"/>
      <c r="N108" s="2385">
        <f>-158580309925</f>
        <v>-158580309925</v>
      </c>
      <c r="O108" s="2385"/>
      <c r="P108" s="2385"/>
      <c r="Q108" s="2385"/>
      <c r="R108" s="2385">
        <f>17823604739-R207</f>
        <v>17619565802</v>
      </c>
      <c r="S108" s="2390"/>
      <c r="T108" s="2390"/>
      <c r="AN108" s="2382">
        <f t="shared" si="2"/>
        <v>17619565802</v>
      </c>
      <c r="AO108" s="2365">
        <f t="shared" si="11"/>
        <v>0</v>
      </c>
    </row>
    <row r="109" spans="2:45" ht="22.15" customHeight="1" x14ac:dyDescent="0.2">
      <c r="B109" s="3822"/>
      <c r="C109" s="1762" t="s">
        <v>372</v>
      </c>
      <c r="D109" s="2387" t="s">
        <v>373</v>
      </c>
      <c r="E109" s="2385">
        <v>16203991983</v>
      </c>
      <c r="F109" s="2385"/>
      <c r="G109" s="2385"/>
      <c r="H109" s="2385">
        <f t="shared" si="12"/>
        <v>16203991983</v>
      </c>
      <c r="I109" s="1531">
        <f t="shared" si="13"/>
        <v>0</v>
      </c>
      <c r="J109" s="2385"/>
      <c r="K109" s="1811">
        <f>'یادداشت 7 دارایییی اصلاحی'!W143</f>
        <v>0</v>
      </c>
      <c r="L109" s="1531">
        <f t="shared" si="14"/>
        <v>0</v>
      </c>
      <c r="M109" s="2385"/>
      <c r="N109" s="2385"/>
      <c r="O109" s="2385"/>
      <c r="P109" s="2385"/>
      <c r="Q109" s="2385"/>
      <c r="R109" s="2385">
        <v>16203991983</v>
      </c>
      <c r="S109" s="2390"/>
      <c r="T109" s="2390"/>
      <c r="AN109" s="2382">
        <f t="shared" si="2"/>
        <v>16203991983</v>
      </c>
      <c r="AO109" s="2365">
        <f t="shared" si="11"/>
        <v>0</v>
      </c>
    </row>
    <row r="110" spans="2:45" ht="22.15" customHeight="1" x14ac:dyDescent="0.2">
      <c r="B110" s="3822"/>
      <c r="C110" s="1788" t="s">
        <v>634</v>
      </c>
      <c r="D110" s="2402" t="s">
        <v>598</v>
      </c>
      <c r="E110" s="2385">
        <f>111079126945-E190</f>
        <v>110744126945</v>
      </c>
      <c r="F110" s="2385">
        <v>91587309276</v>
      </c>
      <c r="G110" s="2385"/>
      <c r="H110" s="2385">
        <f t="shared" si="12"/>
        <v>110744126945</v>
      </c>
      <c r="I110" s="1531">
        <f t="shared" si="13"/>
        <v>170649301592</v>
      </c>
      <c r="J110" s="2385"/>
      <c r="K110" s="1811">
        <f>'یادداشت 7 دارایییی اصلاحی'!W170</f>
        <v>-78335501858</v>
      </c>
      <c r="L110" s="1531">
        <f t="shared" si="14"/>
        <v>-189671685017</v>
      </c>
      <c r="M110" s="2385"/>
      <c r="N110" s="2385">
        <f>-189671685017</f>
        <v>-189671685017</v>
      </c>
      <c r="O110" s="2385"/>
      <c r="P110" s="2385">
        <f>'پيش پرداخت سرمايه اي يادداشت 6'!P66</f>
        <v>-726490458</v>
      </c>
      <c r="Q110" s="2385"/>
      <c r="R110" s="2385">
        <f>12994751204-R190</f>
        <v>12659751204</v>
      </c>
      <c r="S110" s="2390"/>
      <c r="T110" s="2390"/>
      <c r="AN110" s="2382">
        <f t="shared" si="2"/>
        <v>12659751204</v>
      </c>
      <c r="AO110" s="2365">
        <f t="shared" si="11"/>
        <v>0</v>
      </c>
    </row>
    <row r="111" spans="2:45" ht="22.15" customHeight="1" x14ac:dyDescent="0.2">
      <c r="B111" s="3822"/>
      <c r="C111" s="1530" t="s">
        <v>2066</v>
      </c>
      <c r="D111" s="2408" t="s">
        <v>2044</v>
      </c>
      <c r="E111" s="1531"/>
      <c r="F111" s="1531">
        <v>15419398242</v>
      </c>
      <c r="G111" s="1531"/>
      <c r="H111" s="2385">
        <f t="shared" si="12"/>
        <v>0</v>
      </c>
      <c r="I111" s="1531">
        <f t="shared" si="13"/>
        <v>15419398242</v>
      </c>
      <c r="J111" s="1531"/>
      <c r="K111" s="1531">
        <f>'یادداشت 7 دارایییی اصلاحی'!W393</f>
        <v>0</v>
      </c>
      <c r="L111" s="1531">
        <f t="shared" si="14"/>
        <v>-3531973331</v>
      </c>
      <c r="M111" s="1531"/>
      <c r="N111" s="1531">
        <f>-3531973331</f>
        <v>-3531973331</v>
      </c>
      <c r="O111" s="1531"/>
      <c r="P111" s="1531"/>
      <c r="Q111" s="1531"/>
      <c r="R111" s="1531">
        <v>11887424911</v>
      </c>
      <c r="S111" s="2390"/>
      <c r="T111" s="2390"/>
      <c r="AN111" s="2382">
        <f t="shared" si="2"/>
        <v>11887424911</v>
      </c>
      <c r="AO111" s="2365">
        <f t="shared" si="11"/>
        <v>0</v>
      </c>
    </row>
    <row r="112" spans="2:45" ht="22.15" customHeight="1" x14ac:dyDescent="0.2">
      <c r="B112" s="3822"/>
      <c r="C112" s="1913" t="s">
        <v>105</v>
      </c>
      <c r="D112" s="2409" t="s">
        <v>1154</v>
      </c>
      <c r="E112" s="2385">
        <v>11620826473</v>
      </c>
      <c r="F112" s="2385"/>
      <c r="G112" s="2385"/>
      <c r="H112" s="2385">
        <f t="shared" si="12"/>
        <v>11620826473</v>
      </c>
      <c r="I112" s="1531">
        <f t="shared" si="13"/>
        <v>0</v>
      </c>
      <c r="J112" s="2385"/>
      <c r="K112" s="1811">
        <f>'یادداشت 7 دارایییی اصلاحی'!W344</f>
        <v>0</v>
      </c>
      <c r="L112" s="1531">
        <f t="shared" si="14"/>
        <v>-546734015</v>
      </c>
      <c r="M112" s="2385"/>
      <c r="N112" s="2385">
        <f>-546734015</f>
        <v>-546734015</v>
      </c>
      <c r="O112" s="2385"/>
      <c r="P112" s="2385"/>
      <c r="Q112" s="2385"/>
      <c r="R112" s="2385">
        <v>11074092458</v>
      </c>
      <c r="S112" s="2390"/>
      <c r="T112" s="2390"/>
      <c r="AN112" s="2382">
        <f t="shared" si="2"/>
        <v>11074092458</v>
      </c>
      <c r="AO112" s="2365">
        <f t="shared" si="11"/>
        <v>0</v>
      </c>
    </row>
    <row r="113" spans="1:45" ht="22.15" customHeight="1" x14ac:dyDescent="0.2">
      <c r="B113" s="3822"/>
      <c r="C113" s="2410" t="s">
        <v>68</v>
      </c>
      <c r="D113" s="2388" t="s">
        <v>70</v>
      </c>
      <c r="E113" s="2385">
        <f>11270434615-E193</f>
        <v>11124142935</v>
      </c>
      <c r="F113" s="2385"/>
      <c r="G113" s="2385"/>
      <c r="H113" s="2385">
        <f t="shared" si="12"/>
        <v>11124142935</v>
      </c>
      <c r="I113" s="1531">
        <f t="shared" si="13"/>
        <v>422830644</v>
      </c>
      <c r="J113" s="2385"/>
      <c r="K113" s="1811">
        <f>'یادداشت 7 دارایییی اصلاحی'!W15</f>
        <v>-422830644</v>
      </c>
      <c r="L113" s="1531">
        <f t="shared" si="14"/>
        <v>-422830644</v>
      </c>
      <c r="M113" s="2385"/>
      <c r="N113" s="2385">
        <f>-422830644</f>
        <v>-422830644</v>
      </c>
      <c r="O113" s="2385"/>
      <c r="P113" s="2385"/>
      <c r="Q113" s="2385"/>
      <c r="R113" s="2385">
        <f>10847603971-R193</f>
        <v>10701312291</v>
      </c>
      <c r="S113" s="2390"/>
      <c r="T113" s="2390"/>
      <c r="AN113" s="2382">
        <f t="shared" si="2"/>
        <v>10701312291</v>
      </c>
      <c r="AO113" s="2365">
        <f t="shared" si="11"/>
        <v>0</v>
      </c>
    </row>
    <row r="114" spans="1:45" ht="22.15" customHeight="1" x14ac:dyDescent="0.2">
      <c r="B114" s="3822"/>
      <c r="C114" s="1797" t="s">
        <v>292</v>
      </c>
      <c r="D114" s="2411" t="s">
        <v>1079</v>
      </c>
      <c r="E114" s="1811">
        <f>53544436746-E205</f>
        <v>50159052510</v>
      </c>
      <c r="F114" s="1811">
        <v>87674158339</v>
      </c>
      <c r="G114" s="1811"/>
      <c r="H114" s="2385">
        <f t="shared" si="12"/>
        <v>50159052510</v>
      </c>
      <c r="I114" s="1531">
        <f t="shared" si="13"/>
        <v>101958232571</v>
      </c>
      <c r="J114" s="1811"/>
      <c r="K114" s="1811">
        <f>'یادداشت 7 دارایییی اصلاحی'!W362</f>
        <v>-14284074232</v>
      </c>
      <c r="L114" s="1531">
        <f t="shared" si="14"/>
        <v>-130904804152</v>
      </c>
      <c r="M114" s="1811"/>
      <c r="N114" s="1811">
        <f>-130904804152</f>
        <v>-130904804152</v>
      </c>
      <c r="O114" s="1811"/>
      <c r="P114" s="1811"/>
      <c r="Q114" s="1811"/>
      <c r="R114" s="1811">
        <f>10313790933-R205</f>
        <v>6928406697</v>
      </c>
      <c r="S114" s="2390"/>
      <c r="T114" s="2390"/>
      <c r="AN114" s="2382">
        <f t="shared" si="2"/>
        <v>6928406697</v>
      </c>
      <c r="AO114" s="2365">
        <f t="shared" si="11"/>
        <v>0</v>
      </c>
    </row>
    <row r="115" spans="1:45" ht="22.15" customHeight="1" x14ac:dyDescent="0.2">
      <c r="B115" s="3822"/>
      <c r="C115" s="1762" t="s">
        <v>626</v>
      </c>
      <c r="D115" s="2389" t="s">
        <v>602</v>
      </c>
      <c r="E115" s="2385">
        <f>20189344255-E204</f>
        <v>20120966968</v>
      </c>
      <c r="F115" s="2385">
        <v>95973648826</v>
      </c>
      <c r="G115" s="2385"/>
      <c r="H115" s="2385">
        <f t="shared" si="12"/>
        <v>20120966968</v>
      </c>
      <c r="I115" s="1531">
        <f t="shared" si="13"/>
        <v>32288043768</v>
      </c>
      <c r="J115" s="2385"/>
      <c r="K115" s="1811">
        <f>'یادداشت 7 دارایییی اصلاحی'!W178</f>
        <v>63685605058</v>
      </c>
      <c r="L115" s="1531">
        <f t="shared" si="14"/>
        <v>-106472558816</v>
      </c>
      <c r="M115" s="2385"/>
      <c r="N115" s="2385">
        <f>-106472558816</f>
        <v>-106472558816</v>
      </c>
      <c r="O115" s="2385"/>
      <c r="P115" s="2385"/>
      <c r="Q115" s="2385"/>
      <c r="R115" s="2385">
        <f>9690434265-R204</f>
        <v>9622056978</v>
      </c>
      <c r="S115" s="2390"/>
      <c r="T115" s="2390"/>
      <c r="AN115" s="2382">
        <f t="shared" si="2"/>
        <v>9622056978</v>
      </c>
      <c r="AO115" s="2365">
        <f t="shared" si="11"/>
        <v>0</v>
      </c>
    </row>
    <row r="116" spans="1:45" ht="22.15" customHeight="1" x14ac:dyDescent="0.2">
      <c r="B116" s="3822"/>
      <c r="C116" s="1784">
        <v>1503003007</v>
      </c>
      <c r="D116" s="2412" t="s">
        <v>910</v>
      </c>
      <c r="E116" s="2385">
        <v>6394809012</v>
      </c>
      <c r="F116" s="2385">
        <v>6608000000</v>
      </c>
      <c r="G116" s="2385"/>
      <c r="H116" s="2385">
        <f t="shared" si="12"/>
        <v>6394809012</v>
      </c>
      <c r="I116" s="1531">
        <f t="shared" si="13"/>
        <v>8479321104</v>
      </c>
      <c r="J116" s="2385"/>
      <c r="K116" s="1811">
        <f>'یادداشت 7 دارایییی اصلاحی'!W111</f>
        <v>-1871321104</v>
      </c>
      <c r="L116" s="1531">
        <f t="shared" si="14"/>
        <v>-4807157622</v>
      </c>
      <c r="M116" s="2385"/>
      <c r="N116" s="2385">
        <f>-4807157622</f>
        <v>-4807157622</v>
      </c>
      <c r="O116" s="2385"/>
      <c r="P116" s="2385"/>
      <c r="Q116" s="2385"/>
      <c r="R116" s="2385">
        <v>8195651390</v>
      </c>
      <c r="S116" s="2390"/>
      <c r="T116" s="2390"/>
      <c r="AN116" s="2382">
        <f t="shared" si="2"/>
        <v>8195651390</v>
      </c>
      <c r="AO116" s="2365">
        <f t="shared" si="11"/>
        <v>0</v>
      </c>
    </row>
    <row r="117" spans="1:45" ht="22.15" customHeight="1" x14ac:dyDescent="0.2">
      <c r="B117" s="3822"/>
      <c r="C117" s="1797" t="s">
        <v>1078</v>
      </c>
      <c r="D117" s="2413" t="s">
        <v>1077</v>
      </c>
      <c r="E117" s="1811">
        <v>15590573891</v>
      </c>
      <c r="F117" s="1811">
        <v>15441496252</v>
      </c>
      <c r="G117" s="1811"/>
      <c r="H117" s="2385">
        <f t="shared" si="12"/>
        <v>15590573891</v>
      </c>
      <c r="I117" s="1531">
        <f t="shared" si="13"/>
        <v>7063737449</v>
      </c>
      <c r="J117" s="1811"/>
      <c r="K117" s="1811">
        <f>'یادداشت 7 دارایییی اصلاحی'!W351</f>
        <v>8377758803</v>
      </c>
      <c r="L117" s="1531">
        <f t="shared" si="14"/>
        <v>-23770046736</v>
      </c>
      <c r="M117" s="1811"/>
      <c r="N117" s="1811">
        <f>-23770046736</f>
        <v>-23770046736</v>
      </c>
      <c r="O117" s="1811"/>
      <c r="P117" s="1811"/>
      <c r="Q117" s="1811"/>
      <c r="R117" s="1811">
        <v>7262023407</v>
      </c>
      <c r="S117" s="2390"/>
      <c r="T117" s="2390"/>
      <c r="AN117" s="2382">
        <f t="shared" si="2"/>
        <v>7262023407</v>
      </c>
      <c r="AO117" s="2365">
        <f t="shared" si="11"/>
        <v>0</v>
      </c>
    </row>
    <row r="118" spans="1:45" ht="22.15" customHeight="1" x14ac:dyDescent="0.2">
      <c r="B118" s="3822"/>
      <c r="C118" s="1762" t="s">
        <v>623</v>
      </c>
      <c r="D118" s="2402" t="s">
        <v>599</v>
      </c>
      <c r="E118" s="2385">
        <v>12735728293</v>
      </c>
      <c r="F118" s="2385">
        <v>14310313128</v>
      </c>
      <c r="G118" s="2385"/>
      <c r="H118" s="2385">
        <f t="shared" si="12"/>
        <v>12735728293</v>
      </c>
      <c r="I118" s="1531">
        <f t="shared" si="13"/>
        <v>14116313128</v>
      </c>
      <c r="J118" s="2385"/>
      <c r="K118" s="1811">
        <f>'یادداشت 7 دارایییی اصلاحی'!W174</f>
        <v>244000000</v>
      </c>
      <c r="L118" s="1531">
        <f t="shared" si="14"/>
        <v>-20051999295</v>
      </c>
      <c r="M118" s="2385"/>
      <c r="N118" s="2385">
        <f>-20051999295</f>
        <v>-20051999295</v>
      </c>
      <c r="O118" s="2385"/>
      <c r="P118" s="2385">
        <f>'پيش پرداخت سرمايه اي يادداشت 6'!P81</f>
        <v>-50000000</v>
      </c>
      <c r="Q118" s="2385"/>
      <c r="R118" s="2385">
        <v>6994042126</v>
      </c>
      <c r="S118" s="2390"/>
      <c r="T118" s="2390"/>
      <c r="AN118" s="2382">
        <f t="shared" si="2"/>
        <v>6994042126</v>
      </c>
      <c r="AO118" s="2365">
        <f t="shared" si="11"/>
        <v>0</v>
      </c>
    </row>
    <row r="119" spans="1:45" ht="22.15" customHeight="1" x14ac:dyDescent="0.4">
      <c r="B119" s="3823"/>
      <c r="C119" s="1762" t="s">
        <v>2065</v>
      </c>
      <c r="D119" s="1804" t="s">
        <v>2043</v>
      </c>
      <c r="E119" s="1531"/>
      <c r="F119" s="1531">
        <v>73935584841</v>
      </c>
      <c r="G119" s="1531"/>
      <c r="H119" s="2385">
        <f t="shared" si="12"/>
        <v>0</v>
      </c>
      <c r="I119" s="1531">
        <f t="shared" si="13"/>
        <v>59651510609</v>
      </c>
      <c r="J119" s="1531"/>
      <c r="K119" s="1531">
        <f>'یادداشت 7 دارایییی اصلاحی'!W388</f>
        <v>14284074232</v>
      </c>
      <c r="L119" s="1531">
        <f t="shared" si="14"/>
        <v>-67722772152</v>
      </c>
      <c r="M119" s="1531"/>
      <c r="N119" s="1531">
        <f>-67722772152</f>
        <v>-67722772152</v>
      </c>
      <c r="O119" s="1531"/>
      <c r="P119" s="1531"/>
      <c r="Q119" s="1531"/>
      <c r="R119" s="1531">
        <v>6212812689</v>
      </c>
      <c r="S119" s="2390"/>
      <c r="T119" s="2390"/>
      <c r="AN119" s="2382">
        <f t="shared" si="2"/>
        <v>6212812689</v>
      </c>
      <c r="AO119" s="2365">
        <f t="shared" si="11"/>
        <v>0</v>
      </c>
    </row>
    <row r="120" spans="1:45" ht="22.15" customHeight="1" x14ac:dyDescent="0.2">
      <c r="B120" s="3795" t="s">
        <v>94</v>
      </c>
      <c r="C120" s="3796"/>
      <c r="D120" s="3797"/>
      <c r="E120" s="2385">
        <f>SUM(E100:E119)</f>
        <v>6706037911766</v>
      </c>
      <c r="F120" s="2385">
        <f t="shared" ref="F120:R120" si="15">SUM(F100:F119)</f>
        <v>22893733956844</v>
      </c>
      <c r="G120" s="2385">
        <f t="shared" si="15"/>
        <v>0</v>
      </c>
      <c r="H120" s="2385">
        <f t="shared" si="15"/>
        <v>6706037911766</v>
      </c>
      <c r="I120" s="2385">
        <f t="shared" si="15"/>
        <v>21860625944259</v>
      </c>
      <c r="J120" s="2385">
        <f t="shared" si="15"/>
        <v>0</v>
      </c>
      <c r="K120" s="2385">
        <f t="shared" si="15"/>
        <v>1138127710467</v>
      </c>
      <c r="L120" s="2385">
        <f t="shared" si="15"/>
        <v>-21282619831392</v>
      </c>
      <c r="M120" s="2385">
        <f t="shared" si="15"/>
        <v>0</v>
      </c>
      <c r="N120" s="2385">
        <f t="shared" si="15"/>
        <v>-21282619831392</v>
      </c>
      <c r="O120" s="2385">
        <f t="shared" si="15"/>
        <v>-35356171773</v>
      </c>
      <c r="P120" s="2385">
        <f t="shared" si="15"/>
        <v>-69663526109</v>
      </c>
      <c r="Q120" s="2385">
        <f t="shared" si="15"/>
        <v>0</v>
      </c>
      <c r="R120" s="2385">
        <f t="shared" si="15"/>
        <v>8317152037218</v>
      </c>
      <c r="S120" s="2414"/>
      <c r="T120" s="2414"/>
      <c r="U120" s="2365">
        <f t="shared" ref="U120:U129" si="16">E120+I120+K120+L120+O120+P120+Q120</f>
        <v>8317152037218</v>
      </c>
      <c r="V120" s="2365">
        <f t="shared" ref="V120:V129" si="17">R120-U120</f>
        <v>0</v>
      </c>
      <c r="W120" s="2415"/>
      <c r="AB120" s="2365">
        <f t="shared" ref="AB120:AB129" si="18">I120+J120+L120+Q120+P120+O120+E120+K120</f>
        <v>8317152037218</v>
      </c>
      <c r="AC120" s="2365">
        <f t="shared" ref="AC120:AC129" si="19">R120-AB120</f>
        <v>0</v>
      </c>
      <c r="AE120" s="2365">
        <f t="shared" ref="AE120:AE126" si="20">E120+G120+I120+K120+L120+O120+P120+Q120</f>
        <v>8317152037218</v>
      </c>
      <c r="AF120" s="2365">
        <f t="shared" ref="AF120:AF126" si="21">R120-AE120</f>
        <v>0</v>
      </c>
      <c r="AG120" s="2365">
        <f t="shared" ref="AG120:AG129" si="22">F120-G120-Q120</f>
        <v>22893733956844</v>
      </c>
      <c r="AH120" s="2365">
        <f t="shared" ref="AH120:AH129" si="23">E120+G120+I120+K120+L120+O120+P120+Q120</f>
        <v>8317152037218</v>
      </c>
      <c r="AI120" s="2365">
        <f t="shared" ref="AI120:AI129" si="24">R120-AH120</f>
        <v>0</v>
      </c>
      <c r="AJ120" s="2365">
        <f t="shared" ref="AJ120:AJ129" si="25">I120-AG120</f>
        <v>-1033108012585</v>
      </c>
      <c r="AK120" s="2365">
        <f t="shared" ref="AK120:AK129" si="26">N120-K120-O120-P120</f>
        <v>-22315727843977</v>
      </c>
      <c r="AL120" s="2365">
        <f t="shared" ref="AL120:AL129" si="27">L120-AK120</f>
        <v>1033108012585</v>
      </c>
      <c r="AN120" s="2382">
        <f t="shared" si="2"/>
        <v>8317152037218</v>
      </c>
      <c r="AO120" s="2365">
        <f t="shared" si="11"/>
        <v>0</v>
      </c>
      <c r="AP120" s="2365">
        <v>-132807567475</v>
      </c>
      <c r="AR120" s="2365">
        <f t="shared" ref="AR120:AR126" si="28">E120+I120+K120+L120+O120+P120+Q120</f>
        <v>8317152037218</v>
      </c>
      <c r="AS120" s="2365">
        <f>R120-AR120</f>
        <v>0</v>
      </c>
    </row>
    <row r="121" spans="1:45" ht="22.15" customHeight="1" x14ac:dyDescent="0.2">
      <c r="A121" s="2415"/>
      <c r="B121" s="2399"/>
      <c r="C121" s="3798" t="s">
        <v>1830</v>
      </c>
      <c r="D121" s="3798"/>
      <c r="E121" s="3798"/>
      <c r="F121" s="3798"/>
      <c r="G121" s="3798"/>
      <c r="H121" s="3798"/>
      <c r="I121" s="3798"/>
      <c r="J121" s="3798"/>
      <c r="K121" s="3798"/>
      <c r="L121" s="3798"/>
      <c r="M121" s="3798"/>
      <c r="N121" s="3798"/>
      <c r="O121" s="3798"/>
      <c r="P121" s="3798"/>
      <c r="Q121" s="3798"/>
      <c r="R121" s="3798"/>
      <c r="S121" s="2416"/>
      <c r="T121" s="2416"/>
      <c r="U121" s="2365">
        <f t="shared" si="16"/>
        <v>0</v>
      </c>
      <c r="V121" s="2365">
        <f t="shared" si="17"/>
        <v>0</v>
      </c>
      <c r="AB121" s="2365">
        <f t="shared" si="18"/>
        <v>0</v>
      </c>
      <c r="AC121" s="2365">
        <f t="shared" si="19"/>
        <v>0</v>
      </c>
      <c r="AE121" s="2365">
        <f t="shared" si="20"/>
        <v>0</v>
      </c>
      <c r="AF121" s="2365">
        <f t="shared" si="21"/>
        <v>0</v>
      </c>
      <c r="AG121" s="2365">
        <f t="shared" si="22"/>
        <v>0</v>
      </c>
      <c r="AH121" s="2365">
        <f t="shared" si="23"/>
        <v>0</v>
      </c>
      <c r="AI121" s="2365">
        <f t="shared" si="24"/>
        <v>0</v>
      </c>
      <c r="AJ121" s="2365">
        <f t="shared" si="25"/>
        <v>0</v>
      </c>
      <c r="AK121" s="2365">
        <f t="shared" si="26"/>
        <v>0</v>
      </c>
      <c r="AL121" s="2365">
        <f t="shared" si="27"/>
        <v>0</v>
      </c>
      <c r="AN121" s="2382">
        <f t="shared" si="2"/>
        <v>0</v>
      </c>
      <c r="AO121" s="2365">
        <f t="shared" si="11"/>
        <v>0</v>
      </c>
      <c r="AP121" s="2365">
        <v>-282292017234</v>
      </c>
      <c r="AR121" s="2365">
        <f t="shared" si="28"/>
        <v>0</v>
      </c>
      <c r="AS121" s="2365">
        <f>R121-AR121</f>
        <v>0</v>
      </c>
    </row>
    <row r="122" spans="1:45" ht="24.6" customHeight="1" x14ac:dyDescent="0.2">
      <c r="B122" s="3574" t="s">
        <v>32</v>
      </c>
      <c r="C122" s="3574"/>
      <c r="D122" s="3574"/>
      <c r="E122" s="3574"/>
      <c r="F122" s="3574"/>
      <c r="G122" s="3574"/>
      <c r="H122" s="3574"/>
      <c r="I122" s="3574"/>
      <c r="J122" s="3574"/>
      <c r="K122" s="3574"/>
      <c r="L122" s="3574"/>
      <c r="M122" s="3574"/>
      <c r="N122" s="3574"/>
      <c r="O122" s="3574"/>
      <c r="P122" s="3574"/>
      <c r="Q122" s="3574"/>
      <c r="R122" s="3574"/>
      <c r="S122" s="2364"/>
      <c r="T122" s="2416"/>
      <c r="U122" s="2365">
        <f t="shared" si="16"/>
        <v>0</v>
      </c>
      <c r="V122" s="2365">
        <f t="shared" si="17"/>
        <v>0</v>
      </c>
      <c r="AB122" s="2365">
        <f t="shared" si="18"/>
        <v>0</v>
      </c>
      <c r="AC122" s="2365">
        <f t="shared" si="19"/>
        <v>0</v>
      </c>
      <c r="AE122" s="2365">
        <f t="shared" si="20"/>
        <v>0</v>
      </c>
      <c r="AF122" s="2365">
        <f t="shared" si="21"/>
        <v>0</v>
      </c>
      <c r="AG122" s="2365">
        <f t="shared" si="22"/>
        <v>0</v>
      </c>
      <c r="AH122" s="2365">
        <f t="shared" si="23"/>
        <v>0</v>
      </c>
      <c r="AI122" s="2365">
        <f t="shared" si="24"/>
        <v>0</v>
      </c>
      <c r="AJ122" s="2365">
        <f t="shared" si="25"/>
        <v>0</v>
      </c>
      <c r="AK122" s="2365">
        <f t="shared" si="26"/>
        <v>0</v>
      </c>
      <c r="AL122" s="2365">
        <f t="shared" si="27"/>
        <v>0</v>
      </c>
      <c r="AN122" s="2382">
        <f t="shared" si="2"/>
        <v>0</v>
      </c>
      <c r="AO122" s="2365">
        <f t="shared" si="11"/>
        <v>0</v>
      </c>
      <c r="AP122" s="2365">
        <v>-68377287</v>
      </c>
      <c r="AR122" s="2365">
        <f t="shared" si="28"/>
        <v>0</v>
      </c>
    </row>
    <row r="123" spans="1:45" ht="24.6" customHeight="1" x14ac:dyDescent="0.2">
      <c r="B123" s="3574" t="s">
        <v>45</v>
      </c>
      <c r="C123" s="3574"/>
      <c r="D123" s="3574"/>
      <c r="E123" s="3574"/>
      <c r="F123" s="3574"/>
      <c r="G123" s="3574"/>
      <c r="H123" s="3574"/>
      <c r="I123" s="3574"/>
      <c r="J123" s="3574"/>
      <c r="K123" s="3574"/>
      <c r="L123" s="3574"/>
      <c r="M123" s="3574"/>
      <c r="N123" s="3574"/>
      <c r="O123" s="3574"/>
      <c r="P123" s="3574"/>
      <c r="Q123" s="3574"/>
      <c r="R123" s="3574"/>
      <c r="S123" s="2364"/>
      <c r="T123" s="2416"/>
      <c r="U123" s="2365">
        <f t="shared" si="16"/>
        <v>0</v>
      </c>
      <c r="V123" s="2365">
        <f t="shared" si="17"/>
        <v>0</v>
      </c>
      <c r="AB123" s="2365">
        <f t="shared" si="18"/>
        <v>0</v>
      </c>
      <c r="AC123" s="2365">
        <f t="shared" si="19"/>
        <v>0</v>
      </c>
      <c r="AE123" s="2365">
        <f t="shared" si="20"/>
        <v>0</v>
      </c>
      <c r="AF123" s="2365">
        <f t="shared" si="21"/>
        <v>0</v>
      </c>
      <c r="AG123" s="2365">
        <f t="shared" si="22"/>
        <v>0</v>
      </c>
      <c r="AH123" s="2365">
        <f t="shared" si="23"/>
        <v>0</v>
      </c>
      <c r="AI123" s="2365">
        <f t="shared" si="24"/>
        <v>0</v>
      </c>
      <c r="AJ123" s="2365">
        <f t="shared" si="25"/>
        <v>0</v>
      </c>
      <c r="AK123" s="2365">
        <f t="shared" si="26"/>
        <v>0</v>
      </c>
      <c r="AL123" s="2365">
        <f t="shared" si="27"/>
        <v>0</v>
      </c>
      <c r="AN123" s="2382">
        <f t="shared" si="2"/>
        <v>0</v>
      </c>
      <c r="AO123" s="2365">
        <f t="shared" si="3"/>
        <v>0</v>
      </c>
      <c r="AP123" s="2365">
        <v>0</v>
      </c>
      <c r="AR123" s="2365">
        <f t="shared" si="28"/>
        <v>0</v>
      </c>
    </row>
    <row r="124" spans="1:45" ht="24.6" customHeight="1" x14ac:dyDescent="0.2">
      <c r="B124" s="3574" t="s">
        <v>46</v>
      </c>
      <c r="C124" s="3574"/>
      <c r="D124" s="3574"/>
      <c r="E124" s="3574"/>
      <c r="F124" s="3574"/>
      <c r="G124" s="3574"/>
      <c r="H124" s="3574"/>
      <c r="I124" s="3574"/>
      <c r="J124" s="3574"/>
      <c r="K124" s="3574"/>
      <c r="L124" s="3574"/>
      <c r="M124" s="3574"/>
      <c r="N124" s="3574"/>
      <c r="O124" s="3574"/>
      <c r="P124" s="3574"/>
      <c r="Q124" s="3574"/>
      <c r="R124" s="3574"/>
      <c r="S124" s="2364"/>
      <c r="T124" s="2416"/>
      <c r="U124" s="2365">
        <f t="shared" si="16"/>
        <v>0</v>
      </c>
      <c r="V124" s="2365">
        <f t="shared" si="17"/>
        <v>0</v>
      </c>
      <c r="AB124" s="2365">
        <f t="shared" si="18"/>
        <v>0</v>
      </c>
      <c r="AC124" s="2365">
        <f t="shared" si="19"/>
        <v>0</v>
      </c>
      <c r="AE124" s="2365">
        <f t="shared" si="20"/>
        <v>0</v>
      </c>
      <c r="AF124" s="2365">
        <f t="shared" si="21"/>
        <v>0</v>
      </c>
      <c r="AG124" s="2365">
        <f t="shared" si="22"/>
        <v>0</v>
      </c>
      <c r="AH124" s="2365">
        <f t="shared" si="23"/>
        <v>0</v>
      </c>
      <c r="AI124" s="2365">
        <f t="shared" si="24"/>
        <v>0</v>
      </c>
      <c r="AJ124" s="2365">
        <f t="shared" si="25"/>
        <v>0</v>
      </c>
      <c r="AK124" s="2365">
        <f t="shared" si="26"/>
        <v>0</v>
      </c>
      <c r="AL124" s="2365">
        <f t="shared" si="27"/>
        <v>0</v>
      </c>
      <c r="AN124" s="2382">
        <f t="shared" si="2"/>
        <v>0</v>
      </c>
      <c r="AO124" s="2365">
        <f t="shared" si="3"/>
        <v>0</v>
      </c>
      <c r="AP124" s="2365">
        <v>-3385384236</v>
      </c>
      <c r="AR124" s="2365">
        <f t="shared" si="28"/>
        <v>0</v>
      </c>
    </row>
    <row r="125" spans="1:45" ht="24.6" customHeight="1" x14ac:dyDescent="0.2">
      <c r="B125" s="3799" t="s">
        <v>1988</v>
      </c>
      <c r="C125" s="3799"/>
      <c r="D125" s="3799"/>
      <c r="E125" s="3799"/>
      <c r="F125" s="3799"/>
      <c r="G125" s="3799"/>
      <c r="H125" s="3799"/>
      <c r="I125" s="3799"/>
      <c r="J125" s="3799"/>
      <c r="K125" s="3799"/>
      <c r="L125" s="3799"/>
      <c r="M125" s="3799"/>
      <c r="N125" s="3799"/>
      <c r="O125" s="3799"/>
      <c r="P125" s="3799"/>
      <c r="Q125" s="3799"/>
      <c r="R125" s="3799"/>
      <c r="S125" s="2185"/>
      <c r="T125" s="2416"/>
      <c r="U125" s="2365">
        <f t="shared" si="16"/>
        <v>0</v>
      </c>
      <c r="V125" s="2365">
        <f t="shared" si="17"/>
        <v>0</v>
      </c>
      <c r="W125" s="2415"/>
      <c r="AB125" s="2365">
        <f t="shared" si="18"/>
        <v>0</v>
      </c>
      <c r="AC125" s="2365">
        <f t="shared" si="19"/>
        <v>0</v>
      </c>
      <c r="AE125" s="2365">
        <f t="shared" si="20"/>
        <v>0</v>
      </c>
      <c r="AF125" s="2365">
        <f t="shared" si="21"/>
        <v>0</v>
      </c>
      <c r="AG125" s="2365">
        <f t="shared" si="22"/>
        <v>0</v>
      </c>
      <c r="AH125" s="2365">
        <f t="shared" si="23"/>
        <v>0</v>
      </c>
      <c r="AI125" s="2365">
        <f t="shared" si="24"/>
        <v>0</v>
      </c>
      <c r="AJ125" s="2365">
        <f t="shared" si="25"/>
        <v>0</v>
      </c>
      <c r="AK125" s="2365">
        <f t="shared" si="26"/>
        <v>0</v>
      </c>
      <c r="AL125" s="2365">
        <f t="shared" si="27"/>
        <v>0</v>
      </c>
      <c r="AN125" s="2382">
        <f t="shared" si="2"/>
        <v>0</v>
      </c>
      <c r="AO125" s="2365">
        <f t="shared" si="3"/>
        <v>0</v>
      </c>
      <c r="AP125" s="2365">
        <v>-2346642099</v>
      </c>
      <c r="AR125" s="2365">
        <f t="shared" si="28"/>
        <v>0</v>
      </c>
    </row>
    <row r="126" spans="1:45" s="2415" customFormat="1" ht="25.9" customHeight="1" x14ac:dyDescent="0.2">
      <c r="B126" s="2399"/>
      <c r="C126" s="3746" t="s">
        <v>1829</v>
      </c>
      <c r="D126" s="3746"/>
      <c r="E126" s="3746"/>
      <c r="F126" s="3746"/>
      <c r="G126" s="3746"/>
      <c r="H126" s="3746"/>
      <c r="I126" s="3746"/>
      <c r="J126" s="3746"/>
      <c r="K126" s="3746"/>
      <c r="L126" s="3746"/>
      <c r="M126" s="2204"/>
      <c r="N126" s="2204"/>
      <c r="O126" s="2204"/>
      <c r="P126" s="2204"/>
      <c r="Q126" s="2204"/>
      <c r="R126" s="2400"/>
      <c r="S126" s="2400"/>
      <c r="T126" s="2400"/>
      <c r="U126" s="2365">
        <f t="shared" si="16"/>
        <v>0</v>
      </c>
      <c r="V126" s="2365">
        <f t="shared" si="17"/>
        <v>0</v>
      </c>
      <c r="AB126" s="2365">
        <f t="shared" si="18"/>
        <v>0</v>
      </c>
      <c r="AC126" s="2365">
        <f t="shared" si="19"/>
        <v>0</v>
      </c>
      <c r="AD126" s="2365"/>
      <c r="AE126" s="2365">
        <f t="shared" si="20"/>
        <v>0</v>
      </c>
      <c r="AF126" s="2365">
        <f t="shared" si="21"/>
        <v>0</v>
      </c>
      <c r="AG126" s="2365">
        <f t="shared" si="22"/>
        <v>0</v>
      </c>
      <c r="AH126" s="2365">
        <f t="shared" si="23"/>
        <v>0</v>
      </c>
      <c r="AI126" s="2365">
        <f t="shared" si="24"/>
        <v>0</v>
      </c>
      <c r="AJ126" s="2365">
        <f t="shared" si="25"/>
        <v>0</v>
      </c>
      <c r="AK126" s="2365">
        <f t="shared" si="26"/>
        <v>0</v>
      </c>
      <c r="AL126" s="2365">
        <f t="shared" si="27"/>
        <v>0</v>
      </c>
      <c r="AN126" s="2382">
        <f t="shared" si="2"/>
        <v>0</v>
      </c>
      <c r="AO126" s="2365">
        <f t="shared" si="3"/>
        <v>0</v>
      </c>
      <c r="AR126" s="2365">
        <f t="shared" si="28"/>
        <v>0</v>
      </c>
      <c r="AS126" s="2365">
        <f>R126-AR126</f>
        <v>0</v>
      </c>
    </row>
    <row r="127" spans="1:45" s="2415" customFormat="1" ht="25.9" customHeight="1" x14ac:dyDescent="0.2">
      <c r="B127" s="3800" t="s">
        <v>419</v>
      </c>
      <c r="C127" s="3801" t="s">
        <v>53</v>
      </c>
      <c r="D127" s="3802" t="s">
        <v>54</v>
      </c>
      <c r="E127" s="3803" t="s">
        <v>1396</v>
      </c>
      <c r="F127" s="3804"/>
      <c r="G127" s="3804" t="s">
        <v>1116</v>
      </c>
      <c r="H127" s="3806" t="s">
        <v>1371</v>
      </c>
      <c r="I127" s="3803" t="s">
        <v>1253</v>
      </c>
      <c r="J127" s="3804" t="s">
        <v>1113</v>
      </c>
      <c r="K127" s="3807" t="s">
        <v>898</v>
      </c>
      <c r="L127" s="3803" t="s">
        <v>1373</v>
      </c>
      <c r="M127" s="3803" t="s">
        <v>899</v>
      </c>
      <c r="N127" s="2385"/>
      <c r="O127" s="3804" t="s">
        <v>313</v>
      </c>
      <c r="P127" s="3804" t="s">
        <v>1254</v>
      </c>
      <c r="Q127" s="2385"/>
      <c r="R127" s="3803" t="s">
        <v>1997</v>
      </c>
      <c r="S127" s="2386"/>
      <c r="T127" s="2386"/>
      <c r="U127" s="2365" t="e">
        <f t="shared" si="16"/>
        <v>#VALUE!</v>
      </c>
      <c r="V127" s="2365" t="e">
        <f t="shared" si="17"/>
        <v>#VALUE!</v>
      </c>
      <c r="AB127" s="2365" t="e">
        <f t="shared" si="18"/>
        <v>#VALUE!</v>
      </c>
      <c r="AC127" s="2365" t="e">
        <f t="shared" si="19"/>
        <v>#VALUE!</v>
      </c>
      <c r="AD127" s="2365"/>
      <c r="AE127" s="2365"/>
      <c r="AF127" s="2365"/>
      <c r="AG127" s="2365" t="e">
        <f t="shared" si="22"/>
        <v>#VALUE!</v>
      </c>
      <c r="AH127" s="2365" t="e">
        <f t="shared" si="23"/>
        <v>#VALUE!</v>
      </c>
      <c r="AI127" s="2365" t="e">
        <f t="shared" si="24"/>
        <v>#VALUE!</v>
      </c>
      <c r="AJ127" s="2365" t="e">
        <f t="shared" si="25"/>
        <v>#VALUE!</v>
      </c>
      <c r="AK127" s="2365" t="e">
        <f t="shared" si="26"/>
        <v>#VALUE!</v>
      </c>
      <c r="AL127" s="2365" t="e">
        <f t="shared" si="27"/>
        <v>#VALUE!</v>
      </c>
      <c r="AN127" s="2382" t="e">
        <f t="shared" si="2"/>
        <v>#VALUE!</v>
      </c>
      <c r="AO127" s="2365" t="e">
        <f t="shared" si="3"/>
        <v>#VALUE!</v>
      </c>
      <c r="AR127" s="2365"/>
      <c r="AS127" s="2365"/>
    </row>
    <row r="128" spans="1:45" s="2415" customFormat="1" ht="40.15" customHeight="1" x14ac:dyDescent="0.2">
      <c r="B128" s="3800"/>
      <c r="C128" s="3801"/>
      <c r="D128" s="3802"/>
      <c r="E128" s="3803"/>
      <c r="F128" s="3805"/>
      <c r="G128" s="3805"/>
      <c r="H128" s="3806"/>
      <c r="I128" s="3803"/>
      <c r="J128" s="3805"/>
      <c r="K128" s="3807"/>
      <c r="L128" s="3803"/>
      <c r="M128" s="3803"/>
      <c r="N128" s="2385"/>
      <c r="O128" s="3805"/>
      <c r="P128" s="3805"/>
      <c r="Q128" s="2385" t="s">
        <v>919</v>
      </c>
      <c r="R128" s="3803"/>
      <c r="S128" s="2386"/>
      <c r="T128" s="2386"/>
      <c r="U128" s="2365" t="e">
        <f t="shared" si="16"/>
        <v>#VALUE!</v>
      </c>
      <c r="V128" s="2365" t="e">
        <f t="shared" si="17"/>
        <v>#VALUE!</v>
      </c>
      <c r="AB128" s="2365" t="e">
        <f t="shared" si="18"/>
        <v>#VALUE!</v>
      </c>
      <c r="AC128" s="2365" t="e">
        <f t="shared" si="19"/>
        <v>#VALUE!</v>
      </c>
      <c r="AD128" s="2365"/>
      <c r="AE128" s="2365"/>
      <c r="AF128" s="2365"/>
      <c r="AG128" s="2365" t="e">
        <f t="shared" si="22"/>
        <v>#VALUE!</v>
      </c>
      <c r="AH128" s="2365" t="e">
        <f t="shared" si="23"/>
        <v>#VALUE!</v>
      </c>
      <c r="AI128" s="2365" t="e">
        <f t="shared" si="24"/>
        <v>#VALUE!</v>
      </c>
      <c r="AJ128" s="2365" t="e">
        <f t="shared" si="25"/>
        <v>#VALUE!</v>
      </c>
      <c r="AK128" s="2365">
        <f t="shared" si="26"/>
        <v>0</v>
      </c>
      <c r="AL128" s="2365">
        <f t="shared" si="27"/>
        <v>0</v>
      </c>
      <c r="AN128" s="2382">
        <f t="shared" si="2"/>
        <v>0</v>
      </c>
      <c r="AO128" s="2365">
        <f t="shared" si="3"/>
        <v>0</v>
      </c>
      <c r="AR128" s="2365"/>
      <c r="AS128" s="2365"/>
    </row>
    <row r="129" spans="2:45" s="2415" customFormat="1" ht="19.899999999999999" customHeight="1" x14ac:dyDescent="0.2">
      <c r="B129" s="3827" t="s">
        <v>420</v>
      </c>
      <c r="C129" s="3793" t="s">
        <v>181</v>
      </c>
      <c r="D129" s="3793"/>
      <c r="E129" s="2385">
        <f>E120</f>
        <v>6706037911766</v>
      </c>
      <c r="F129" s="2385">
        <f t="shared" ref="F129:R129" si="29">F120</f>
        <v>22893733956844</v>
      </c>
      <c r="G129" s="2385">
        <f t="shared" si="29"/>
        <v>0</v>
      </c>
      <c r="H129" s="2385">
        <f t="shared" si="29"/>
        <v>6706037911766</v>
      </c>
      <c r="I129" s="2385">
        <f t="shared" si="29"/>
        <v>21860625944259</v>
      </c>
      <c r="J129" s="2385">
        <f t="shared" si="29"/>
        <v>0</v>
      </c>
      <c r="K129" s="2385">
        <f t="shared" si="29"/>
        <v>1138127710467</v>
      </c>
      <c r="L129" s="2385">
        <f t="shared" si="29"/>
        <v>-21282619831392</v>
      </c>
      <c r="M129" s="2385">
        <f t="shared" si="29"/>
        <v>0</v>
      </c>
      <c r="N129" s="2385">
        <f t="shared" si="29"/>
        <v>-21282619831392</v>
      </c>
      <c r="O129" s="2385">
        <f t="shared" si="29"/>
        <v>-35356171773</v>
      </c>
      <c r="P129" s="2385">
        <f t="shared" si="29"/>
        <v>-69663526109</v>
      </c>
      <c r="Q129" s="2385">
        <f t="shared" si="29"/>
        <v>0</v>
      </c>
      <c r="R129" s="2385">
        <f t="shared" si="29"/>
        <v>8317152037218</v>
      </c>
      <c r="S129" s="2414"/>
      <c r="T129" s="2414"/>
      <c r="U129" s="2365">
        <f t="shared" si="16"/>
        <v>8317152037218</v>
      </c>
      <c r="V129" s="2365">
        <f t="shared" si="17"/>
        <v>0</v>
      </c>
      <c r="AB129" s="2365">
        <f t="shared" si="18"/>
        <v>8317152037218</v>
      </c>
      <c r="AC129" s="2365">
        <f t="shared" si="19"/>
        <v>0</v>
      </c>
      <c r="AD129" s="2365"/>
      <c r="AE129" s="2365">
        <f>E129+G129+I129+K129+L129+O129+P129+Q129</f>
        <v>8317152037218</v>
      </c>
      <c r="AF129" s="2365">
        <f>R129-AE129</f>
        <v>0</v>
      </c>
      <c r="AG129" s="2365">
        <f t="shared" si="22"/>
        <v>22893733956844</v>
      </c>
      <c r="AH129" s="2365">
        <f t="shared" si="23"/>
        <v>8317152037218</v>
      </c>
      <c r="AI129" s="2365">
        <f t="shared" si="24"/>
        <v>0</v>
      </c>
      <c r="AJ129" s="2365">
        <f t="shared" si="25"/>
        <v>-1033108012585</v>
      </c>
      <c r="AK129" s="2365">
        <f t="shared" si="26"/>
        <v>-22315727843977</v>
      </c>
      <c r="AL129" s="2365">
        <f t="shared" si="27"/>
        <v>1033108012585</v>
      </c>
      <c r="AN129" s="2382">
        <f t="shared" si="2"/>
        <v>8317152037218</v>
      </c>
      <c r="AO129" s="2365">
        <f t="shared" si="3"/>
        <v>0</v>
      </c>
      <c r="AR129" s="2365">
        <f>E129+I129+K129+L129+O129+P129+Q129</f>
        <v>8317152037218</v>
      </c>
      <c r="AS129" s="2365">
        <f>R129-AR129</f>
        <v>0</v>
      </c>
    </row>
    <row r="130" spans="2:45" s="2415" customFormat="1" ht="20.45" customHeight="1" x14ac:dyDescent="0.4">
      <c r="B130" s="3828"/>
      <c r="C130" s="1810" t="s">
        <v>2063</v>
      </c>
      <c r="D130" s="1809" t="s">
        <v>2039</v>
      </c>
      <c r="E130" s="1531"/>
      <c r="F130" s="1531">
        <v>15710767746</v>
      </c>
      <c r="G130" s="1531"/>
      <c r="H130" s="2385">
        <f t="shared" ref="H130:H148" si="30">E130+G130</f>
        <v>0</v>
      </c>
      <c r="I130" s="1531">
        <f t="shared" ref="I130:I148" si="31">F130-Q130-J130-K130-P130-O130</f>
        <v>15710767746</v>
      </c>
      <c r="J130" s="1531"/>
      <c r="K130" s="1531">
        <f>'یادداشت 7 دارایییی اصلاحی'!W391</f>
        <v>0</v>
      </c>
      <c r="L130" s="1531">
        <f t="shared" ref="L130:L148" si="32">N130</f>
        <v>-9960000000</v>
      </c>
      <c r="M130" s="1531"/>
      <c r="N130" s="1531">
        <f>-9960000000</f>
        <v>-9960000000</v>
      </c>
      <c r="O130" s="1531"/>
      <c r="P130" s="1531"/>
      <c r="Q130" s="1531"/>
      <c r="R130" s="1531">
        <v>5750767746</v>
      </c>
      <c r="S130" s="2390"/>
      <c r="T130" s="2390" t="e">
        <f>#REF!-#REF!</f>
        <v>#REF!</v>
      </c>
      <c r="U130" s="2365">
        <f>E132+I132+K132+L132+O132+P132+Q132</f>
        <v>5248061092</v>
      </c>
      <c r="V130" s="2365">
        <f>R132-U130</f>
        <v>0</v>
      </c>
      <c r="W130" s="2365"/>
      <c r="AB130" s="2365">
        <f>I132+J132+L132+Q132+P132+O132+E132+K132</f>
        <v>5248061092</v>
      </c>
      <c r="AC130" s="2365">
        <f>R132-AB130</f>
        <v>0</v>
      </c>
      <c r="AD130" s="2365"/>
      <c r="AE130" s="2365">
        <f>E132+G132+I132+K132+L132+O132+P132+Q132</f>
        <v>5248061092</v>
      </c>
      <c r="AF130" s="2365">
        <f>R132-AE130</f>
        <v>0</v>
      </c>
      <c r="AG130" s="2365">
        <f>F132-G132-Q132</f>
        <v>0</v>
      </c>
      <c r="AH130" s="2365">
        <f>E132+G132+I132+K132+L132+O132+P132+Q132</f>
        <v>5248061092</v>
      </c>
      <c r="AI130" s="2365">
        <f>R132-AH130</f>
        <v>0</v>
      </c>
      <c r="AJ130" s="2365">
        <f>I132-AG130</f>
        <v>3238465008</v>
      </c>
      <c r="AK130" s="2365">
        <f>N132-K132-O132-P132</f>
        <v>-50113750</v>
      </c>
      <c r="AL130" s="2365">
        <f>L132-AK130</f>
        <v>-3238465008</v>
      </c>
      <c r="AN130" s="2382">
        <f t="shared" si="2"/>
        <v>5750767746</v>
      </c>
      <c r="AO130" s="2365">
        <f t="shared" si="3"/>
        <v>0</v>
      </c>
      <c r="AR130" s="2365">
        <f>E132+I132+K132+L132+O132+P132+Q132</f>
        <v>5248061092</v>
      </c>
      <c r="AS130" s="2365">
        <f>R132-AR130</f>
        <v>0</v>
      </c>
    </row>
    <row r="131" spans="2:45" s="2415" customFormat="1" ht="20.45" customHeight="1" x14ac:dyDescent="0.2">
      <c r="B131" s="3828"/>
      <c r="C131" s="1595" t="s">
        <v>366</v>
      </c>
      <c r="D131" s="2417" t="s">
        <v>619</v>
      </c>
      <c r="E131" s="2385">
        <f>3874865446</f>
        <v>3874865446</v>
      </c>
      <c r="F131" s="2385">
        <v>2665000000</v>
      </c>
      <c r="G131" s="2385"/>
      <c r="H131" s="2385">
        <f t="shared" si="30"/>
        <v>3874865446</v>
      </c>
      <c r="I131" s="1531">
        <f t="shared" si="31"/>
        <v>2665000000</v>
      </c>
      <c r="J131" s="2385"/>
      <c r="K131" s="1811">
        <f>'یادداشت 7 دارایییی اصلاحی'!W112</f>
        <v>0</v>
      </c>
      <c r="L131" s="1531">
        <f t="shared" si="32"/>
        <v>-1016000000</v>
      </c>
      <c r="M131" s="2385"/>
      <c r="N131" s="2385">
        <f>-1016000000</f>
        <v>-1016000000</v>
      </c>
      <c r="O131" s="2385"/>
      <c r="P131" s="2385"/>
      <c r="Q131" s="2385"/>
      <c r="R131" s="2385">
        <v>5523865446</v>
      </c>
      <c r="S131" s="2390"/>
      <c r="T131" s="2390"/>
      <c r="U131" s="2365"/>
      <c r="V131" s="2365"/>
      <c r="W131" s="2365"/>
      <c r="AB131" s="2365"/>
      <c r="AC131" s="2365"/>
      <c r="AD131" s="2365"/>
      <c r="AE131" s="2365"/>
      <c r="AF131" s="2365"/>
      <c r="AG131" s="2365"/>
      <c r="AH131" s="2365"/>
      <c r="AI131" s="2365"/>
      <c r="AJ131" s="2365"/>
      <c r="AK131" s="2365"/>
      <c r="AL131" s="2365"/>
      <c r="AN131" s="2382">
        <f t="shared" si="2"/>
        <v>5523865446</v>
      </c>
      <c r="AO131" s="2365">
        <f t="shared" si="3"/>
        <v>0</v>
      </c>
      <c r="AR131" s="2365"/>
      <c r="AS131" s="2365"/>
    </row>
    <row r="132" spans="2:45" s="2415" customFormat="1" ht="20.45" customHeight="1" x14ac:dyDescent="0.2">
      <c r="B132" s="3828"/>
      <c r="C132" s="1762" t="s">
        <v>182</v>
      </c>
      <c r="D132" s="2418" t="s">
        <v>909</v>
      </c>
      <c r="E132" s="2385">
        <f>8812172566-E196</f>
        <v>8536639850</v>
      </c>
      <c r="F132" s="2385"/>
      <c r="G132" s="2385"/>
      <c r="H132" s="2385">
        <f t="shared" si="30"/>
        <v>8536639850</v>
      </c>
      <c r="I132" s="1531">
        <f t="shared" si="31"/>
        <v>3238465008</v>
      </c>
      <c r="J132" s="2385"/>
      <c r="K132" s="1811">
        <f>'یادداشت 7 دارایییی اصلاحی'!W110</f>
        <v>-3238465008</v>
      </c>
      <c r="L132" s="1531">
        <f t="shared" si="32"/>
        <v>-3288578758</v>
      </c>
      <c r="M132" s="2385"/>
      <c r="N132" s="2385">
        <f>-3288578758</f>
        <v>-3288578758</v>
      </c>
      <c r="O132" s="2385"/>
      <c r="P132" s="2385"/>
      <c r="Q132" s="2385"/>
      <c r="R132" s="2385">
        <f>5523593808-R196</f>
        <v>5248061092</v>
      </c>
      <c r="S132" s="2390"/>
      <c r="T132" s="2390"/>
      <c r="U132" s="2365"/>
      <c r="V132" s="2365"/>
      <c r="W132" s="2365"/>
      <c r="Y132" s="1595" t="s">
        <v>746</v>
      </c>
      <c r="Z132" s="2419" t="s">
        <v>745</v>
      </c>
      <c r="AA132" s="2385">
        <v>502980572</v>
      </c>
      <c r="AB132" s="2385"/>
      <c r="AC132" s="2385"/>
      <c r="AD132" s="2385">
        <f>AA132+AC132</f>
        <v>502980572</v>
      </c>
      <c r="AE132" s="1530">
        <f>AB132-AM132-AF132-AG132</f>
        <v>0</v>
      </c>
      <c r="AF132" s="2385"/>
      <c r="AG132" s="1811"/>
      <c r="AH132" s="1530">
        <f>AJ132-AK132</f>
        <v>0</v>
      </c>
      <c r="AI132" s="2385"/>
      <c r="AJ132" s="2385"/>
      <c r="AK132" s="2385"/>
      <c r="AL132" s="2385"/>
      <c r="AM132" s="2385"/>
      <c r="AN132" s="2382">
        <f t="shared" si="2"/>
        <v>5248061092</v>
      </c>
      <c r="AO132" s="2365">
        <f t="shared" si="3"/>
        <v>0</v>
      </c>
      <c r="AR132" s="2365"/>
      <c r="AS132" s="2365"/>
    </row>
    <row r="133" spans="2:45" s="2415" customFormat="1" ht="20.45" customHeight="1" x14ac:dyDescent="0.2">
      <c r="B133" s="3828"/>
      <c r="C133" s="1762" t="s">
        <v>125</v>
      </c>
      <c r="D133" s="2420" t="s">
        <v>539</v>
      </c>
      <c r="E133" s="2385">
        <v>6273052122</v>
      </c>
      <c r="F133" s="2385"/>
      <c r="G133" s="2385"/>
      <c r="H133" s="2385">
        <f t="shared" si="30"/>
        <v>6273052122</v>
      </c>
      <c r="I133" s="1531">
        <f t="shared" si="31"/>
        <v>802757982</v>
      </c>
      <c r="J133" s="2385"/>
      <c r="K133" s="1811">
        <f>'یادداشت 7 دارایییی اصلاحی'!W142</f>
        <v>-802757982</v>
      </c>
      <c r="L133" s="1531">
        <f t="shared" si="32"/>
        <v>-779598992</v>
      </c>
      <c r="M133" s="2385"/>
      <c r="N133" s="2385">
        <f>-779598992</f>
        <v>-779598992</v>
      </c>
      <c r="O133" s="2385"/>
      <c r="P133" s="2385"/>
      <c r="Q133" s="2385"/>
      <c r="R133" s="2385">
        <v>5493453130</v>
      </c>
      <c r="S133" s="2390"/>
      <c r="T133" s="2390"/>
      <c r="U133" s="2365"/>
      <c r="V133" s="2365"/>
      <c r="W133" s="2365"/>
      <c r="Y133" s="2421"/>
      <c r="Z133" s="2422"/>
      <c r="AA133" s="2407"/>
      <c r="AB133" s="2407"/>
      <c r="AC133" s="2407"/>
      <c r="AD133" s="2407"/>
      <c r="AE133" s="2322"/>
      <c r="AF133" s="2407"/>
      <c r="AG133" s="2236"/>
      <c r="AH133" s="2322"/>
      <c r="AI133" s="2407"/>
      <c r="AJ133" s="2407"/>
      <c r="AK133" s="2407"/>
      <c r="AL133" s="2407"/>
      <c r="AM133" s="2407"/>
      <c r="AN133" s="2382">
        <f t="shared" si="2"/>
        <v>5493453130</v>
      </c>
      <c r="AO133" s="2365">
        <f t="shared" si="3"/>
        <v>0</v>
      </c>
      <c r="AR133" s="2365"/>
      <c r="AS133" s="2365"/>
    </row>
    <row r="134" spans="2:45" s="2415" customFormat="1" ht="20.45" customHeight="1" x14ac:dyDescent="0.2">
      <c r="B134" s="3828"/>
      <c r="C134" s="1762" t="s">
        <v>642</v>
      </c>
      <c r="D134" s="2423" t="s">
        <v>631</v>
      </c>
      <c r="E134" s="2385">
        <v>82350316427</v>
      </c>
      <c r="F134" s="2385">
        <v>216447082281</v>
      </c>
      <c r="G134" s="2385"/>
      <c r="H134" s="2385">
        <f t="shared" si="30"/>
        <v>82350316427</v>
      </c>
      <c r="I134" s="1531">
        <f t="shared" si="31"/>
        <v>208573848181</v>
      </c>
      <c r="J134" s="2385"/>
      <c r="K134" s="1811">
        <f>'یادداشت 7 دارایییی اصلاحی'!W173</f>
        <v>8123234100</v>
      </c>
      <c r="L134" s="1531">
        <f t="shared" si="32"/>
        <v>-293837588485</v>
      </c>
      <c r="M134" s="2385"/>
      <c r="N134" s="2385">
        <f>-293837588485</f>
        <v>-293837588485</v>
      </c>
      <c r="O134" s="2385"/>
      <c r="P134" s="2385">
        <f>'پيش پرداخت سرمايه اي يادداشت 6'!P80</f>
        <v>-250000000</v>
      </c>
      <c r="Q134" s="2385"/>
      <c r="R134" s="2385">
        <v>4959809923</v>
      </c>
      <c r="S134" s="2390"/>
      <c r="T134" s="2390"/>
      <c r="U134" s="2365"/>
      <c r="V134" s="2365"/>
      <c r="W134" s="2365"/>
      <c r="AB134" s="2365"/>
      <c r="AC134" s="2365"/>
      <c r="AD134" s="2365"/>
      <c r="AE134" s="2365"/>
      <c r="AF134" s="2365"/>
      <c r="AG134" s="2365"/>
      <c r="AH134" s="2365"/>
      <c r="AI134" s="2365"/>
      <c r="AJ134" s="2365"/>
      <c r="AK134" s="2365"/>
      <c r="AL134" s="2365"/>
      <c r="AN134" s="2382">
        <f t="shared" ref="AN134:AN196" si="33">E134+I134+L134+K134+O134+P134</f>
        <v>4959810223</v>
      </c>
      <c r="AO134" s="2365">
        <f t="shared" ref="AO134:AO196" si="34">R134-AN134</f>
        <v>-300</v>
      </c>
      <c r="AR134" s="2365"/>
      <c r="AS134" s="2365"/>
    </row>
    <row r="135" spans="2:45" s="2415" customFormat="1" ht="20.45" customHeight="1" x14ac:dyDescent="0.2">
      <c r="B135" s="3828"/>
      <c r="C135" s="1762" t="s">
        <v>641</v>
      </c>
      <c r="D135" s="2389" t="s">
        <v>640</v>
      </c>
      <c r="E135" s="1811">
        <v>42115882275</v>
      </c>
      <c r="F135" s="1811">
        <v>116459680614</v>
      </c>
      <c r="G135" s="1811"/>
      <c r="H135" s="2385">
        <f t="shared" si="30"/>
        <v>42115882275</v>
      </c>
      <c r="I135" s="1531">
        <f t="shared" si="31"/>
        <v>130729144736</v>
      </c>
      <c r="J135" s="1811"/>
      <c r="K135" s="1811">
        <f>'یادداشت 7 دارایییی اصلاحی'!W171</f>
        <v>-13919464122</v>
      </c>
      <c r="L135" s="1531">
        <f t="shared" si="32"/>
        <v>-153726368220</v>
      </c>
      <c r="M135" s="1811"/>
      <c r="N135" s="1811">
        <f>-153726368220</f>
        <v>-153726368220</v>
      </c>
      <c r="O135" s="1811"/>
      <c r="P135" s="1811">
        <f>'پيش پرداخت سرمايه اي يادداشت 6'!P67</f>
        <v>-350000000</v>
      </c>
      <c r="Q135" s="1811"/>
      <c r="R135" s="1811">
        <v>4849194669</v>
      </c>
      <c r="S135" s="2390"/>
      <c r="T135" s="2390"/>
      <c r="U135" s="2365"/>
      <c r="V135" s="2365"/>
      <c r="W135" s="2365"/>
      <c r="AB135" s="2365"/>
      <c r="AC135" s="2365"/>
      <c r="AD135" s="2365"/>
      <c r="AE135" s="2365"/>
      <c r="AF135" s="2365"/>
      <c r="AG135" s="2365"/>
      <c r="AH135" s="2365"/>
      <c r="AI135" s="2365"/>
      <c r="AJ135" s="2365"/>
      <c r="AK135" s="2365"/>
      <c r="AL135" s="2365"/>
      <c r="AN135" s="2382">
        <f t="shared" si="33"/>
        <v>4849194669</v>
      </c>
      <c r="AO135" s="2365">
        <f t="shared" si="34"/>
        <v>0</v>
      </c>
      <c r="AR135" s="2365"/>
      <c r="AS135" s="2365"/>
    </row>
    <row r="136" spans="2:45" s="2415" customFormat="1" ht="20.45" customHeight="1" x14ac:dyDescent="0.2">
      <c r="B136" s="3828"/>
      <c r="C136" s="1595" t="s">
        <v>788</v>
      </c>
      <c r="D136" s="2419" t="s">
        <v>683</v>
      </c>
      <c r="E136" s="2385">
        <f>4001183757</f>
        <v>4001183757</v>
      </c>
      <c r="F136" s="2385"/>
      <c r="G136" s="2385"/>
      <c r="H136" s="2385">
        <f t="shared" si="30"/>
        <v>4001183757</v>
      </c>
      <c r="I136" s="1531">
        <f t="shared" si="31"/>
        <v>0</v>
      </c>
      <c r="J136" s="2385"/>
      <c r="K136" s="1811">
        <f>'یادداشت 7 دارایییی اصلاحی'!W291</f>
        <v>0</v>
      </c>
      <c r="L136" s="1531">
        <f t="shared" si="32"/>
        <v>0</v>
      </c>
      <c r="M136" s="2385"/>
      <c r="N136" s="2385"/>
      <c r="O136" s="2385"/>
      <c r="P136" s="2385"/>
      <c r="Q136" s="2385"/>
      <c r="R136" s="2385">
        <v>4001183757</v>
      </c>
      <c r="S136" s="2390"/>
      <c r="T136" s="2390"/>
      <c r="U136" s="2365"/>
      <c r="V136" s="2365"/>
      <c r="W136" s="2365"/>
      <c r="AB136" s="2365"/>
      <c r="AC136" s="2365"/>
      <c r="AD136" s="2365"/>
      <c r="AE136" s="2365"/>
      <c r="AF136" s="2365"/>
      <c r="AG136" s="2365"/>
      <c r="AH136" s="2365"/>
      <c r="AI136" s="2365"/>
      <c r="AJ136" s="2365"/>
      <c r="AK136" s="2365"/>
      <c r="AL136" s="2365"/>
      <c r="AN136" s="2382">
        <f t="shared" si="33"/>
        <v>4001183757</v>
      </c>
      <c r="AO136" s="2365">
        <f t="shared" si="34"/>
        <v>0</v>
      </c>
      <c r="AR136" s="2365"/>
      <c r="AS136" s="2365"/>
    </row>
    <row r="137" spans="2:45" s="2415" customFormat="1" ht="20.45" customHeight="1" x14ac:dyDescent="0.2">
      <c r="B137" s="3828"/>
      <c r="C137" s="2424" t="s">
        <v>77</v>
      </c>
      <c r="D137" s="2425" t="s">
        <v>143</v>
      </c>
      <c r="E137" s="2385">
        <f>3948789475-E197</f>
        <v>3926373670</v>
      </c>
      <c r="F137" s="2385"/>
      <c r="G137" s="2385"/>
      <c r="H137" s="2385">
        <f t="shared" si="30"/>
        <v>3926373670</v>
      </c>
      <c r="I137" s="1531">
        <f t="shared" si="31"/>
        <v>0</v>
      </c>
      <c r="J137" s="2385"/>
      <c r="K137" s="1811">
        <f>'یادداشت 7 دارایییی اصلاحی'!W146</f>
        <v>0</v>
      </c>
      <c r="L137" s="1531">
        <f t="shared" si="32"/>
        <v>0</v>
      </c>
      <c r="M137" s="2385"/>
      <c r="N137" s="2385"/>
      <c r="O137" s="2385"/>
      <c r="P137" s="2385"/>
      <c r="Q137" s="2385"/>
      <c r="R137" s="2385">
        <f>3948789475-R197</f>
        <v>3926373670</v>
      </c>
      <c r="S137" s="2390"/>
      <c r="T137" s="2390"/>
      <c r="U137" s="2365"/>
      <c r="V137" s="2365"/>
      <c r="W137" s="2365"/>
      <c r="AB137" s="2365"/>
      <c r="AC137" s="2365"/>
      <c r="AD137" s="2365"/>
      <c r="AE137" s="2365"/>
      <c r="AF137" s="2365"/>
      <c r="AG137" s="2365"/>
      <c r="AH137" s="2365"/>
      <c r="AI137" s="2365"/>
      <c r="AJ137" s="2365"/>
      <c r="AK137" s="2365"/>
      <c r="AL137" s="2365"/>
      <c r="AN137" s="2382">
        <f t="shared" si="33"/>
        <v>3926373670</v>
      </c>
      <c r="AO137" s="2365">
        <f t="shared" si="34"/>
        <v>0</v>
      </c>
      <c r="AR137" s="2365"/>
      <c r="AS137" s="2365"/>
    </row>
    <row r="138" spans="2:45" s="2415" customFormat="1" ht="20.45" customHeight="1" x14ac:dyDescent="0.2">
      <c r="B138" s="3828"/>
      <c r="C138" s="2426" t="s">
        <v>104</v>
      </c>
      <c r="D138" s="2427" t="s">
        <v>331</v>
      </c>
      <c r="E138" s="1531">
        <v>4109839982</v>
      </c>
      <c r="F138" s="1531">
        <v>1348700131</v>
      </c>
      <c r="G138" s="1531"/>
      <c r="H138" s="2385">
        <f t="shared" si="30"/>
        <v>4109839982</v>
      </c>
      <c r="I138" s="1531">
        <f t="shared" si="31"/>
        <v>1623380252</v>
      </c>
      <c r="J138" s="1531"/>
      <c r="K138" s="1531">
        <f>'یادداشت 7 دارایییی اصلاحی'!W47</f>
        <v>-274680121</v>
      </c>
      <c r="L138" s="1531">
        <f t="shared" si="32"/>
        <v>-1578858505</v>
      </c>
      <c r="M138" s="1531"/>
      <c r="N138" s="1531">
        <f>-1578858505</f>
        <v>-1578858505</v>
      </c>
      <c r="O138" s="1531"/>
      <c r="P138" s="1531"/>
      <c r="Q138" s="1531"/>
      <c r="R138" s="1531">
        <v>3879681608</v>
      </c>
      <c r="S138" s="2390"/>
      <c r="T138" s="2390"/>
      <c r="U138" s="2365"/>
      <c r="V138" s="2365"/>
      <c r="W138" s="2365"/>
      <c r="AB138" s="2365"/>
      <c r="AC138" s="2365"/>
      <c r="AD138" s="2365"/>
      <c r="AE138" s="2365"/>
      <c r="AF138" s="2365"/>
      <c r="AG138" s="2365"/>
      <c r="AH138" s="2365"/>
      <c r="AI138" s="2365"/>
      <c r="AJ138" s="2365"/>
      <c r="AK138" s="2365"/>
      <c r="AL138" s="2365"/>
      <c r="AN138" s="2382">
        <f t="shared" si="33"/>
        <v>3879681608</v>
      </c>
      <c r="AO138" s="2365">
        <f t="shared" si="34"/>
        <v>0</v>
      </c>
      <c r="AR138" s="2365"/>
      <c r="AS138" s="2365"/>
    </row>
    <row r="139" spans="2:45" s="2415" customFormat="1" ht="20.45" customHeight="1" x14ac:dyDescent="0.4">
      <c r="B139" s="3828"/>
      <c r="C139" s="1806" t="s">
        <v>2071</v>
      </c>
      <c r="D139" s="2305" t="s">
        <v>2048</v>
      </c>
      <c r="E139" s="1531"/>
      <c r="F139" s="1531">
        <v>18112296297</v>
      </c>
      <c r="G139" s="1531"/>
      <c r="H139" s="2385">
        <f t="shared" si="30"/>
        <v>0</v>
      </c>
      <c r="I139" s="1531">
        <f t="shared" si="31"/>
        <v>18112296297</v>
      </c>
      <c r="J139" s="1531"/>
      <c r="K139" s="1531">
        <f>'یادداشت 7 دارایییی اصلاحی'!W383</f>
        <v>0</v>
      </c>
      <c r="L139" s="1531">
        <f t="shared" si="32"/>
        <v>-14424481481</v>
      </c>
      <c r="M139" s="1531"/>
      <c r="N139" s="1531">
        <f>-14424481481</f>
        <v>-14424481481</v>
      </c>
      <c r="O139" s="1531"/>
      <c r="P139" s="1531"/>
      <c r="Q139" s="1531"/>
      <c r="R139" s="1531">
        <v>3687814816</v>
      </c>
      <c r="S139" s="2390"/>
      <c r="T139" s="2390"/>
      <c r="U139" s="2365"/>
      <c r="V139" s="2365"/>
      <c r="W139" s="2365"/>
      <c r="AB139" s="2365"/>
      <c r="AC139" s="2365"/>
      <c r="AD139" s="2365"/>
      <c r="AE139" s="2365"/>
      <c r="AF139" s="2365"/>
      <c r="AG139" s="2365"/>
      <c r="AH139" s="2365"/>
      <c r="AI139" s="2365"/>
      <c r="AJ139" s="2365"/>
      <c r="AK139" s="2365"/>
      <c r="AL139" s="2365"/>
      <c r="AN139" s="2382">
        <f t="shared" si="33"/>
        <v>3687814816</v>
      </c>
      <c r="AO139" s="2365">
        <f t="shared" si="34"/>
        <v>0</v>
      </c>
      <c r="AR139" s="2365"/>
      <c r="AS139" s="2365"/>
    </row>
    <row r="140" spans="2:45" s="2415" customFormat="1" ht="20.45" customHeight="1" x14ac:dyDescent="0.2">
      <c r="B140" s="3828"/>
      <c r="C140" s="2426" t="s">
        <v>90</v>
      </c>
      <c r="D140" s="2428" t="s">
        <v>91</v>
      </c>
      <c r="E140" s="2385">
        <v>2783222847</v>
      </c>
      <c r="F140" s="2385"/>
      <c r="G140" s="2385"/>
      <c r="H140" s="2385">
        <f t="shared" si="30"/>
        <v>2783222847</v>
      </c>
      <c r="I140" s="1531">
        <f t="shared" si="31"/>
        <v>0</v>
      </c>
      <c r="J140" s="2385"/>
      <c r="K140" s="1811">
        <f>'یادداشت 7 دارایییی اصلاحی'!W27</f>
        <v>0</v>
      </c>
      <c r="L140" s="1531">
        <f t="shared" si="32"/>
        <v>0</v>
      </c>
      <c r="M140" s="2385"/>
      <c r="N140" s="2385"/>
      <c r="O140" s="2385"/>
      <c r="P140" s="2385"/>
      <c r="Q140" s="2385"/>
      <c r="R140" s="2385">
        <v>2783222847</v>
      </c>
      <c r="S140" s="2390"/>
      <c r="T140" s="2390"/>
      <c r="U140" s="2365"/>
      <c r="V140" s="2365"/>
      <c r="W140" s="2365"/>
      <c r="AB140" s="2365"/>
      <c r="AC140" s="2365"/>
      <c r="AD140" s="2365"/>
      <c r="AE140" s="2365"/>
      <c r="AF140" s="2365"/>
      <c r="AG140" s="2365"/>
      <c r="AH140" s="2365"/>
      <c r="AI140" s="2365"/>
      <c r="AJ140" s="2365"/>
      <c r="AK140" s="2365"/>
      <c r="AL140" s="2365"/>
      <c r="AN140" s="2382">
        <f t="shared" si="33"/>
        <v>2783222847</v>
      </c>
      <c r="AO140" s="2365">
        <f t="shared" si="34"/>
        <v>0</v>
      </c>
      <c r="AR140" s="2365"/>
      <c r="AS140" s="2365"/>
    </row>
    <row r="141" spans="2:45" s="2415" customFormat="1" ht="20.45" customHeight="1" x14ac:dyDescent="0.2">
      <c r="B141" s="3828"/>
      <c r="C141" s="1595" t="s">
        <v>170</v>
      </c>
      <c r="D141" s="2419" t="s">
        <v>941</v>
      </c>
      <c r="E141" s="2385">
        <v>2589825602</v>
      </c>
      <c r="F141" s="2385"/>
      <c r="G141" s="2385"/>
      <c r="H141" s="2385">
        <f t="shared" si="30"/>
        <v>2589825602</v>
      </c>
      <c r="I141" s="1531">
        <f t="shared" si="31"/>
        <v>0</v>
      </c>
      <c r="J141" s="2385"/>
      <c r="K141" s="1811">
        <f>'یادداشت 7 دارایییی اصلاحی'!W119</f>
        <v>0</v>
      </c>
      <c r="L141" s="1531">
        <f t="shared" si="32"/>
        <v>0</v>
      </c>
      <c r="M141" s="2385"/>
      <c r="N141" s="2385"/>
      <c r="O141" s="2385"/>
      <c r="P141" s="2385"/>
      <c r="Q141" s="2385"/>
      <c r="R141" s="2385">
        <v>2589825602</v>
      </c>
      <c r="S141" s="2390"/>
      <c r="T141" s="2390"/>
      <c r="U141" s="2365"/>
      <c r="V141" s="2365"/>
      <c r="W141" s="2365"/>
      <c r="AB141" s="2365"/>
      <c r="AC141" s="2365"/>
      <c r="AD141" s="2365"/>
      <c r="AE141" s="2365"/>
      <c r="AF141" s="2365"/>
      <c r="AG141" s="2365"/>
      <c r="AH141" s="2365"/>
      <c r="AI141" s="2365"/>
      <c r="AJ141" s="2365"/>
      <c r="AK141" s="2365"/>
      <c r="AL141" s="2365"/>
      <c r="AN141" s="2382">
        <f t="shared" si="33"/>
        <v>2589825602</v>
      </c>
      <c r="AO141" s="2365">
        <f t="shared" si="34"/>
        <v>0</v>
      </c>
      <c r="AR141" s="2365"/>
      <c r="AS141" s="2365"/>
    </row>
    <row r="142" spans="2:45" s="2415" customFormat="1" ht="20.45" customHeight="1" x14ac:dyDescent="0.2">
      <c r="B142" s="3828"/>
      <c r="C142" s="1762" t="s">
        <v>1083</v>
      </c>
      <c r="D142" s="2429" t="s">
        <v>1082</v>
      </c>
      <c r="E142" s="1811">
        <f>8528000000-E209</f>
        <v>7624677061</v>
      </c>
      <c r="F142" s="1811">
        <v>271045937577</v>
      </c>
      <c r="G142" s="1811"/>
      <c r="H142" s="2385">
        <f t="shared" si="30"/>
        <v>7624677061</v>
      </c>
      <c r="I142" s="1531">
        <f t="shared" si="31"/>
        <v>255697252457</v>
      </c>
      <c r="J142" s="1811"/>
      <c r="K142" s="1811">
        <f>'یادداشت 7 دارایییی اصلاحی'!W350</f>
        <v>15348685120</v>
      </c>
      <c r="L142" s="1531">
        <f t="shared" si="32"/>
        <v>-277103305146</v>
      </c>
      <c r="M142" s="1811"/>
      <c r="N142" s="1811">
        <f>-277103305146</f>
        <v>-277103305146</v>
      </c>
      <c r="O142" s="1811"/>
      <c r="P142" s="1811"/>
      <c r="Q142" s="1811"/>
      <c r="R142" s="1811">
        <f>2470632431-R209</f>
        <v>1567309492</v>
      </c>
      <c r="S142" s="2390"/>
      <c r="T142" s="2390"/>
      <c r="U142" s="2365"/>
      <c r="V142" s="2365"/>
      <c r="W142" s="2365"/>
      <c r="AB142" s="2365"/>
      <c r="AC142" s="2365"/>
      <c r="AD142" s="2365"/>
      <c r="AE142" s="2365"/>
      <c r="AF142" s="2365"/>
      <c r="AG142" s="2365"/>
      <c r="AH142" s="2365"/>
      <c r="AI142" s="2365"/>
      <c r="AJ142" s="2365"/>
      <c r="AK142" s="2365"/>
      <c r="AL142" s="2365"/>
      <c r="AN142" s="2382">
        <f t="shared" si="33"/>
        <v>1567309492</v>
      </c>
      <c r="AO142" s="2365">
        <f t="shared" si="34"/>
        <v>0</v>
      </c>
      <c r="AR142" s="2365"/>
      <c r="AS142" s="2365"/>
    </row>
    <row r="143" spans="2:45" s="2415" customFormat="1" ht="20.45" customHeight="1" x14ac:dyDescent="0.2">
      <c r="B143" s="3828"/>
      <c r="C143" s="1595" t="s">
        <v>639</v>
      </c>
      <c r="D143" s="2419" t="s">
        <v>638</v>
      </c>
      <c r="E143" s="2385">
        <v>2434567617</v>
      </c>
      <c r="F143" s="2385"/>
      <c r="G143" s="2385"/>
      <c r="H143" s="2385">
        <f t="shared" si="30"/>
        <v>2434567617</v>
      </c>
      <c r="I143" s="1531">
        <f t="shared" si="31"/>
        <v>0</v>
      </c>
      <c r="J143" s="2385"/>
      <c r="K143" s="1811"/>
      <c r="L143" s="1531">
        <f t="shared" si="32"/>
        <v>0</v>
      </c>
      <c r="M143" s="2385"/>
      <c r="N143" s="2385"/>
      <c r="O143" s="2385"/>
      <c r="P143" s="2385"/>
      <c r="Q143" s="2385"/>
      <c r="R143" s="2385">
        <f>2434567617</f>
        <v>2434567617</v>
      </c>
      <c r="S143" s="2390"/>
      <c r="T143" s="2390"/>
      <c r="U143" s="2365"/>
      <c r="V143" s="2365"/>
      <c r="W143" s="2365"/>
      <c r="AB143" s="2365"/>
      <c r="AC143" s="2365"/>
      <c r="AD143" s="2365"/>
      <c r="AE143" s="2365"/>
      <c r="AF143" s="2365"/>
      <c r="AG143" s="2365"/>
      <c r="AH143" s="2365"/>
      <c r="AI143" s="2365"/>
      <c r="AJ143" s="2365"/>
      <c r="AK143" s="2365"/>
      <c r="AL143" s="2365"/>
      <c r="AN143" s="2382">
        <f t="shared" si="33"/>
        <v>2434567617</v>
      </c>
      <c r="AO143" s="2365">
        <f t="shared" si="34"/>
        <v>0</v>
      </c>
      <c r="AR143" s="2365"/>
      <c r="AS143" s="2365"/>
    </row>
    <row r="144" spans="2:45" s="2415" customFormat="1" ht="20.45" customHeight="1" x14ac:dyDescent="0.2">
      <c r="B144" s="3828"/>
      <c r="C144" s="2426" t="s">
        <v>206</v>
      </c>
      <c r="D144" s="2427" t="s">
        <v>207</v>
      </c>
      <c r="E144" s="2385">
        <v>2683600016</v>
      </c>
      <c r="F144" s="2385">
        <v>110796178</v>
      </c>
      <c r="G144" s="2385"/>
      <c r="H144" s="2385">
        <f t="shared" si="30"/>
        <v>2683600016</v>
      </c>
      <c r="I144" s="1531">
        <f t="shared" si="31"/>
        <v>918387530</v>
      </c>
      <c r="J144" s="2385"/>
      <c r="K144" s="1811">
        <f>'یادداشت 7 دارایییی اصلاحی'!W42</f>
        <v>-807591352</v>
      </c>
      <c r="L144" s="1531">
        <f t="shared" si="32"/>
        <v>-618634668</v>
      </c>
      <c r="M144" s="2385"/>
      <c r="N144" s="2385">
        <f>-618634668</f>
        <v>-618634668</v>
      </c>
      <c r="O144" s="2385"/>
      <c r="P144" s="2385"/>
      <c r="Q144" s="2385"/>
      <c r="R144" s="2385">
        <v>2175761526</v>
      </c>
      <c r="S144" s="2390"/>
      <c r="T144" s="2390"/>
      <c r="U144" s="2365"/>
      <c r="V144" s="2365"/>
      <c r="W144" s="2365"/>
      <c r="AB144" s="2365"/>
      <c r="AC144" s="2365"/>
      <c r="AD144" s="2365"/>
      <c r="AE144" s="2365"/>
      <c r="AF144" s="2365"/>
      <c r="AG144" s="2365"/>
      <c r="AH144" s="2365"/>
      <c r="AI144" s="2365"/>
      <c r="AJ144" s="2365"/>
      <c r="AK144" s="2365"/>
      <c r="AL144" s="2365"/>
      <c r="AN144" s="2382">
        <f t="shared" si="33"/>
        <v>2175761526</v>
      </c>
      <c r="AO144" s="2365">
        <f t="shared" si="34"/>
        <v>0</v>
      </c>
      <c r="AR144" s="2365"/>
      <c r="AS144" s="2365"/>
    </row>
    <row r="145" spans="1:45" s="2415" customFormat="1" ht="20.45" customHeight="1" x14ac:dyDescent="0.4">
      <c r="B145" s="3828"/>
      <c r="C145" s="1800" t="s">
        <v>2064</v>
      </c>
      <c r="D145" s="1808" t="s">
        <v>2042</v>
      </c>
      <c r="E145" s="1531"/>
      <c r="F145" s="1531">
        <v>2233479008</v>
      </c>
      <c r="G145" s="1531"/>
      <c r="H145" s="2385">
        <f t="shared" si="30"/>
        <v>0</v>
      </c>
      <c r="I145" s="1531">
        <f t="shared" si="31"/>
        <v>2233479008</v>
      </c>
      <c r="J145" s="1531"/>
      <c r="K145" s="1531">
        <f>'یادداشت 7 دارایییی اصلاحی'!W390</f>
        <v>0</v>
      </c>
      <c r="L145" s="1531">
        <f t="shared" si="32"/>
        <v>-453641838</v>
      </c>
      <c r="M145" s="1531"/>
      <c r="N145" s="1531">
        <f>-453641838</f>
        <v>-453641838</v>
      </c>
      <c r="O145" s="1531"/>
      <c r="P145" s="1531"/>
      <c r="Q145" s="1531"/>
      <c r="R145" s="1531">
        <v>1779837170</v>
      </c>
      <c r="S145" s="2390"/>
      <c r="T145" s="2390"/>
      <c r="U145" s="2365"/>
      <c r="V145" s="2365"/>
      <c r="W145" s="2365"/>
      <c r="AB145" s="2365"/>
      <c r="AC145" s="2365"/>
      <c r="AD145" s="2365"/>
      <c r="AE145" s="2365"/>
      <c r="AF145" s="2365"/>
      <c r="AG145" s="2365"/>
      <c r="AH145" s="2365"/>
      <c r="AI145" s="2365"/>
      <c r="AJ145" s="2365"/>
      <c r="AK145" s="2365"/>
      <c r="AL145" s="2365"/>
      <c r="AN145" s="2382">
        <f t="shared" si="33"/>
        <v>1779837170</v>
      </c>
      <c r="AO145" s="2365">
        <f t="shared" si="34"/>
        <v>0</v>
      </c>
      <c r="AR145" s="2365"/>
      <c r="AS145" s="2365"/>
    </row>
    <row r="146" spans="1:45" s="2415" customFormat="1" ht="20.45" customHeight="1" x14ac:dyDescent="0.2">
      <c r="B146" s="3828"/>
      <c r="C146" s="2430" t="s">
        <v>107</v>
      </c>
      <c r="D146" s="2431" t="s">
        <v>108</v>
      </c>
      <c r="E146" s="2385">
        <v>1761549690</v>
      </c>
      <c r="F146" s="2385"/>
      <c r="G146" s="2385"/>
      <c r="H146" s="2385">
        <f t="shared" si="30"/>
        <v>1761549690</v>
      </c>
      <c r="I146" s="1531">
        <f t="shared" si="31"/>
        <v>0</v>
      </c>
      <c r="J146" s="2385"/>
      <c r="K146" s="1811">
        <f>'یادداشت 7 دارایییی اصلاحی'!W51</f>
        <v>0</v>
      </c>
      <c r="L146" s="1531">
        <f t="shared" si="32"/>
        <v>0</v>
      </c>
      <c r="M146" s="2385"/>
      <c r="N146" s="2385"/>
      <c r="O146" s="2385"/>
      <c r="P146" s="2385"/>
      <c r="Q146" s="2385"/>
      <c r="R146" s="2385">
        <v>1761549690</v>
      </c>
      <c r="S146" s="2390"/>
      <c r="T146" s="2390"/>
      <c r="U146" s="2365"/>
      <c r="V146" s="2365"/>
      <c r="W146" s="2365"/>
      <c r="AB146" s="2365"/>
      <c r="AC146" s="2365"/>
      <c r="AD146" s="2365"/>
      <c r="AE146" s="2365"/>
      <c r="AF146" s="2365"/>
      <c r="AG146" s="2365"/>
      <c r="AH146" s="2365"/>
      <c r="AI146" s="2365"/>
      <c r="AJ146" s="2365"/>
      <c r="AK146" s="2365"/>
      <c r="AL146" s="2365"/>
      <c r="AN146" s="2382">
        <f t="shared" si="33"/>
        <v>1761549690</v>
      </c>
      <c r="AO146" s="2365">
        <f t="shared" si="34"/>
        <v>0</v>
      </c>
      <c r="AR146" s="2365"/>
      <c r="AS146" s="2365"/>
    </row>
    <row r="147" spans="1:45" s="2415" customFormat="1" ht="20.45" customHeight="1" x14ac:dyDescent="0.4">
      <c r="B147" s="3828"/>
      <c r="C147" s="1762" t="s">
        <v>2054</v>
      </c>
      <c r="D147" s="1809" t="s">
        <v>2032</v>
      </c>
      <c r="E147" s="1531"/>
      <c r="F147" s="1531">
        <v>4477885618</v>
      </c>
      <c r="G147" s="1531"/>
      <c r="H147" s="2385">
        <f t="shared" si="30"/>
        <v>0</v>
      </c>
      <c r="I147" s="1531">
        <f t="shared" si="31"/>
        <v>4477885618</v>
      </c>
      <c r="J147" s="1531"/>
      <c r="K147" s="1531">
        <f>'یادداشت 7 دارایییی اصلاحی'!W387</f>
        <v>0</v>
      </c>
      <c r="L147" s="1531">
        <f t="shared" si="32"/>
        <v>-2847326213</v>
      </c>
      <c r="M147" s="1531"/>
      <c r="N147" s="1531">
        <f>-2847326213</f>
        <v>-2847326213</v>
      </c>
      <c r="O147" s="1531"/>
      <c r="P147" s="1531"/>
      <c r="Q147" s="1531"/>
      <c r="R147" s="1531">
        <v>1630559405</v>
      </c>
      <c r="S147" s="2390"/>
      <c r="T147" s="2390"/>
      <c r="U147" s="2365"/>
      <c r="V147" s="2365"/>
      <c r="W147" s="2365"/>
      <c r="AB147" s="2365"/>
      <c r="AC147" s="2365"/>
      <c r="AD147" s="2365"/>
      <c r="AE147" s="2365"/>
      <c r="AF147" s="2365"/>
      <c r="AG147" s="2365"/>
      <c r="AH147" s="2365"/>
      <c r="AI147" s="2365"/>
      <c r="AJ147" s="2365"/>
      <c r="AK147" s="2365"/>
      <c r="AL147" s="2365"/>
      <c r="AN147" s="2382">
        <f t="shared" si="33"/>
        <v>1630559405</v>
      </c>
      <c r="AO147" s="2365">
        <f t="shared" si="34"/>
        <v>0</v>
      </c>
      <c r="AR147" s="2365"/>
      <c r="AS147" s="2365"/>
    </row>
    <row r="148" spans="1:45" s="2415" customFormat="1" ht="20.45" customHeight="1" x14ac:dyDescent="0.2">
      <c r="B148" s="3829"/>
      <c r="C148" s="1595" t="s">
        <v>964</v>
      </c>
      <c r="D148" s="2432" t="s">
        <v>678</v>
      </c>
      <c r="E148" s="2385">
        <v>1527070605</v>
      </c>
      <c r="F148" s="2385"/>
      <c r="G148" s="2385"/>
      <c r="H148" s="2385">
        <f t="shared" si="30"/>
        <v>1527070605</v>
      </c>
      <c r="I148" s="1531">
        <f t="shared" si="31"/>
        <v>0</v>
      </c>
      <c r="J148" s="2385"/>
      <c r="K148" s="1811">
        <f>'یادداشت 7 دارایییی اصلاحی'!W224</f>
        <v>0</v>
      </c>
      <c r="L148" s="1531">
        <f t="shared" si="32"/>
        <v>0</v>
      </c>
      <c r="M148" s="2385"/>
      <c r="N148" s="2385"/>
      <c r="O148" s="2385"/>
      <c r="P148" s="2385"/>
      <c r="Q148" s="2385"/>
      <c r="R148" s="2385">
        <v>1527070605</v>
      </c>
      <c r="S148" s="2390"/>
      <c r="T148" s="2390"/>
      <c r="U148" s="2365"/>
      <c r="V148" s="2365"/>
      <c r="W148" s="2365"/>
      <c r="AB148" s="2365"/>
      <c r="AC148" s="2365"/>
      <c r="AD148" s="2365"/>
      <c r="AE148" s="2365"/>
      <c r="AF148" s="2365"/>
      <c r="AG148" s="2365"/>
      <c r="AH148" s="2365"/>
      <c r="AI148" s="2365"/>
      <c r="AJ148" s="2365"/>
      <c r="AK148" s="2365"/>
      <c r="AL148" s="2365"/>
      <c r="AN148" s="2382">
        <f t="shared" si="33"/>
        <v>1527070605</v>
      </c>
      <c r="AO148" s="2365">
        <f t="shared" si="34"/>
        <v>0</v>
      </c>
      <c r="AR148" s="2365"/>
      <c r="AS148" s="2365"/>
    </row>
    <row r="149" spans="1:45" ht="20.45" customHeight="1" x14ac:dyDescent="0.2">
      <c r="B149" s="3399" t="s">
        <v>94</v>
      </c>
      <c r="C149" s="3821"/>
      <c r="D149" s="3400"/>
      <c r="E149" s="2385">
        <f>SUM(E129:E148)</f>
        <v>6882630578733</v>
      </c>
      <c r="F149" s="2385">
        <f t="shared" ref="F149:R149" si="35">SUM(F129:F148)</f>
        <v>23542345582294</v>
      </c>
      <c r="G149" s="2385">
        <f t="shared" si="35"/>
        <v>0</v>
      </c>
      <c r="H149" s="2385">
        <f t="shared" si="35"/>
        <v>6882630578733</v>
      </c>
      <c r="I149" s="2385">
        <f t="shared" si="35"/>
        <v>22505408609074</v>
      </c>
      <c r="J149" s="2385">
        <f t="shared" si="35"/>
        <v>0</v>
      </c>
      <c r="K149" s="2385">
        <f t="shared" si="35"/>
        <v>1142556671102</v>
      </c>
      <c r="L149" s="2385">
        <f t="shared" si="35"/>
        <v>-22042254213698</v>
      </c>
      <c r="M149" s="2385">
        <f t="shared" si="35"/>
        <v>0</v>
      </c>
      <c r="N149" s="2385">
        <f t="shared" si="35"/>
        <v>-22042254213698</v>
      </c>
      <c r="O149" s="2385">
        <f t="shared" si="35"/>
        <v>-35356171773</v>
      </c>
      <c r="P149" s="2385">
        <f t="shared" si="35"/>
        <v>-70263526109</v>
      </c>
      <c r="Q149" s="2385">
        <f t="shared" si="35"/>
        <v>0</v>
      </c>
      <c r="R149" s="2385">
        <f t="shared" si="35"/>
        <v>8382721947029</v>
      </c>
      <c r="S149" s="2433"/>
      <c r="T149" s="2390"/>
      <c r="U149" s="2365">
        <f t="shared" ref="U149:U158" si="36">E149+I149+K149+L149+O149+P149+Q149</f>
        <v>8382721947329</v>
      </c>
      <c r="V149" s="2365">
        <f t="shared" ref="V149:V158" si="37">R149-U149</f>
        <v>-300</v>
      </c>
      <c r="AB149" s="2365">
        <f t="shared" ref="AB149:AB158" si="38">I149+J149+L149+Q149+P149+O149+E149+K149</f>
        <v>8382721947329</v>
      </c>
      <c r="AC149" s="2365">
        <f t="shared" ref="AC149:AC158" si="39">R149-AB149</f>
        <v>-300</v>
      </c>
      <c r="AE149" s="2365">
        <f t="shared" ref="AE149:AE155" si="40">E149+G149+I149+K149+L149+O149+P149+Q149</f>
        <v>8382721947329</v>
      </c>
      <c r="AF149" s="2365">
        <f t="shared" ref="AF149:AF158" si="41">R149-AE149</f>
        <v>-300</v>
      </c>
      <c r="AG149" s="2365">
        <f t="shared" ref="AG149:AG158" si="42">F149-G149-Q149</f>
        <v>23542345582294</v>
      </c>
      <c r="AH149" s="2365">
        <f t="shared" ref="AH149:AH158" si="43">E149+G149+I149+K149+L149+O149+P149+Q149</f>
        <v>8382721947329</v>
      </c>
      <c r="AI149" s="2365">
        <f t="shared" ref="AI149:AI158" si="44">R149-AH149</f>
        <v>-300</v>
      </c>
      <c r="AJ149" s="2365">
        <f t="shared" ref="AJ149:AJ158" si="45">I149-AG149</f>
        <v>-1036936973220</v>
      </c>
      <c r="AK149" s="2365">
        <f t="shared" ref="AK149:AK158" si="46">N149-K149-O149-P149</f>
        <v>-23079191186918</v>
      </c>
      <c r="AL149" s="2365">
        <f t="shared" ref="AL149:AL158" si="47">L149-AK149</f>
        <v>1036936973220</v>
      </c>
      <c r="AN149" s="2382">
        <f t="shared" si="33"/>
        <v>8382721947329</v>
      </c>
      <c r="AO149" s="2365">
        <f t="shared" si="34"/>
        <v>-300</v>
      </c>
      <c r="AR149" s="2365">
        <f t="shared" ref="AR149:AR155" si="48">E149+I149+K149+L149+O149+P149+Q149</f>
        <v>8382721947329</v>
      </c>
      <c r="AS149" s="2365">
        <f t="shared" ref="AS149:AS155" si="49">R149-AR149</f>
        <v>-300</v>
      </c>
    </row>
    <row r="150" spans="1:45" ht="19.899999999999999" customHeight="1" x14ac:dyDescent="0.2">
      <c r="A150" s="2415"/>
      <c r="B150" s="2399"/>
      <c r="C150" s="3798" t="s">
        <v>2275</v>
      </c>
      <c r="D150" s="3798"/>
      <c r="E150" s="3798"/>
      <c r="F150" s="3798"/>
      <c r="G150" s="3798"/>
      <c r="H150" s="3798"/>
      <c r="I150" s="3798"/>
      <c r="J150" s="3798"/>
      <c r="K150" s="3798"/>
      <c r="L150" s="3798"/>
      <c r="M150" s="3798"/>
      <c r="N150" s="3798"/>
      <c r="O150" s="3798"/>
      <c r="P150" s="3798"/>
      <c r="Q150" s="3798"/>
      <c r="R150" s="3798"/>
      <c r="S150" s="2416"/>
      <c r="T150" s="2390"/>
      <c r="U150" s="2365">
        <f t="shared" si="36"/>
        <v>0</v>
      </c>
      <c r="V150" s="2365">
        <f t="shared" si="37"/>
        <v>0</v>
      </c>
      <c r="AB150" s="2365">
        <f t="shared" si="38"/>
        <v>0</v>
      </c>
      <c r="AC150" s="2365">
        <f t="shared" si="39"/>
        <v>0</v>
      </c>
      <c r="AE150" s="2365">
        <f t="shared" si="40"/>
        <v>0</v>
      </c>
      <c r="AF150" s="2365">
        <f t="shared" si="41"/>
        <v>0</v>
      </c>
      <c r="AG150" s="2365">
        <f t="shared" si="42"/>
        <v>0</v>
      </c>
      <c r="AH150" s="2365">
        <f t="shared" si="43"/>
        <v>0</v>
      </c>
      <c r="AI150" s="2365">
        <f t="shared" si="44"/>
        <v>0</v>
      </c>
      <c r="AJ150" s="2365">
        <f t="shared" si="45"/>
        <v>0</v>
      </c>
      <c r="AK150" s="2365">
        <f t="shared" si="46"/>
        <v>0</v>
      </c>
      <c r="AL150" s="2365">
        <f t="shared" si="47"/>
        <v>0</v>
      </c>
      <c r="AN150" s="2382">
        <f t="shared" si="33"/>
        <v>0</v>
      </c>
      <c r="AO150" s="2365">
        <f t="shared" si="34"/>
        <v>0</v>
      </c>
      <c r="AR150" s="2365">
        <f t="shared" si="48"/>
        <v>0</v>
      </c>
      <c r="AS150" s="2365">
        <f t="shared" si="49"/>
        <v>0</v>
      </c>
    </row>
    <row r="151" spans="1:45" ht="19.899999999999999" customHeight="1" x14ac:dyDescent="0.2">
      <c r="B151" s="3574" t="s">
        <v>32</v>
      </c>
      <c r="C151" s="3574"/>
      <c r="D151" s="3574"/>
      <c r="E151" s="3574"/>
      <c r="F151" s="3574"/>
      <c r="G151" s="3574"/>
      <c r="H151" s="3574"/>
      <c r="I151" s="3574"/>
      <c r="J151" s="3574"/>
      <c r="K151" s="3574"/>
      <c r="L151" s="3574"/>
      <c r="M151" s="3574"/>
      <c r="N151" s="3574"/>
      <c r="O151" s="3574"/>
      <c r="P151" s="3574"/>
      <c r="Q151" s="3574"/>
      <c r="R151" s="3574"/>
      <c r="S151" s="2364"/>
      <c r="T151" s="2390"/>
      <c r="U151" s="2365">
        <f t="shared" si="36"/>
        <v>0</v>
      </c>
      <c r="V151" s="2365">
        <f t="shared" si="37"/>
        <v>0</v>
      </c>
      <c r="AB151" s="2365">
        <f t="shared" si="38"/>
        <v>0</v>
      </c>
      <c r="AC151" s="2365">
        <f t="shared" si="39"/>
        <v>0</v>
      </c>
      <c r="AE151" s="2365">
        <f t="shared" si="40"/>
        <v>0</v>
      </c>
      <c r="AF151" s="2365">
        <f t="shared" si="41"/>
        <v>0</v>
      </c>
      <c r="AG151" s="2365">
        <f t="shared" si="42"/>
        <v>0</v>
      </c>
      <c r="AH151" s="2365">
        <f t="shared" si="43"/>
        <v>0</v>
      </c>
      <c r="AI151" s="2365">
        <f t="shared" si="44"/>
        <v>0</v>
      </c>
      <c r="AJ151" s="2365">
        <f t="shared" si="45"/>
        <v>0</v>
      </c>
      <c r="AK151" s="2365">
        <f t="shared" si="46"/>
        <v>0</v>
      </c>
      <c r="AL151" s="2365">
        <f t="shared" si="47"/>
        <v>0</v>
      </c>
      <c r="AN151" s="2382">
        <f t="shared" si="33"/>
        <v>0</v>
      </c>
      <c r="AO151" s="2365">
        <f t="shared" si="34"/>
        <v>0</v>
      </c>
      <c r="AR151" s="2365">
        <f t="shared" si="48"/>
        <v>0</v>
      </c>
      <c r="AS151" s="2365">
        <f t="shared" si="49"/>
        <v>0</v>
      </c>
    </row>
    <row r="152" spans="1:45" ht="19.899999999999999" customHeight="1" x14ac:dyDescent="0.2">
      <c r="B152" s="3574" t="s">
        <v>45</v>
      </c>
      <c r="C152" s="3574"/>
      <c r="D152" s="3574"/>
      <c r="E152" s="3574"/>
      <c r="F152" s="3574"/>
      <c r="G152" s="3574"/>
      <c r="H152" s="3574"/>
      <c r="I152" s="3574"/>
      <c r="J152" s="3574"/>
      <c r="K152" s="3574"/>
      <c r="L152" s="3574"/>
      <c r="M152" s="3574"/>
      <c r="N152" s="3574"/>
      <c r="O152" s="3574"/>
      <c r="P152" s="3574"/>
      <c r="Q152" s="3574"/>
      <c r="R152" s="3574"/>
      <c r="S152" s="2364"/>
      <c r="T152" s="2390"/>
      <c r="U152" s="2365">
        <f t="shared" si="36"/>
        <v>0</v>
      </c>
      <c r="V152" s="2365">
        <f t="shared" si="37"/>
        <v>0</v>
      </c>
      <c r="AB152" s="2365">
        <f t="shared" si="38"/>
        <v>0</v>
      </c>
      <c r="AC152" s="2365">
        <f t="shared" si="39"/>
        <v>0</v>
      </c>
      <c r="AE152" s="2365">
        <f t="shared" si="40"/>
        <v>0</v>
      </c>
      <c r="AF152" s="2365">
        <f t="shared" si="41"/>
        <v>0</v>
      </c>
      <c r="AG152" s="2365">
        <f t="shared" si="42"/>
        <v>0</v>
      </c>
      <c r="AH152" s="2365">
        <f t="shared" si="43"/>
        <v>0</v>
      </c>
      <c r="AI152" s="2365">
        <f t="shared" si="44"/>
        <v>0</v>
      </c>
      <c r="AJ152" s="2365">
        <f t="shared" si="45"/>
        <v>0</v>
      </c>
      <c r="AK152" s="2365">
        <f t="shared" si="46"/>
        <v>0</v>
      </c>
      <c r="AL152" s="2365">
        <f t="shared" si="47"/>
        <v>0</v>
      </c>
      <c r="AN152" s="2382">
        <f t="shared" si="33"/>
        <v>0</v>
      </c>
      <c r="AO152" s="2365">
        <f t="shared" si="34"/>
        <v>0</v>
      </c>
      <c r="AR152" s="2365">
        <f t="shared" si="48"/>
        <v>0</v>
      </c>
      <c r="AS152" s="2365">
        <f t="shared" si="49"/>
        <v>0</v>
      </c>
    </row>
    <row r="153" spans="1:45" ht="19.899999999999999" customHeight="1" x14ac:dyDescent="0.2">
      <c r="B153" s="3574" t="s">
        <v>46</v>
      </c>
      <c r="C153" s="3574"/>
      <c r="D153" s="3574"/>
      <c r="E153" s="3574"/>
      <c r="F153" s="3574"/>
      <c r="G153" s="3574"/>
      <c r="H153" s="3574"/>
      <c r="I153" s="3574"/>
      <c r="J153" s="3574"/>
      <c r="K153" s="3574"/>
      <c r="L153" s="3574"/>
      <c r="M153" s="3574"/>
      <c r="N153" s="3574"/>
      <c r="O153" s="3574"/>
      <c r="P153" s="3574"/>
      <c r="Q153" s="3574"/>
      <c r="R153" s="3574"/>
      <c r="S153" s="2364"/>
      <c r="T153" s="2390"/>
      <c r="U153" s="2365">
        <f t="shared" si="36"/>
        <v>0</v>
      </c>
      <c r="V153" s="2365">
        <f t="shared" si="37"/>
        <v>0</v>
      </c>
      <c r="AB153" s="2365">
        <f t="shared" si="38"/>
        <v>0</v>
      </c>
      <c r="AC153" s="2365">
        <f t="shared" si="39"/>
        <v>0</v>
      </c>
      <c r="AE153" s="2365">
        <f t="shared" si="40"/>
        <v>0</v>
      </c>
      <c r="AF153" s="2365">
        <f t="shared" si="41"/>
        <v>0</v>
      </c>
      <c r="AG153" s="2365">
        <f t="shared" si="42"/>
        <v>0</v>
      </c>
      <c r="AH153" s="2365">
        <f t="shared" si="43"/>
        <v>0</v>
      </c>
      <c r="AI153" s="2365">
        <f t="shared" si="44"/>
        <v>0</v>
      </c>
      <c r="AJ153" s="2365">
        <f t="shared" si="45"/>
        <v>0</v>
      </c>
      <c r="AK153" s="2365">
        <f t="shared" si="46"/>
        <v>0</v>
      </c>
      <c r="AL153" s="2365">
        <f t="shared" si="47"/>
        <v>0</v>
      </c>
      <c r="AN153" s="2382">
        <f t="shared" si="33"/>
        <v>0</v>
      </c>
      <c r="AO153" s="2365">
        <f t="shared" si="34"/>
        <v>0</v>
      </c>
      <c r="AR153" s="2365">
        <f t="shared" si="48"/>
        <v>0</v>
      </c>
      <c r="AS153" s="2365">
        <f t="shared" si="49"/>
        <v>0</v>
      </c>
    </row>
    <row r="154" spans="1:45" ht="19.899999999999999" customHeight="1" x14ac:dyDescent="0.2">
      <c r="B154" s="3799" t="s">
        <v>1988</v>
      </c>
      <c r="C154" s="3799"/>
      <c r="D154" s="3799"/>
      <c r="E154" s="3799"/>
      <c r="F154" s="3799"/>
      <c r="G154" s="3799"/>
      <c r="H154" s="3799"/>
      <c r="I154" s="3799"/>
      <c r="J154" s="3799"/>
      <c r="K154" s="3799"/>
      <c r="L154" s="3799"/>
      <c r="M154" s="3799"/>
      <c r="N154" s="3799"/>
      <c r="O154" s="3799"/>
      <c r="P154" s="3799"/>
      <c r="Q154" s="3799"/>
      <c r="R154" s="3799"/>
      <c r="S154" s="2185"/>
      <c r="T154" s="2390"/>
      <c r="U154" s="2365">
        <f t="shared" si="36"/>
        <v>0</v>
      </c>
      <c r="V154" s="2365">
        <f t="shared" si="37"/>
        <v>0</v>
      </c>
      <c r="W154" s="2415"/>
      <c r="AB154" s="2365">
        <f t="shared" si="38"/>
        <v>0</v>
      </c>
      <c r="AC154" s="2365">
        <f t="shared" si="39"/>
        <v>0</v>
      </c>
      <c r="AE154" s="2365">
        <f t="shared" si="40"/>
        <v>0</v>
      </c>
      <c r="AF154" s="2365">
        <f t="shared" si="41"/>
        <v>0</v>
      </c>
      <c r="AG154" s="2365">
        <f t="shared" si="42"/>
        <v>0</v>
      </c>
      <c r="AH154" s="2365">
        <f t="shared" si="43"/>
        <v>0</v>
      </c>
      <c r="AI154" s="2365">
        <f t="shared" si="44"/>
        <v>0</v>
      </c>
      <c r="AJ154" s="2365">
        <f t="shared" si="45"/>
        <v>0</v>
      </c>
      <c r="AK154" s="2365">
        <f t="shared" si="46"/>
        <v>0</v>
      </c>
      <c r="AL154" s="2365">
        <f t="shared" si="47"/>
        <v>0</v>
      </c>
      <c r="AN154" s="2382">
        <f t="shared" si="33"/>
        <v>0</v>
      </c>
      <c r="AO154" s="2365">
        <f t="shared" si="34"/>
        <v>0</v>
      </c>
      <c r="AR154" s="2365">
        <f t="shared" si="48"/>
        <v>0</v>
      </c>
      <c r="AS154" s="2365">
        <f t="shared" si="49"/>
        <v>0</v>
      </c>
    </row>
    <row r="155" spans="1:45" ht="15.6" customHeight="1" x14ac:dyDescent="0.2">
      <c r="A155" s="2415"/>
      <c r="B155" s="2399"/>
      <c r="C155" s="3746" t="s">
        <v>1829</v>
      </c>
      <c r="D155" s="3746"/>
      <c r="E155" s="3746"/>
      <c r="F155" s="3746"/>
      <c r="G155" s="3746"/>
      <c r="H155" s="3746"/>
      <c r="I155" s="3746"/>
      <c r="J155" s="3746"/>
      <c r="K155" s="3746"/>
      <c r="L155" s="3746"/>
      <c r="R155" s="2400"/>
      <c r="S155" s="2400"/>
      <c r="T155" s="2390"/>
      <c r="U155" s="2365">
        <f t="shared" si="36"/>
        <v>0</v>
      </c>
      <c r="V155" s="2365">
        <f t="shared" si="37"/>
        <v>0</v>
      </c>
      <c r="AB155" s="2365">
        <f t="shared" si="38"/>
        <v>0</v>
      </c>
      <c r="AC155" s="2365">
        <f t="shared" si="39"/>
        <v>0</v>
      </c>
      <c r="AE155" s="2365">
        <f t="shared" si="40"/>
        <v>0</v>
      </c>
      <c r="AF155" s="2365">
        <f t="shared" si="41"/>
        <v>0</v>
      </c>
      <c r="AG155" s="2365">
        <f t="shared" si="42"/>
        <v>0</v>
      </c>
      <c r="AH155" s="2365">
        <f t="shared" si="43"/>
        <v>0</v>
      </c>
      <c r="AI155" s="2365">
        <f t="shared" si="44"/>
        <v>0</v>
      </c>
      <c r="AJ155" s="2365">
        <f t="shared" si="45"/>
        <v>0</v>
      </c>
      <c r="AK155" s="2365">
        <f t="shared" si="46"/>
        <v>0</v>
      </c>
      <c r="AL155" s="2365">
        <f t="shared" si="47"/>
        <v>0</v>
      </c>
      <c r="AN155" s="2382">
        <f t="shared" si="33"/>
        <v>0</v>
      </c>
      <c r="AO155" s="2365">
        <f t="shared" si="34"/>
        <v>0</v>
      </c>
      <c r="AR155" s="2365">
        <f t="shared" si="48"/>
        <v>0</v>
      </c>
      <c r="AS155" s="2365">
        <f t="shared" si="49"/>
        <v>0</v>
      </c>
    </row>
    <row r="156" spans="1:45" ht="29.45" customHeight="1" x14ac:dyDescent="0.2">
      <c r="B156" s="3800" t="s">
        <v>419</v>
      </c>
      <c r="C156" s="3801" t="s">
        <v>53</v>
      </c>
      <c r="D156" s="3802" t="s">
        <v>54</v>
      </c>
      <c r="E156" s="3803" t="s">
        <v>1396</v>
      </c>
      <c r="F156" s="3804"/>
      <c r="G156" s="3804" t="s">
        <v>1116</v>
      </c>
      <c r="H156" s="3806" t="s">
        <v>1371</v>
      </c>
      <c r="I156" s="3803" t="s">
        <v>1253</v>
      </c>
      <c r="J156" s="3804" t="s">
        <v>1113</v>
      </c>
      <c r="K156" s="3807" t="s">
        <v>898</v>
      </c>
      <c r="L156" s="3803" t="s">
        <v>1373</v>
      </c>
      <c r="M156" s="3803" t="s">
        <v>899</v>
      </c>
      <c r="N156" s="2385"/>
      <c r="O156" s="3804" t="s">
        <v>313</v>
      </c>
      <c r="P156" s="3804" t="s">
        <v>1254</v>
      </c>
      <c r="Q156" s="2385"/>
      <c r="R156" s="3803" t="s">
        <v>1997</v>
      </c>
      <c r="S156" s="2386"/>
      <c r="T156" s="2390"/>
      <c r="U156" s="2365" t="e">
        <f t="shared" si="36"/>
        <v>#VALUE!</v>
      </c>
      <c r="V156" s="2365" t="e">
        <f t="shared" si="37"/>
        <v>#VALUE!</v>
      </c>
      <c r="AB156" s="2365" t="e">
        <f t="shared" si="38"/>
        <v>#VALUE!</v>
      </c>
      <c r="AC156" s="2365" t="e">
        <f t="shared" si="39"/>
        <v>#VALUE!</v>
      </c>
      <c r="AF156" s="2365" t="e">
        <f t="shared" si="41"/>
        <v>#VALUE!</v>
      </c>
      <c r="AG156" s="2365" t="e">
        <f t="shared" si="42"/>
        <v>#VALUE!</v>
      </c>
      <c r="AH156" s="2365" t="e">
        <f t="shared" si="43"/>
        <v>#VALUE!</v>
      </c>
      <c r="AI156" s="2365" t="e">
        <f t="shared" si="44"/>
        <v>#VALUE!</v>
      </c>
      <c r="AJ156" s="2365" t="e">
        <f t="shared" si="45"/>
        <v>#VALUE!</v>
      </c>
      <c r="AK156" s="2365" t="e">
        <f t="shared" si="46"/>
        <v>#VALUE!</v>
      </c>
      <c r="AL156" s="2365" t="e">
        <f t="shared" si="47"/>
        <v>#VALUE!</v>
      </c>
      <c r="AN156" s="2382" t="e">
        <f t="shared" si="33"/>
        <v>#VALUE!</v>
      </c>
      <c r="AO156" s="2365" t="e">
        <f t="shared" si="34"/>
        <v>#VALUE!</v>
      </c>
    </row>
    <row r="157" spans="1:45" ht="29.45" customHeight="1" x14ac:dyDescent="0.2">
      <c r="B157" s="3800"/>
      <c r="C157" s="3801"/>
      <c r="D157" s="3802"/>
      <c r="E157" s="3803"/>
      <c r="F157" s="3805"/>
      <c r="G157" s="3805"/>
      <c r="H157" s="3806"/>
      <c r="I157" s="3803"/>
      <c r="J157" s="3805"/>
      <c r="K157" s="3807"/>
      <c r="L157" s="3803"/>
      <c r="M157" s="3803"/>
      <c r="N157" s="2385"/>
      <c r="O157" s="3805"/>
      <c r="P157" s="3805"/>
      <c r="Q157" s="2385" t="s">
        <v>919</v>
      </c>
      <c r="R157" s="3803"/>
      <c r="S157" s="2386"/>
      <c r="T157" s="2390"/>
      <c r="U157" s="2365" t="e">
        <f t="shared" si="36"/>
        <v>#VALUE!</v>
      </c>
      <c r="V157" s="2365" t="e">
        <f t="shared" si="37"/>
        <v>#VALUE!</v>
      </c>
      <c r="AB157" s="2365" t="e">
        <f t="shared" si="38"/>
        <v>#VALUE!</v>
      </c>
      <c r="AC157" s="2365" t="e">
        <f t="shared" si="39"/>
        <v>#VALUE!</v>
      </c>
      <c r="AF157" s="2365">
        <f t="shared" si="41"/>
        <v>0</v>
      </c>
      <c r="AG157" s="2365" t="e">
        <f t="shared" si="42"/>
        <v>#VALUE!</v>
      </c>
      <c r="AH157" s="2365" t="e">
        <f t="shared" si="43"/>
        <v>#VALUE!</v>
      </c>
      <c r="AI157" s="2365" t="e">
        <f t="shared" si="44"/>
        <v>#VALUE!</v>
      </c>
      <c r="AJ157" s="2365" t="e">
        <f t="shared" si="45"/>
        <v>#VALUE!</v>
      </c>
      <c r="AK157" s="2365">
        <f t="shared" si="46"/>
        <v>0</v>
      </c>
      <c r="AL157" s="2365">
        <f t="shared" si="47"/>
        <v>0</v>
      </c>
      <c r="AN157" s="2382">
        <f t="shared" si="33"/>
        <v>0</v>
      </c>
      <c r="AO157" s="2365">
        <f t="shared" si="34"/>
        <v>0</v>
      </c>
    </row>
    <row r="158" spans="1:45" ht="21" customHeight="1" x14ac:dyDescent="0.2">
      <c r="B158" s="3831" t="s">
        <v>420</v>
      </c>
      <c r="C158" s="3793" t="s">
        <v>181</v>
      </c>
      <c r="D158" s="3793"/>
      <c r="E158" s="2385">
        <f>E149</f>
        <v>6882630578733</v>
      </c>
      <c r="F158" s="2385">
        <f t="shared" ref="F158:R158" si="50">F149</f>
        <v>23542345582294</v>
      </c>
      <c r="G158" s="2385">
        <f t="shared" si="50"/>
        <v>0</v>
      </c>
      <c r="H158" s="2385">
        <f t="shared" si="50"/>
        <v>6882630578733</v>
      </c>
      <c r="I158" s="2385">
        <f t="shared" si="50"/>
        <v>22505408609074</v>
      </c>
      <c r="J158" s="2385">
        <f t="shared" si="50"/>
        <v>0</v>
      </c>
      <c r="K158" s="2385">
        <f t="shared" si="50"/>
        <v>1142556671102</v>
      </c>
      <c r="L158" s="2385">
        <f t="shared" si="50"/>
        <v>-22042254213698</v>
      </c>
      <c r="M158" s="2385">
        <f t="shared" si="50"/>
        <v>0</v>
      </c>
      <c r="N158" s="2385">
        <f t="shared" si="50"/>
        <v>-22042254213698</v>
      </c>
      <c r="O158" s="2385">
        <f t="shared" si="50"/>
        <v>-35356171773</v>
      </c>
      <c r="P158" s="2385">
        <f t="shared" si="50"/>
        <v>-70263526109</v>
      </c>
      <c r="Q158" s="2385">
        <f t="shared" si="50"/>
        <v>0</v>
      </c>
      <c r="R158" s="2385">
        <f t="shared" si="50"/>
        <v>8382721947029</v>
      </c>
      <c r="S158" s="2414"/>
      <c r="T158" s="2390"/>
      <c r="U158" s="2365">
        <f t="shared" si="36"/>
        <v>8382721947329</v>
      </c>
      <c r="V158" s="2365">
        <f t="shared" si="37"/>
        <v>-300</v>
      </c>
      <c r="AB158" s="2365">
        <f t="shared" si="38"/>
        <v>8382721947329</v>
      </c>
      <c r="AC158" s="2365">
        <f t="shared" si="39"/>
        <v>-300</v>
      </c>
      <c r="AE158" s="2365">
        <f>E158+G158+I158+K158+L158+O158+P158+Q158</f>
        <v>8382721947329</v>
      </c>
      <c r="AF158" s="2365">
        <f t="shared" si="41"/>
        <v>-300</v>
      </c>
      <c r="AG158" s="2365">
        <f t="shared" si="42"/>
        <v>23542345582294</v>
      </c>
      <c r="AH158" s="2365">
        <f t="shared" si="43"/>
        <v>8382721947329</v>
      </c>
      <c r="AI158" s="2365">
        <f t="shared" si="44"/>
        <v>-300</v>
      </c>
      <c r="AJ158" s="2365">
        <f t="shared" si="45"/>
        <v>-1036936973220</v>
      </c>
      <c r="AK158" s="2365">
        <f t="shared" si="46"/>
        <v>-23079191186918</v>
      </c>
      <c r="AL158" s="2365">
        <f t="shared" si="47"/>
        <v>1036936973220</v>
      </c>
      <c r="AN158" s="2382">
        <f t="shared" si="33"/>
        <v>8382721947329</v>
      </c>
      <c r="AO158" s="2365">
        <f>R158-AN158</f>
        <v>-300</v>
      </c>
      <c r="AR158" s="2365">
        <f>E158+I158+K158+L158+O158+P158+Q158</f>
        <v>8382721947329</v>
      </c>
      <c r="AS158" s="2365">
        <f>R158-AR158</f>
        <v>-300</v>
      </c>
    </row>
    <row r="159" spans="1:45" ht="24" customHeight="1" x14ac:dyDescent="0.2">
      <c r="B159" s="3822"/>
      <c r="C159" s="1595" t="s">
        <v>126</v>
      </c>
      <c r="D159" s="2434" t="s">
        <v>375</v>
      </c>
      <c r="E159" s="2385">
        <v>1423544730</v>
      </c>
      <c r="F159" s="2385"/>
      <c r="G159" s="2385"/>
      <c r="H159" s="2385">
        <f t="shared" ref="H159:H164" si="51">E159+G159</f>
        <v>1423544730</v>
      </c>
      <c r="I159" s="1531">
        <f t="shared" ref="I159:I165" si="52">F159-Q159-J159-K159-P159-O159</f>
        <v>29000000</v>
      </c>
      <c r="J159" s="2385"/>
      <c r="K159" s="1811">
        <f>'یادداشت 7 دارایییی اصلاحی'!W144</f>
        <v>-29000000</v>
      </c>
      <c r="L159" s="1531">
        <f t="shared" ref="L159:L164" si="53">N159</f>
        <v>-29000000</v>
      </c>
      <c r="M159" s="2385"/>
      <c r="N159" s="2385">
        <f>-29000000</f>
        <v>-29000000</v>
      </c>
      <c r="O159" s="2385"/>
      <c r="P159" s="2385"/>
      <c r="Q159" s="2385"/>
      <c r="R159" s="2385">
        <v>1394544730</v>
      </c>
      <c r="S159" s="2414"/>
      <c r="T159" s="2390"/>
      <c r="AN159" s="2382">
        <f t="shared" si="33"/>
        <v>1394544730</v>
      </c>
      <c r="AO159" s="2365">
        <f t="shared" ref="AO159:AO178" si="54">R159-AN159</f>
        <v>0</v>
      </c>
    </row>
    <row r="160" spans="1:45" ht="24" customHeight="1" x14ac:dyDescent="0.2">
      <c r="B160" s="3822"/>
      <c r="C160" s="1595" t="s">
        <v>636</v>
      </c>
      <c r="D160" s="2435" t="s">
        <v>635</v>
      </c>
      <c r="E160" s="2385">
        <v>1315820212</v>
      </c>
      <c r="F160" s="2385"/>
      <c r="G160" s="2385"/>
      <c r="H160" s="2385">
        <f t="shared" si="51"/>
        <v>1315820212</v>
      </c>
      <c r="I160" s="1531">
        <f t="shared" si="52"/>
        <v>0</v>
      </c>
      <c r="J160" s="2385"/>
      <c r="K160" s="1811"/>
      <c r="L160" s="1531">
        <f t="shared" si="53"/>
        <v>0</v>
      </c>
      <c r="M160" s="2385"/>
      <c r="N160" s="2385"/>
      <c r="O160" s="2385"/>
      <c r="P160" s="2385"/>
      <c r="Q160" s="2385"/>
      <c r="R160" s="2385">
        <v>1315820212</v>
      </c>
      <c r="S160" s="2414"/>
      <c r="T160" s="2390"/>
      <c r="AN160" s="2382">
        <f t="shared" si="33"/>
        <v>1315820212</v>
      </c>
      <c r="AO160" s="2365">
        <f t="shared" si="54"/>
        <v>0</v>
      </c>
    </row>
    <row r="161" spans="2:45" ht="24" customHeight="1" x14ac:dyDescent="0.2">
      <c r="B161" s="3822"/>
      <c r="C161" s="1595" t="s">
        <v>550</v>
      </c>
      <c r="D161" s="2435" t="s">
        <v>556</v>
      </c>
      <c r="E161" s="2385"/>
      <c r="F161" s="2385">
        <v>14922825887</v>
      </c>
      <c r="G161" s="2385"/>
      <c r="H161" s="2385">
        <f t="shared" si="51"/>
        <v>0</v>
      </c>
      <c r="I161" s="1531">
        <f t="shared" si="52"/>
        <v>14722825887</v>
      </c>
      <c r="J161" s="2385"/>
      <c r="K161" s="1811">
        <f>'یادداشت 7 دارایییی اصلاحی'!W152</f>
        <v>200000000</v>
      </c>
      <c r="L161" s="1531">
        <f t="shared" si="53"/>
        <v>-13704709824</v>
      </c>
      <c r="M161" s="2385"/>
      <c r="N161" s="2385">
        <f>-13704709824</f>
        <v>-13704709824</v>
      </c>
      <c r="O161" s="2385"/>
      <c r="P161" s="2385"/>
      <c r="Q161" s="2385"/>
      <c r="R161" s="2385">
        <v>1218116063</v>
      </c>
      <c r="S161" s="2414"/>
      <c r="T161" s="2390"/>
      <c r="AN161" s="2382">
        <f t="shared" si="33"/>
        <v>1218116063</v>
      </c>
      <c r="AO161" s="2365">
        <f t="shared" si="54"/>
        <v>0</v>
      </c>
    </row>
    <row r="162" spans="2:45" ht="23.45" customHeight="1" x14ac:dyDescent="0.2">
      <c r="B162" s="3822"/>
      <c r="C162" s="1595" t="s">
        <v>176</v>
      </c>
      <c r="D162" s="2435" t="s">
        <v>943</v>
      </c>
      <c r="E162" s="2385">
        <v>1216036679</v>
      </c>
      <c r="F162" s="2385"/>
      <c r="G162" s="2385"/>
      <c r="H162" s="2385">
        <f t="shared" si="51"/>
        <v>1216036679</v>
      </c>
      <c r="I162" s="1531">
        <f t="shared" si="52"/>
        <v>0</v>
      </c>
      <c r="J162" s="2385"/>
      <c r="K162" s="1811">
        <f>'یادداشت 7 دارایییی اصلاحی'!W116</f>
        <v>0</v>
      </c>
      <c r="L162" s="1531">
        <f t="shared" si="53"/>
        <v>0</v>
      </c>
      <c r="M162" s="2385"/>
      <c r="N162" s="2385"/>
      <c r="O162" s="2385"/>
      <c r="P162" s="2385"/>
      <c r="Q162" s="2385"/>
      <c r="R162" s="2385">
        <v>1216036679</v>
      </c>
      <c r="S162" s="2414"/>
      <c r="T162" s="2390"/>
      <c r="AN162" s="2382">
        <f t="shared" si="33"/>
        <v>1216036679</v>
      </c>
      <c r="AO162" s="2365">
        <f t="shared" si="54"/>
        <v>0</v>
      </c>
    </row>
    <row r="163" spans="2:45" ht="22.9" customHeight="1" x14ac:dyDescent="0.2">
      <c r="B163" s="3822"/>
      <c r="C163" s="2436" t="s">
        <v>711</v>
      </c>
      <c r="D163" s="2437" t="s">
        <v>710</v>
      </c>
      <c r="E163" s="2385">
        <v>1269301805</v>
      </c>
      <c r="F163" s="2385"/>
      <c r="G163" s="2385"/>
      <c r="H163" s="2385">
        <f t="shared" si="51"/>
        <v>1269301805</v>
      </c>
      <c r="I163" s="1531">
        <f t="shared" si="52"/>
        <v>150000000</v>
      </c>
      <c r="J163" s="2385"/>
      <c r="K163" s="1811">
        <f>'یادداشت 7 دارایییی اصلاحی'!W233</f>
        <v>-150000000</v>
      </c>
      <c r="L163" s="1531">
        <f t="shared" si="53"/>
        <v>-150000000</v>
      </c>
      <c r="M163" s="2385">
        <v>0</v>
      </c>
      <c r="N163" s="2385">
        <f>-150000000</f>
        <v>-150000000</v>
      </c>
      <c r="O163" s="2385"/>
      <c r="P163" s="2385"/>
      <c r="Q163" s="2385"/>
      <c r="R163" s="2385">
        <v>1119201805</v>
      </c>
      <c r="S163" s="2414"/>
      <c r="T163" s="2390"/>
      <c r="AN163" s="2382">
        <f t="shared" si="33"/>
        <v>1119301805</v>
      </c>
      <c r="AO163" s="2365">
        <f t="shared" si="54"/>
        <v>-100000</v>
      </c>
    </row>
    <row r="164" spans="2:45" ht="22.9" customHeight="1" x14ac:dyDescent="0.2">
      <c r="B164" s="3822"/>
      <c r="C164" s="1595" t="s">
        <v>544</v>
      </c>
      <c r="D164" s="2434" t="s">
        <v>543</v>
      </c>
      <c r="E164" s="2385">
        <v>1075603507</v>
      </c>
      <c r="F164" s="2385"/>
      <c r="G164" s="2385"/>
      <c r="H164" s="2385">
        <f t="shared" si="51"/>
        <v>1075603507</v>
      </c>
      <c r="I164" s="1531">
        <f t="shared" si="52"/>
        <v>7425244478</v>
      </c>
      <c r="J164" s="2385"/>
      <c r="K164" s="1811">
        <f>'یادداشت 7 دارایییی اصلاحی'!W324</f>
        <v>-7425244478</v>
      </c>
      <c r="L164" s="1531">
        <f t="shared" si="53"/>
        <v>0</v>
      </c>
      <c r="M164" s="2385"/>
      <c r="N164" s="2385"/>
      <c r="O164" s="2385"/>
      <c r="P164" s="2385"/>
      <c r="Q164" s="2385"/>
      <c r="R164" s="2385">
        <v>1075603507</v>
      </c>
      <c r="S164" s="2414"/>
      <c r="T164" s="2390"/>
      <c r="AN164" s="2382">
        <f t="shared" si="33"/>
        <v>1075603507</v>
      </c>
      <c r="AO164" s="2365">
        <f t="shared" si="54"/>
        <v>0</v>
      </c>
    </row>
    <row r="165" spans="2:45" ht="22.9" customHeight="1" x14ac:dyDescent="0.2">
      <c r="B165" s="3822"/>
      <c r="C165" s="1595" t="s">
        <v>612</v>
      </c>
      <c r="D165" s="2435" t="s">
        <v>606</v>
      </c>
      <c r="E165" s="2385">
        <v>962938569</v>
      </c>
      <c r="F165" s="2385"/>
      <c r="G165" s="2385"/>
      <c r="H165" s="2385">
        <f t="shared" ref="H165:H174" si="55">E165+G165</f>
        <v>962938569</v>
      </c>
      <c r="I165" s="1531">
        <f t="shared" si="52"/>
        <v>66000000</v>
      </c>
      <c r="J165" s="2385"/>
      <c r="K165" s="1811">
        <f>'یادداشت 7 دارایییی اصلاحی'!W195</f>
        <v>-66000000</v>
      </c>
      <c r="L165" s="1531">
        <f t="shared" ref="L165:L173" si="56">N165</f>
        <v>-66000000</v>
      </c>
      <c r="M165" s="2385"/>
      <c r="N165" s="2385">
        <f>-66000000</f>
        <v>-66000000</v>
      </c>
      <c r="O165" s="2385"/>
      <c r="P165" s="2385"/>
      <c r="Q165" s="2385"/>
      <c r="R165" s="2385">
        <v>896938569</v>
      </c>
      <c r="S165" s="2390"/>
      <c r="U165" s="2365">
        <f>E134+I134+K134+L134+O134+P134+Q134</f>
        <v>4959810223</v>
      </c>
      <c r="V165" s="2365">
        <f>R134-U165</f>
        <v>-300</v>
      </c>
      <c r="AB165" s="2365">
        <f>I134+J134+L134+Q134+P134+O134+E134+K134</f>
        <v>4959810223</v>
      </c>
      <c r="AC165" s="2365">
        <f>R134-AB165</f>
        <v>-300</v>
      </c>
      <c r="AE165" s="2365">
        <f>E134+G134+I134+K134+L134+O134+P134+Q134</f>
        <v>4959810223</v>
      </c>
      <c r="AF165" s="2365">
        <f>R134-AE165</f>
        <v>-300</v>
      </c>
      <c r="AG165" s="2365">
        <f>F134-G134-Q134</f>
        <v>216447082281</v>
      </c>
      <c r="AH165" s="2365">
        <f>E134+G134+I134+K134+L134+O134+P134+Q134</f>
        <v>4959810223</v>
      </c>
      <c r="AI165" s="2365">
        <f>R134-AH165</f>
        <v>-300</v>
      </c>
      <c r="AJ165" s="2365">
        <f>I134-AG165</f>
        <v>-7873234100</v>
      </c>
      <c r="AK165" s="2365">
        <f>N134-K134-O134-P134</f>
        <v>-301710822585</v>
      </c>
      <c r="AL165" s="2365">
        <f>L134-AK165</f>
        <v>7873234100</v>
      </c>
      <c r="AN165" s="2382">
        <f t="shared" si="33"/>
        <v>896938569</v>
      </c>
      <c r="AO165" s="2365">
        <f t="shared" si="54"/>
        <v>0</v>
      </c>
      <c r="AR165" s="2365">
        <f>E134+I134+K134+L134+O134+P134+Q134</f>
        <v>4959810223</v>
      </c>
      <c r="AS165" s="2365">
        <f>R134-AR165</f>
        <v>-300</v>
      </c>
    </row>
    <row r="166" spans="2:45" ht="22.9" customHeight="1" x14ac:dyDescent="0.2">
      <c r="B166" s="3822"/>
      <c r="C166" s="2426" t="s">
        <v>66</v>
      </c>
      <c r="D166" s="2427" t="s">
        <v>940</v>
      </c>
      <c r="E166" s="2385">
        <v>881788138</v>
      </c>
      <c r="F166" s="2385"/>
      <c r="G166" s="2385"/>
      <c r="H166" s="2385">
        <f t="shared" si="55"/>
        <v>881788138</v>
      </c>
      <c r="I166" s="1531">
        <f t="shared" ref="I166:I173" si="57">F166-Q166-J166-K166-P166-O166</f>
        <v>0</v>
      </c>
      <c r="J166" s="2385"/>
      <c r="K166" s="1811">
        <f>'یادداشت 7 دارایییی اصلاحی'!W14</f>
        <v>0</v>
      </c>
      <c r="L166" s="1531">
        <f t="shared" si="56"/>
        <v>0</v>
      </c>
      <c r="M166" s="2385"/>
      <c r="N166" s="2385"/>
      <c r="O166" s="2385"/>
      <c r="P166" s="2385"/>
      <c r="Q166" s="2385"/>
      <c r="R166" s="2385">
        <v>881788138</v>
      </c>
      <c r="S166" s="2390"/>
      <c r="T166" s="2390"/>
      <c r="U166" s="2365">
        <f>E140+I140+K140+L140+O140+P140+Q140</f>
        <v>2783222847</v>
      </c>
      <c r="V166" s="2365">
        <f>R140-U166</f>
        <v>0</v>
      </c>
      <c r="W166" s="2365" t="e">
        <f>SUM(V158:V169)</f>
        <v>#REF!</v>
      </c>
      <c r="AB166" s="2365">
        <f>I140+J140+L140+Q140+P140+O140+E140+K140</f>
        <v>2783222847</v>
      </c>
      <c r="AC166" s="2365">
        <f>R140-AB166</f>
        <v>0</v>
      </c>
      <c r="AE166" s="2365">
        <f>E140+G140+I140+K140+L140+O140+P140+Q140</f>
        <v>2783222847</v>
      </c>
      <c r="AF166" s="2365">
        <f>R140-AE166</f>
        <v>0</v>
      </c>
      <c r="AG166" s="2365">
        <f>F140-G140-Q140</f>
        <v>0</v>
      </c>
      <c r="AH166" s="2365">
        <f>E140+G140+I140+K140+L140+O140+P140+Q140</f>
        <v>2783222847</v>
      </c>
      <c r="AI166" s="2365">
        <f>R140-AH166</f>
        <v>0</v>
      </c>
      <c r="AJ166" s="2365">
        <f>I140-AG166</f>
        <v>0</v>
      </c>
      <c r="AK166" s="2365">
        <f>N140-K140-O140-P140</f>
        <v>0</v>
      </c>
      <c r="AL166" s="2365">
        <f>L140-AK166</f>
        <v>0</v>
      </c>
      <c r="AN166" s="2382">
        <f t="shared" si="33"/>
        <v>881788138</v>
      </c>
      <c r="AO166" s="2365">
        <f t="shared" si="54"/>
        <v>0</v>
      </c>
      <c r="AR166" s="2365">
        <f>E140+I140+K140+L140+O140+P140+Q140</f>
        <v>2783222847</v>
      </c>
      <c r="AS166" s="2365">
        <f>R140-AR166</f>
        <v>0</v>
      </c>
    </row>
    <row r="167" spans="2:45" ht="22.9" customHeight="1" x14ac:dyDescent="0.2">
      <c r="B167" s="3822"/>
      <c r="C167" s="1595" t="s">
        <v>674</v>
      </c>
      <c r="D167" s="2435" t="s">
        <v>672</v>
      </c>
      <c r="E167" s="2385">
        <v>784700000</v>
      </c>
      <c r="F167" s="2385"/>
      <c r="G167" s="2385"/>
      <c r="H167" s="2385">
        <f t="shared" si="55"/>
        <v>784700000</v>
      </c>
      <c r="I167" s="1531">
        <f t="shared" si="57"/>
        <v>-53357901</v>
      </c>
      <c r="J167" s="2385"/>
      <c r="K167" s="1811">
        <f>'یادداشت 7 دارایییی اصلاحی'!W199</f>
        <v>53357901</v>
      </c>
      <c r="L167" s="1531">
        <f t="shared" si="56"/>
        <v>0</v>
      </c>
      <c r="M167" s="2385"/>
      <c r="N167" s="2385"/>
      <c r="O167" s="2385"/>
      <c r="P167" s="2385"/>
      <c r="Q167" s="2385"/>
      <c r="R167" s="2385">
        <v>784700000</v>
      </c>
      <c r="S167" s="2390"/>
      <c r="T167" s="2390"/>
      <c r="U167" s="2365">
        <f>E116+I116+K116+L116+O116+P116+Q116</f>
        <v>8195651390</v>
      </c>
      <c r="V167" s="2365">
        <f>R116-U167</f>
        <v>0</v>
      </c>
      <c r="AB167" s="2365">
        <f>I116+J116+L116+Q116+P116+O116+E116+K116</f>
        <v>8195651390</v>
      </c>
      <c r="AC167" s="2365">
        <f>R116-AB167</f>
        <v>0</v>
      </c>
      <c r="AE167" s="2365">
        <f>E116+G116+I116+K116+L116+O116+P116+Q116</f>
        <v>8195651390</v>
      </c>
      <c r="AF167" s="2365">
        <f>R116-AE167</f>
        <v>0</v>
      </c>
      <c r="AG167" s="2365">
        <f>F116-G116-Q116</f>
        <v>6608000000</v>
      </c>
      <c r="AH167" s="2365">
        <f>E116+G116+I116+K116+L116+O116+P116+Q116</f>
        <v>8195651390</v>
      </c>
      <c r="AI167" s="2365">
        <f>R116-AH167</f>
        <v>0</v>
      </c>
      <c r="AJ167" s="2365">
        <f>I116-AG167</f>
        <v>1871321104</v>
      </c>
      <c r="AK167" s="2365">
        <f>N116-K116-O116-P116</f>
        <v>-2935836518</v>
      </c>
      <c r="AL167" s="2365">
        <f>L116-AK167</f>
        <v>-1871321104</v>
      </c>
      <c r="AN167" s="2382">
        <f t="shared" si="33"/>
        <v>784700000</v>
      </c>
      <c r="AO167" s="2365">
        <f t="shared" si="54"/>
        <v>0</v>
      </c>
      <c r="AR167" s="2365">
        <f>E116+I116+K116+L116+O116+P116+Q116</f>
        <v>8195651390</v>
      </c>
      <c r="AS167" s="2365">
        <f>R116-AR167</f>
        <v>0</v>
      </c>
    </row>
    <row r="168" spans="2:45" ht="22.15" customHeight="1" x14ac:dyDescent="0.2">
      <c r="B168" s="3822"/>
      <c r="C168" s="2439" t="s">
        <v>73</v>
      </c>
      <c r="D168" s="2427" t="s">
        <v>74</v>
      </c>
      <c r="E168" s="2385">
        <v>685080045</v>
      </c>
      <c r="F168" s="2385"/>
      <c r="G168" s="2385"/>
      <c r="H168" s="2385">
        <f t="shared" si="55"/>
        <v>685080045</v>
      </c>
      <c r="I168" s="1531">
        <f t="shared" si="57"/>
        <v>0</v>
      </c>
      <c r="J168" s="2385"/>
      <c r="K168" s="1811">
        <f>'یادداشت 7 دارایییی اصلاحی'!W85</f>
        <v>0</v>
      </c>
      <c r="L168" s="1531">
        <f t="shared" si="56"/>
        <v>0</v>
      </c>
      <c r="M168" s="2385"/>
      <c r="N168" s="2385"/>
      <c r="O168" s="2385"/>
      <c r="P168" s="2385"/>
      <c r="Q168" s="2385"/>
      <c r="R168" s="2385">
        <v>685080045</v>
      </c>
      <c r="S168" s="2390"/>
      <c r="T168" s="2390" t="e">
        <f>#REF!+#REF!</f>
        <v>#REF!</v>
      </c>
      <c r="U168" s="2365" t="e">
        <f>#REF!+#REF!+#REF!+#REF!+#REF!+#REF!+#REF!</f>
        <v>#REF!</v>
      </c>
      <c r="V168" s="2365" t="e">
        <f>#REF!-U168</f>
        <v>#REF!</v>
      </c>
      <c r="AB168" s="2365" t="e">
        <f>#REF!+#REF!+#REF!+#REF!+#REF!+#REF!+#REF!+#REF!</f>
        <v>#REF!</v>
      </c>
      <c r="AC168" s="2365" t="e">
        <f>#REF!-AB168</f>
        <v>#REF!</v>
      </c>
      <c r="AE168" s="2365" t="e">
        <f>#REF!+#REF!+#REF!+#REF!+#REF!+#REF!+#REF!+#REF!</f>
        <v>#REF!</v>
      </c>
      <c r="AF168" s="2365" t="e">
        <f>#REF!-AE168</f>
        <v>#REF!</v>
      </c>
      <c r="AG168" s="2365" t="e">
        <f>#REF!-#REF!-#REF!</f>
        <v>#REF!</v>
      </c>
      <c r="AH168" s="2365" t="e">
        <f>#REF!+#REF!+#REF!+#REF!+#REF!+#REF!+#REF!+#REF!</f>
        <v>#REF!</v>
      </c>
      <c r="AI168" s="2365" t="e">
        <f>#REF!-AH168</f>
        <v>#REF!</v>
      </c>
      <c r="AJ168" s="2365" t="e">
        <f>#REF!-AG168</f>
        <v>#REF!</v>
      </c>
      <c r="AK168" s="2365" t="e">
        <f>#REF!-#REF!-#REF!-#REF!</f>
        <v>#REF!</v>
      </c>
      <c r="AL168" s="2365" t="e">
        <f>#REF!-AK168</f>
        <v>#REF!</v>
      </c>
      <c r="AN168" s="2382">
        <f t="shared" si="33"/>
        <v>685080045</v>
      </c>
      <c r="AO168" s="2365">
        <f t="shared" si="54"/>
        <v>0</v>
      </c>
      <c r="AR168" s="2365" t="e">
        <f>#REF!+#REF!+#REF!+#REF!+#REF!+#REF!+#REF!</f>
        <v>#REF!</v>
      </c>
      <c r="AS168" s="2365" t="e">
        <f>#REF!-AR168</f>
        <v>#REF!</v>
      </c>
    </row>
    <row r="169" spans="2:45" ht="22.15" customHeight="1" x14ac:dyDescent="0.2">
      <c r="B169" s="3822"/>
      <c r="C169" s="2426" t="s">
        <v>96</v>
      </c>
      <c r="D169" s="2427" t="s">
        <v>97</v>
      </c>
      <c r="E169" s="1531">
        <v>617991703</v>
      </c>
      <c r="F169" s="1531"/>
      <c r="G169" s="1531"/>
      <c r="H169" s="2385">
        <f t="shared" si="55"/>
        <v>617991703</v>
      </c>
      <c r="I169" s="1531">
        <f t="shared" si="57"/>
        <v>-110919</v>
      </c>
      <c r="J169" s="1531"/>
      <c r="K169" s="1531">
        <f>'یادداشت 7 دارایییی اصلاحی'!W345</f>
        <v>110919</v>
      </c>
      <c r="L169" s="1531">
        <f t="shared" si="56"/>
        <v>0</v>
      </c>
      <c r="M169" s="1531"/>
      <c r="N169" s="1531"/>
      <c r="O169" s="1531"/>
      <c r="P169" s="1531"/>
      <c r="Q169" s="1531"/>
      <c r="R169" s="1531">
        <v>617991703</v>
      </c>
      <c r="S169" s="2390"/>
      <c r="T169" s="2390"/>
      <c r="U169" s="2365">
        <f>E109+I109+K109+L109+O109+P109+Q109</f>
        <v>16203991983</v>
      </c>
      <c r="V169" s="2365">
        <f>R109-U169</f>
        <v>0</v>
      </c>
      <c r="AB169" s="2365">
        <f>I109+J109+L109+Q109+P109+O109+E109+K109</f>
        <v>16203991983</v>
      </c>
      <c r="AC169" s="2365">
        <f>R109-AB169</f>
        <v>0</v>
      </c>
      <c r="AE169" s="2365">
        <f>E109+G109+I109+K109+L109+O109+P109+Q109</f>
        <v>16203991983</v>
      </c>
      <c r="AF169" s="2365">
        <f>R109-AE169</f>
        <v>0</v>
      </c>
      <c r="AG169" s="2365">
        <f>F109-G109-Q109</f>
        <v>0</v>
      </c>
      <c r="AH169" s="2365">
        <f>E109+G109+I109+K109+L109+O109+P109+Q109</f>
        <v>16203991983</v>
      </c>
      <c r="AI169" s="2365">
        <f>R109-AH169</f>
        <v>0</v>
      </c>
      <c r="AJ169" s="2365">
        <f>I109-AG169</f>
        <v>0</v>
      </c>
      <c r="AK169" s="2365">
        <f>N109-K109-O109-P109</f>
        <v>0</v>
      </c>
      <c r="AL169" s="2365">
        <f>L109-AK169</f>
        <v>0</v>
      </c>
      <c r="AN169" s="2382">
        <f t="shared" si="33"/>
        <v>617991703</v>
      </c>
      <c r="AO169" s="2365">
        <f t="shared" si="54"/>
        <v>0</v>
      </c>
      <c r="AR169" s="2365">
        <f>E109+I109+K109+L109+O109+P109+Q109</f>
        <v>16203991983</v>
      </c>
      <c r="AS169" s="2365">
        <f>R109-AR169</f>
        <v>0</v>
      </c>
    </row>
    <row r="170" spans="2:45" ht="22.15" customHeight="1" x14ac:dyDescent="0.2">
      <c r="B170" s="3822"/>
      <c r="C170" s="1771" t="s">
        <v>746</v>
      </c>
      <c r="D170" s="1994" t="s">
        <v>745</v>
      </c>
      <c r="E170" s="1531">
        <v>502980572</v>
      </c>
      <c r="F170" s="1531"/>
      <c r="G170" s="1531"/>
      <c r="H170" s="2385">
        <f t="shared" si="55"/>
        <v>502980572</v>
      </c>
      <c r="I170" s="1531">
        <f t="shared" si="57"/>
        <v>0</v>
      </c>
      <c r="J170" s="1531"/>
      <c r="K170" s="1531">
        <f>'یادداشت 7 دارایییی اصلاحی'!W286</f>
        <v>0</v>
      </c>
      <c r="L170" s="1531">
        <f t="shared" si="56"/>
        <v>0</v>
      </c>
      <c r="M170" s="1531"/>
      <c r="N170" s="1531"/>
      <c r="O170" s="1531"/>
      <c r="P170" s="1531"/>
      <c r="Q170" s="1531"/>
      <c r="R170" s="1531">
        <v>502980572</v>
      </c>
      <c r="S170" s="2390"/>
      <c r="T170" s="2390"/>
      <c r="U170" s="2365">
        <f>E74+I74+K74+L74+O74+P74+Q74</f>
        <v>112342878797</v>
      </c>
      <c r="V170" s="2365">
        <f>R74-U170</f>
        <v>0</v>
      </c>
      <c r="AB170" s="2365">
        <f>I74+J74+L74+Q74+P74+O74+E74+K74</f>
        <v>112342878797</v>
      </c>
      <c r="AC170" s="2365">
        <f>R74-AB170</f>
        <v>0</v>
      </c>
      <c r="AE170" s="2365">
        <f>E74+G74+I74+K74+L74+O74+P74+Q74</f>
        <v>112342878797</v>
      </c>
      <c r="AF170" s="2365">
        <f>R74-AE170</f>
        <v>0</v>
      </c>
      <c r="AG170" s="2365">
        <f>F74-G74-Q74</f>
        <v>109996663238</v>
      </c>
      <c r="AH170" s="2365">
        <f>E74+G74+I74+K74+L74+O74+P74+Q74</f>
        <v>112342878797</v>
      </c>
      <c r="AI170" s="2365">
        <f>R74-AH170</f>
        <v>0</v>
      </c>
      <c r="AJ170" s="2365">
        <f>I74-AG170</f>
        <v>-10422000000</v>
      </c>
      <c r="AK170" s="2365">
        <f>N74-K74-O74-P74</f>
        <v>-84229700694</v>
      </c>
      <c r="AL170" s="2365">
        <f>L74-AK170</f>
        <v>10422000000</v>
      </c>
      <c r="AN170" s="2382">
        <f t="shared" si="33"/>
        <v>502980572</v>
      </c>
      <c r="AO170" s="2365">
        <f t="shared" si="54"/>
        <v>0</v>
      </c>
      <c r="AR170" s="2365">
        <f>E74+I74+K74+L74+O74+P74+Q74</f>
        <v>112342878797</v>
      </c>
      <c r="AS170" s="2365">
        <f>R74-AR170</f>
        <v>0</v>
      </c>
    </row>
    <row r="171" spans="2:45" ht="22.15" customHeight="1" x14ac:dyDescent="0.2">
      <c r="B171" s="3822"/>
      <c r="C171" s="1595" t="s">
        <v>172</v>
      </c>
      <c r="D171" s="2434" t="s">
        <v>173</v>
      </c>
      <c r="E171" s="1531">
        <v>464431776</v>
      </c>
      <c r="F171" s="1531"/>
      <c r="G171" s="1531"/>
      <c r="H171" s="2385">
        <f t="shared" si="55"/>
        <v>464431776</v>
      </c>
      <c r="I171" s="1531">
        <f t="shared" si="57"/>
        <v>0</v>
      </c>
      <c r="J171" s="1531"/>
      <c r="K171" s="1531">
        <f>'یادداشت 7 دارایییی اصلاحی'!W120</f>
        <v>0</v>
      </c>
      <c r="L171" s="1531">
        <f t="shared" si="56"/>
        <v>0</v>
      </c>
      <c r="M171" s="1531"/>
      <c r="N171" s="1531"/>
      <c r="O171" s="1531"/>
      <c r="P171" s="1531"/>
      <c r="Q171" s="1531"/>
      <c r="R171" s="1531">
        <v>464431776</v>
      </c>
      <c r="S171" s="2390"/>
      <c r="T171" s="2390"/>
      <c r="U171" s="2365">
        <f>E144+I144+K144+L144+O144+P144+Q144</f>
        <v>2175761526</v>
      </c>
      <c r="V171" s="2365">
        <f>R144-U171</f>
        <v>0</v>
      </c>
      <c r="AB171" s="2365">
        <f>I144+J144+L144+Q144+P144+O144+E144+K144</f>
        <v>2175761526</v>
      </c>
      <c r="AC171" s="2365">
        <f>R144-AB171</f>
        <v>0</v>
      </c>
      <c r="AE171" s="2365">
        <f>E144+G144+I144+K144+L144+O144+P144+Q144</f>
        <v>2175761526</v>
      </c>
      <c r="AF171" s="2365">
        <f>R144-AE171</f>
        <v>0</v>
      </c>
      <c r="AG171" s="2365">
        <f>F144-G144-Q144</f>
        <v>110796178</v>
      </c>
      <c r="AH171" s="2365">
        <f>E144+G144+I144+K144+L144+O144+P144+Q144</f>
        <v>2175761526</v>
      </c>
      <c r="AI171" s="2365">
        <f>R144-AH171</f>
        <v>0</v>
      </c>
      <c r="AJ171" s="2365">
        <f>I144-AG171</f>
        <v>807591352</v>
      </c>
      <c r="AK171" s="2365">
        <f>N144-K144-O144-P144</f>
        <v>188956684</v>
      </c>
      <c r="AL171" s="2365">
        <f>L144-AK171</f>
        <v>-807591352</v>
      </c>
      <c r="AN171" s="2382">
        <f t="shared" si="33"/>
        <v>464431776</v>
      </c>
      <c r="AO171" s="2365">
        <f t="shared" si="54"/>
        <v>0</v>
      </c>
      <c r="AR171" s="2365">
        <f>E144+I144+K144+L144+O144+P144+Q144</f>
        <v>2175761526</v>
      </c>
      <c r="AS171" s="2365">
        <f>R144-AR171</f>
        <v>0</v>
      </c>
    </row>
    <row r="172" spans="2:45" ht="22.15" customHeight="1" x14ac:dyDescent="0.2">
      <c r="B172" s="3822"/>
      <c r="C172" s="1595" t="s">
        <v>628</v>
      </c>
      <c r="D172" s="2435" t="s">
        <v>604</v>
      </c>
      <c r="E172" s="2385">
        <v>763769324</v>
      </c>
      <c r="F172" s="2385"/>
      <c r="G172" s="2385"/>
      <c r="H172" s="2385">
        <f t="shared" si="55"/>
        <v>763769324</v>
      </c>
      <c r="I172" s="1531">
        <f t="shared" si="57"/>
        <v>-1921173719</v>
      </c>
      <c r="J172" s="2385"/>
      <c r="K172" s="1811">
        <f>'یادداشت 7 دارایییی اصلاحی'!W191</f>
        <v>1921173719</v>
      </c>
      <c r="L172" s="1531">
        <f t="shared" si="56"/>
        <v>-340623081</v>
      </c>
      <c r="M172" s="2385"/>
      <c r="N172" s="2385">
        <f>-340623081</f>
        <v>-340623081</v>
      </c>
      <c r="O172" s="2385"/>
      <c r="P172" s="2385"/>
      <c r="Q172" s="2385"/>
      <c r="R172" s="2385">
        <v>423146243</v>
      </c>
      <c r="S172" s="2390"/>
      <c r="T172" s="2390"/>
      <c r="AN172" s="2382">
        <f t="shared" si="33"/>
        <v>423146243</v>
      </c>
      <c r="AO172" s="2365">
        <f t="shared" si="54"/>
        <v>0</v>
      </c>
    </row>
    <row r="173" spans="2:45" ht="22.15" customHeight="1" x14ac:dyDescent="0.2">
      <c r="B173" s="3822"/>
      <c r="C173" s="2426" t="s">
        <v>113</v>
      </c>
      <c r="D173" s="2427" t="s">
        <v>114</v>
      </c>
      <c r="E173" s="2385">
        <v>419409945</v>
      </c>
      <c r="F173" s="2385"/>
      <c r="G173" s="2385"/>
      <c r="H173" s="2385">
        <f t="shared" si="55"/>
        <v>419409945</v>
      </c>
      <c r="I173" s="1531">
        <f t="shared" si="57"/>
        <v>0</v>
      </c>
      <c r="J173" s="2385"/>
      <c r="K173" s="1811">
        <f>'یادداشت 7 دارایییی اصلاحی'!W341</f>
        <v>0</v>
      </c>
      <c r="L173" s="1531">
        <f t="shared" si="56"/>
        <v>0</v>
      </c>
      <c r="M173" s="2385"/>
      <c r="N173" s="2385"/>
      <c r="O173" s="2385"/>
      <c r="P173" s="2385"/>
      <c r="Q173" s="2385"/>
      <c r="R173" s="2385">
        <v>419409945</v>
      </c>
      <c r="S173" s="2390"/>
      <c r="T173" s="2390"/>
      <c r="AN173" s="2382">
        <f t="shared" si="33"/>
        <v>419409945</v>
      </c>
      <c r="AO173" s="2365">
        <f t="shared" si="54"/>
        <v>0</v>
      </c>
    </row>
    <row r="174" spans="2:45" ht="22.15" customHeight="1" x14ac:dyDescent="0.2">
      <c r="B174" s="3822"/>
      <c r="C174" s="2426">
        <v>1503002067</v>
      </c>
      <c r="D174" s="2428" t="s">
        <v>86</v>
      </c>
      <c r="E174" s="2385">
        <v>1314473358</v>
      </c>
      <c r="F174" s="2385">
        <v>12849816086</v>
      </c>
      <c r="G174" s="2385"/>
      <c r="H174" s="2385">
        <f t="shared" si="55"/>
        <v>1314473358</v>
      </c>
      <c r="I174" s="1531">
        <f>F174-Q174-J174-K174-P174-O174</f>
        <v>12849816086</v>
      </c>
      <c r="J174" s="2385"/>
      <c r="K174" s="1811">
        <f>'یادداشت 7 دارایییی اصلاحی'!W24</f>
        <v>0</v>
      </c>
      <c r="L174" s="1531">
        <f>N174</f>
        <v>-13780776420</v>
      </c>
      <c r="M174" s="2385"/>
      <c r="N174" s="2385">
        <f>-13780776420</f>
        <v>-13780776420</v>
      </c>
      <c r="O174" s="2385"/>
      <c r="P174" s="2385"/>
      <c r="Q174" s="2385"/>
      <c r="R174" s="2385">
        <v>383513024</v>
      </c>
      <c r="S174" s="2390"/>
      <c r="T174" s="2390"/>
      <c r="AN174" s="2382">
        <f t="shared" si="33"/>
        <v>383513024</v>
      </c>
      <c r="AO174" s="2365">
        <f t="shared" si="54"/>
        <v>0</v>
      </c>
    </row>
    <row r="175" spans="2:45" ht="22.15" customHeight="1" x14ac:dyDescent="0.2">
      <c r="B175" s="3822"/>
      <c r="C175" s="1595" t="s">
        <v>1089</v>
      </c>
      <c r="D175" s="2440" t="s">
        <v>1090</v>
      </c>
      <c r="E175" s="1811">
        <v>1521301931</v>
      </c>
      <c r="F175" s="1811">
        <v>29699049848</v>
      </c>
      <c r="G175" s="1811"/>
      <c r="H175" s="2441">
        <f>E175+G175</f>
        <v>1521301931</v>
      </c>
      <c r="I175" s="1530">
        <f>F175-Q175-J175-K175</f>
        <v>29699049848</v>
      </c>
      <c r="J175" s="1811"/>
      <c r="K175" s="1811"/>
      <c r="L175" s="1531">
        <f>N175</f>
        <v>-31220013735</v>
      </c>
      <c r="M175" s="1811"/>
      <c r="N175" s="1811">
        <f>-31220013735</f>
        <v>-31220013735</v>
      </c>
      <c r="O175" s="1811"/>
      <c r="P175" s="1811"/>
      <c r="Q175" s="1811"/>
      <c r="R175" s="1811">
        <v>338044</v>
      </c>
      <c r="S175" s="2390"/>
      <c r="T175" s="2390"/>
      <c r="AN175" s="2382"/>
    </row>
    <row r="176" spans="2:45" ht="22.15" customHeight="1" x14ac:dyDescent="0.2">
      <c r="B176" s="3822"/>
      <c r="C176" s="2442" t="s">
        <v>1402</v>
      </c>
      <c r="D176" s="2443" t="s">
        <v>1403</v>
      </c>
      <c r="E176" s="2385">
        <v>1766283332</v>
      </c>
      <c r="F176" s="2385">
        <v>4431333332</v>
      </c>
      <c r="G176" s="2385"/>
      <c r="H176" s="2441">
        <f>E176+G176</f>
        <v>1766283332</v>
      </c>
      <c r="I176" s="1530">
        <f>F176-Q176-J176-K176</f>
        <v>4431333332</v>
      </c>
      <c r="J176" s="2385"/>
      <c r="K176" s="1811"/>
      <c r="L176" s="1531">
        <f>N176</f>
        <v>-6197616664</v>
      </c>
      <c r="M176" s="2385"/>
      <c r="N176" s="2385">
        <f>-6197616664</f>
        <v>-6197616664</v>
      </c>
      <c r="O176" s="2385"/>
      <c r="P176" s="2385"/>
      <c r="Q176" s="2385"/>
      <c r="R176" s="2385">
        <v>0</v>
      </c>
      <c r="S176" s="2390"/>
      <c r="T176" s="2390"/>
      <c r="AN176" s="2382"/>
    </row>
    <row r="177" spans="1:46" ht="21" customHeight="1" x14ac:dyDescent="0.2">
      <c r="B177" s="3823"/>
      <c r="C177" s="3830" t="s">
        <v>1114</v>
      </c>
      <c r="D177" s="3830"/>
      <c r="E177" s="2385">
        <v>6993717223</v>
      </c>
      <c r="F177" s="2385">
        <v>53511963641</v>
      </c>
      <c r="G177" s="2385"/>
      <c r="H177" s="2385">
        <f>E177+G177</f>
        <v>6993717223</v>
      </c>
      <c r="I177" s="1531">
        <f>F177-Q177-J177-K177-P177-O177</f>
        <v>47934068189</v>
      </c>
      <c r="J177" s="2385"/>
      <c r="K177" s="1811">
        <f>'یادداشت 7 دارایییی اصلاحی'!W43+'یادداشت 7 دارایییی اصلاحی'!W45+'یادداشت 7 دارایییی اصلاحی'!W73+'یادداشت 7 دارایییی اصلاحی'!W84+'یادداشت 7 دارایییی اصلاحی'!W113+'یادداشت 7 دارایییی اصلاحی'!W114+'یادداشت 7 دارایییی اصلاحی'!W141+'یادداشت 7 دارایییی اصلاحی'!W194+'یادداشت 7 دارایییی اصلاحی'!W169+'یادداشت 7 دارایییی اصلاحی'!W258+'یادداشت 7 دارایییی اصلاحی'!W259+'یادداشت 7 دارایییی اصلاحی'!W348+'یادداشت 7 دارایییی اصلاحی'!W325</f>
        <v>5577895452</v>
      </c>
      <c r="L177" s="1531">
        <f>N177</f>
        <v>-56288519702</v>
      </c>
      <c r="M177" s="2385"/>
      <c r="N177" s="2385">
        <v>-56288519702</v>
      </c>
      <c r="O177" s="2385"/>
      <c r="P177" s="2385"/>
      <c r="Q177" s="2385"/>
      <c r="R177" s="2385">
        <f>4325749261-R198-R175-R176</f>
        <v>4217261462</v>
      </c>
      <c r="S177" s="2390"/>
      <c r="T177" s="2390"/>
      <c r="AN177" s="2382">
        <f>E177+I177+L177+K177+O177+P177</f>
        <v>4217161162</v>
      </c>
      <c r="AO177" s="2365">
        <f t="shared" si="54"/>
        <v>100300</v>
      </c>
    </row>
    <row r="178" spans="1:46" ht="22.15" customHeight="1" x14ac:dyDescent="0.2">
      <c r="B178" s="3815" t="s">
        <v>1336</v>
      </c>
      <c r="C178" s="3816"/>
      <c r="D178" s="3817"/>
      <c r="E178" s="2444">
        <f>SUM(E158:E177)</f>
        <v>6906609751582</v>
      </c>
      <c r="F178" s="2444">
        <f>SUM(F158:F177)</f>
        <v>23657760571088</v>
      </c>
      <c r="G178" s="2444">
        <f t="shared" ref="G178:R178" si="58">SUM(G158:G177)</f>
        <v>0</v>
      </c>
      <c r="H178" s="2444">
        <f t="shared" si="58"/>
        <v>6906609751582</v>
      </c>
      <c r="I178" s="2444">
        <f t="shared" si="58"/>
        <v>22620741304355</v>
      </c>
      <c r="J178" s="2444">
        <f t="shared" si="58"/>
        <v>0</v>
      </c>
      <c r="K178" s="2444">
        <f>SUM(K158:K177)</f>
        <v>1142638964615</v>
      </c>
      <c r="L178" s="2444">
        <f>SUM(L158:L177)</f>
        <v>-22164031473124</v>
      </c>
      <c r="M178" s="2444">
        <f t="shared" si="58"/>
        <v>0</v>
      </c>
      <c r="N178" s="2444">
        <f>SUM(N158:N177)</f>
        <v>-22164031473124</v>
      </c>
      <c r="O178" s="2444">
        <f t="shared" si="58"/>
        <v>-35356171773</v>
      </c>
      <c r="P178" s="2444">
        <f t="shared" si="58"/>
        <v>-70263526109</v>
      </c>
      <c r="Q178" s="2444">
        <f t="shared" si="58"/>
        <v>0</v>
      </c>
      <c r="R178" s="2444">
        <f t="shared" si="58"/>
        <v>8400338849546</v>
      </c>
      <c r="S178" s="2433"/>
      <c r="T178" s="2390"/>
      <c r="U178" s="2365">
        <f t="shared" ref="U178:U179" si="59">E178+I178+K178+L178+O178+P178+Q178</f>
        <v>8400338849546</v>
      </c>
      <c r="V178" s="2365">
        <f t="shared" ref="V178:V179" si="60">R178-U178</f>
        <v>0</v>
      </c>
      <c r="W178" s="2415"/>
      <c r="AB178" s="2365">
        <f t="shared" ref="AB178:AB179" si="61">I178+J178+L178+Q178+P178+O178+E178+K178</f>
        <v>8400338849546</v>
      </c>
      <c r="AC178" s="2365">
        <f t="shared" ref="AC178:AC179" si="62">R178-AB178</f>
        <v>0</v>
      </c>
      <c r="AE178" s="2365">
        <f t="shared" ref="AE178:AE179" si="63">E178+G178+I178+K178+L178+O178+P178+Q178</f>
        <v>8400338849546</v>
      </c>
      <c r="AF178" s="2365">
        <f t="shared" ref="AF178:AF179" si="64">R178-AE178</f>
        <v>0</v>
      </c>
      <c r="AG178" s="2365">
        <f t="shared" ref="AG178:AG179" si="65">F178-G178-Q178</f>
        <v>23657760571088</v>
      </c>
      <c r="AH178" s="2365">
        <f t="shared" ref="AH178:AH179" si="66">E178+G178+I178+K178+L178+O178+P178+Q178</f>
        <v>8400338849546</v>
      </c>
      <c r="AI178" s="2365">
        <f t="shared" ref="AI178:AI179" si="67">R178-AH178</f>
        <v>0</v>
      </c>
      <c r="AJ178" s="2365">
        <f t="shared" ref="AJ178:AJ179" si="68">I178-AG178</f>
        <v>-1037019266733</v>
      </c>
      <c r="AK178" s="2365">
        <f t="shared" ref="AK178:AK179" si="69">N178-K178-O178-P178</f>
        <v>-23201050739857</v>
      </c>
      <c r="AL178" s="2365">
        <f t="shared" ref="AL178:AL179" si="70">L178-AK178</f>
        <v>1037019266733</v>
      </c>
      <c r="AN178" s="2382">
        <f t="shared" si="33"/>
        <v>8400338849546</v>
      </c>
      <c r="AO178" s="2365">
        <f t="shared" si="54"/>
        <v>0</v>
      </c>
      <c r="AR178" s="2365">
        <f>E178+I178+K178+L178+O178+P178+Q178</f>
        <v>8400338849546</v>
      </c>
      <c r="AS178" s="2365">
        <f>R178-AR178</f>
        <v>0</v>
      </c>
    </row>
    <row r="179" spans="1:46" ht="24.6" customHeight="1" x14ac:dyDescent="0.2">
      <c r="A179" s="2415"/>
      <c r="B179" s="2399"/>
      <c r="C179" s="3798" t="s">
        <v>1806</v>
      </c>
      <c r="D179" s="3798"/>
      <c r="E179" s="3798"/>
      <c r="F179" s="3798"/>
      <c r="G179" s="3798"/>
      <c r="H179" s="3798"/>
      <c r="I179" s="3798"/>
      <c r="J179" s="3798"/>
      <c r="K179" s="3798"/>
      <c r="L179" s="3798"/>
      <c r="M179" s="3798"/>
      <c r="N179" s="3798"/>
      <c r="O179" s="3798"/>
      <c r="P179" s="3798"/>
      <c r="Q179" s="3798"/>
      <c r="R179" s="3798"/>
      <c r="S179" s="2416"/>
      <c r="T179" s="2390"/>
      <c r="U179" s="2365">
        <f t="shared" si="59"/>
        <v>0</v>
      </c>
      <c r="V179" s="2365">
        <f t="shared" si="60"/>
        <v>0</v>
      </c>
      <c r="AB179" s="2365">
        <f t="shared" si="61"/>
        <v>0</v>
      </c>
      <c r="AC179" s="2365">
        <f t="shared" si="62"/>
        <v>0</v>
      </c>
      <c r="AE179" s="2365">
        <f t="shared" si="63"/>
        <v>0</v>
      </c>
      <c r="AF179" s="2365">
        <f t="shared" si="64"/>
        <v>0</v>
      </c>
      <c r="AG179" s="2365">
        <f t="shared" si="65"/>
        <v>0</v>
      </c>
      <c r="AH179" s="2365">
        <f t="shared" si="66"/>
        <v>0</v>
      </c>
      <c r="AI179" s="2365">
        <f t="shared" si="67"/>
        <v>0</v>
      </c>
      <c r="AJ179" s="2365">
        <f t="shared" si="68"/>
        <v>0</v>
      </c>
      <c r="AK179" s="2365">
        <f t="shared" si="69"/>
        <v>0</v>
      </c>
      <c r="AL179" s="2365">
        <f t="shared" si="70"/>
        <v>0</v>
      </c>
      <c r="AN179" s="2382">
        <f t="shared" si="33"/>
        <v>0</v>
      </c>
      <c r="AO179" s="2365">
        <f t="shared" si="34"/>
        <v>0</v>
      </c>
      <c r="AR179" s="2365">
        <f t="shared" ref="AR179" si="71">E179+I179+K179+L179+O179+P179+Q179</f>
        <v>0</v>
      </c>
      <c r="AS179" s="2365">
        <f t="shared" ref="AS179" si="72">R179-AR179</f>
        <v>0</v>
      </c>
    </row>
    <row r="180" spans="1:46" ht="15" customHeight="1" x14ac:dyDescent="0.2">
      <c r="B180" s="3814" t="s">
        <v>32</v>
      </c>
      <c r="C180" s="3814"/>
      <c r="D180" s="3814"/>
      <c r="E180" s="3814"/>
      <c r="F180" s="3814"/>
      <c r="G180" s="3814"/>
      <c r="H180" s="3814"/>
      <c r="I180" s="3814"/>
      <c r="J180" s="3814"/>
      <c r="K180" s="3814"/>
      <c r="L180" s="3814"/>
      <c r="M180" s="3814"/>
      <c r="N180" s="3814"/>
      <c r="O180" s="3814"/>
      <c r="P180" s="3814"/>
      <c r="Q180" s="3814"/>
      <c r="R180" s="3814"/>
      <c r="S180" s="2445"/>
      <c r="T180" s="1357"/>
      <c r="U180" s="2365">
        <f t="shared" ref="U180:U199" si="73">E180+I180+K180+L180+O180+P180+Q180</f>
        <v>0</v>
      </c>
      <c r="V180" s="2365">
        <f t="shared" ref="V180:V195" si="74">R180-U180</f>
        <v>0</v>
      </c>
      <c r="AB180" s="2365">
        <f t="shared" ref="AB180:AB201" si="75">I180+J180+L180+Q180+P180+O180+E180+K180</f>
        <v>0</v>
      </c>
      <c r="AC180" s="2365">
        <f t="shared" ref="AC180:AC201" si="76">R180-AB180</f>
        <v>0</v>
      </c>
      <c r="AE180" s="2365">
        <f t="shared" ref="AE180:AE197" si="77">E180+G180+I180+K180+L180+O180+P180+Q180</f>
        <v>0</v>
      </c>
      <c r="AF180" s="2365">
        <f t="shared" ref="AF180:AF197" si="78">R180-AE180</f>
        <v>0</v>
      </c>
      <c r="AG180" s="2365">
        <f t="shared" ref="AG180:AG197" si="79">F180-G180-Q180</f>
        <v>0</v>
      </c>
      <c r="AH180" s="2365">
        <f t="shared" ref="AH180:AH197" si="80">E180+G180+I180+K180+L180+O180+P180+Q180</f>
        <v>0</v>
      </c>
      <c r="AI180" s="2365">
        <f t="shared" ref="AI180:AI197" si="81">R180-AH180</f>
        <v>0</v>
      </c>
      <c r="AJ180" s="2365">
        <f t="shared" ref="AJ180:AJ197" si="82">I180-AG180</f>
        <v>0</v>
      </c>
      <c r="AK180" s="2365">
        <f t="shared" ref="AK180:AK197" si="83">N180-K180-O180-P180</f>
        <v>0</v>
      </c>
      <c r="AL180" s="2365">
        <f t="shared" ref="AL180:AL197" si="84">L180-AK180</f>
        <v>0</v>
      </c>
      <c r="AM180" s="2365">
        <f>K178-'یادداشت 7 دارایییی اصلاحی'!W397</f>
        <v>0</v>
      </c>
      <c r="AN180" s="2382">
        <f t="shared" si="33"/>
        <v>0</v>
      </c>
      <c r="AO180" s="2365">
        <f t="shared" si="34"/>
        <v>0</v>
      </c>
      <c r="AP180" s="2365">
        <v>2346642077</v>
      </c>
      <c r="AS180" s="2365">
        <f>R180-AR180</f>
        <v>0</v>
      </c>
    </row>
    <row r="181" spans="1:46" ht="15" customHeight="1" x14ac:dyDescent="0.2">
      <c r="B181" s="3565" t="s">
        <v>45</v>
      </c>
      <c r="C181" s="3565"/>
      <c r="D181" s="3565"/>
      <c r="E181" s="3565"/>
      <c r="F181" s="3565"/>
      <c r="G181" s="3565"/>
      <c r="H181" s="3565"/>
      <c r="I181" s="3565"/>
      <c r="J181" s="3565"/>
      <c r="K181" s="3565"/>
      <c r="L181" s="3565"/>
      <c r="M181" s="3565"/>
      <c r="N181" s="3565"/>
      <c r="O181" s="3565"/>
      <c r="P181" s="3565"/>
      <c r="Q181" s="3565"/>
      <c r="R181" s="3565"/>
      <c r="S181" s="2364"/>
      <c r="T181" s="1357"/>
      <c r="U181" s="2365">
        <f t="shared" si="73"/>
        <v>0</v>
      </c>
      <c r="V181" s="2365">
        <f t="shared" si="74"/>
        <v>0</v>
      </c>
      <c r="AB181" s="2365">
        <f t="shared" si="75"/>
        <v>0</v>
      </c>
      <c r="AC181" s="2365">
        <f t="shared" si="76"/>
        <v>0</v>
      </c>
      <c r="AE181" s="2365">
        <f t="shared" si="77"/>
        <v>0</v>
      </c>
      <c r="AF181" s="2365">
        <f t="shared" si="78"/>
        <v>0</v>
      </c>
      <c r="AG181" s="2365">
        <f t="shared" si="79"/>
        <v>0</v>
      </c>
      <c r="AH181" s="2365">
        <f t="shared" si="80"/>
        <v>0</v>
      </c>
      <c r="AI181" s="2365">
        <f t="shared" si="81"/>
        <v>0</v>
      </c>
      <c r="AJ181" s="2365">
        <f t="shared" si="82"/>
        <v>0</v>
      </c>
      <c r="AK181" s="2365">
        <f t="shared" si="83"/>
        <v>0</v>
      </c>
      <c r="AL181" s="2365">
        <f t="shared" si="84"/>
        <v>0</v>
      </c>
      <c r="AN181" s="2382">
        <f t="shared" si="33"/>
        <v>0</v>
      </c>
      <c r="AO181" s="2365">
        <f t="shared" si="34"/>
        <v>0</v>
      </c>
    </row>
    <row r="182" spans="1:46" ht="15" customHeight="1" x14ac:dyDescent="0.2">
      <c r="B182" s="3565" t="s">
        <v>46</v>
      </c>
      <c r="C182" s="3565"/>
      <c r="D182" s="3565"/>
      <c r="E182" s="3565"/>
      <c r="F182" s="3565"/>
      <c r="G182" s="3565"/>
      <c r="H182" s="3565"/>
      <c r="I182" s="3565"/>
      <c r="J182" s="3565"/>
      <c r="K182" s="3565"/>
      <c r="L182" s="3565"/>
      <c r="M182" s="3565"/>
      <c r="N182" s="3565"/>
      <c r="O182" s="3565"/>
      <c r="P182" s="3565"/>
      <c r="Q182" s="3565"/>
      <c r="R182" s="3565"/>
      <c r="S182" s="2364"/>
      <c r="T182" s="1357"/>
      <c r="U182" s="2365">
        <f t="shared" si="73"/>
        <v>0</v>
      </c>
      <c r="V182" s="2365">
        <f t="shared" si="74"/>
        <v>0</v>
      </c>
      <c r="AB182" s="2365">
        <f t="shared" si="75"/>
        <v>0</v>
      </c>
      <c r="AC182" s="2365">
        <f t="shared" si="76"/>
        <v>0</v>
      </c>
      <c r="AE182" s="2365">
        <f t="shared" si="77"/>
        <v>0</v>
      </c>
      <c r="AF182" s="2365">
        <f t="shared" si="78"/>
        <v>0</v>
      </c>
      <c r="AG182" s="2365">
        <f t="shared" si="79"/>
        <v>0</v>
      </c>
      <c r="AH182" s="2365">
        <f t="shared" si="80"/>
        <v>0</v>
      </c>
      <c r="AI182" s="2365">
        <f t="shared" si="81"/>
        <v>0</v>
      </c>
      <c r="AJ182" s="2365">
        <f t="shared" si="82"/>
        <v>0</v>
      </c>
      <c r="AK182" s="2365">
        <f t="shared" si="83"/>
        <v>0</v>
      </c>
      <c r="AL182" s="2365">
        <f t="shared" si="84"/>
        <v>0</v>
      </c>
      <c r="AN182" s="2382">
        <f t="shared" si="33"/>
        <v>0</v>
      </c>
      <c r="AO182" s="2365">
        <f t="shared" si="34"/>
        <v>0</v>
      </c>
      <c r="AQ182" s="2365" t="e">
        <f>#REF!+K211</f>
        <v>#REF!</v>
      </c>
    </row>
    <row r="183" spans="1:46" ht="15" customHeight="1" x14ac:dyDescent="0.2">
      <c r="B183" s="3799" t="s">
        <v>1988</v>
      </c>
      <c r="C183" s="3799"/>
      <c r="D183" s="3799"/>
      <c r="E183" s="3799"/>
      <c r="F183" s="3799"/>
      <c r="G183" s="3799"/>
      <c r="H183" s="3799"/>
      <c r="I183" s="3799"/>
      <c r="J183" s="3799"/>
      <c r="K183" s="3799"/>
      <c r="L183" s="3799"/>
      <c r="M183" s="3799"/>
      <c r="N183" s="3799"/>
      <c r="O183" s="3799"/>
      <c r="P183" s="3799"/>
      <c r="Q183" s="3799"/>
      <c r="R183" s="3799"/>
      <c r="S183" s="2185"/>
      <c r="T183" s="1357"/>
      <c r="U183" s="2365">
        <f t="shared" si="73"/>
        <v>0</v>
      </c>
      <c r="V183" s="2365">
        <f t="shared" si="74"/>
        <v>0</v>
      </c>
      <c r="AB183" s="2365">
        <f t="shared" si="75"/>
        <v>0</v>
      </c>
      <c r="AC183" s="2365">
        <f t="shared" si="76"/>
        <v>0</v>
      </c>
      <c r="AE183" s="2365">
        <f t="shared" si="77"/>
        <v>0</v>
      </c>
      <c r="AF183" s="2365">
        <f t="shared" si="78"/>
        <v>0</v>
      </c>
      <c r="AG183" s="2365">
        <f t="shared" si="79"/>
        <v>0</v>
      </c>
      <c r="AH183" s="2365">
        <f t="shared" si="80"/>
        <v>0</v>
      </c>
      <c r="AI183" s="2365">
        <f t="shared" si="81"/>
        <v>0</v>
      </c>
      <c r="AJ183" s="2365">
        <f t="shared" si="82"/>
        <v>0</v>
      </c>
      <c r="AK183" s="2365">
        <f t="shared" si="83"/>
        <v>0</v>
      </c>
      <c r="AL183" s="2365">
        <f t="shared" si="84"/>
        <v>0</v>
      </c>
      <c r="AN183" s="2382">
        <f t="shared" si="33"/>
        <v>0</v>
      </c>
      <c r="AO183" s="2365">
        <f t="shared" si="34"/>
        <v>0</v>
      </c>
      <c r="AS183" s="2365">
        <f>R183-AR183</f>
        <v>0</v>
      </c>
    </row>
    <row r="184" spans="1:46" ht="19.899999999999999" customHeight="1" x14ac:dyDescent="0.2">
      <c r="A184" s="2415"/>
      <c r="B184" s="2399"/>
      <c r="C184" s="3746" t="s">
        <v>1829</v>
      </c>
      <c r="D184" s="3746"/>
      <c r="E184" s="3746"/>
      <c r="F184" s="3746"/>
      <c r="G184" s="3746"/>
      <c r="H184" s="3746"/>
      <c r="I184" s="3746"/>
      <c r="J184" s="3746"/>
      <c r="K184" s="3746"/>
      <c r="L184" s="3746"/>
      <c r="R184" s="2446"/>
      <c r="S184" s="2400"/>
      <c r="T184" s="1357"/>
      <c r="U184" s="2365">
        <f t="shared" si="73"/>
        <v>0</v>
      </c>
      <c r="V184" s="2365">
        <f t="shared" si="74"/>
        <v>0</v>
      </c>
      <c r="AB184" s="2365">
        <f t="shared" si="75"/>
        <v>0</v>
      </c>
      <c r="AC184" s="2365">
        <f t="shared" si="76"/>
        <v>0</v>
      </c>
      <c r="AE184" s="2365">
        <f t="shared" si="77"/>
        <v>0</v>
      </c>
      <c r="AF184" s="2365">
        <f t="shared" si="78"/>
        <v>0</v>
      </c>
      <c r="AG184" s="2365">
        <f t="shared" si="79"/>
        <v>0</v>
      </c>
      <c r="AH184" s="2365">
        <f t="shared" si="80"/>
        <v>0</v>
      </c>
      <c r="AI184" s="2365">
        <f t="shared" si="81"/>
        <v>0</v>
      </c>
      <c r="AJ184" s="2365">
        <f t="shared" si="82"/>
        <v>0</v>
      </c>
      <c r="AK184" s="2365">
        <f t="shared" si="83"/>
        <v>0</v>
      </c>
      <c r="AL184" s="2365">
        <f t="shared" si="84"/>
        <v>0</v>
      </c>
      <c r="AN184" s="2382">
        <f t="shared" si="33"/>
        <v>0</v>
      </c>
      <c r="AO184" s="2365">
        <f t="shared" si="34"/>
        <v>0</v>
      </c>
      <c r="AR184" s="2365">
        <f>E184+I184+K184+L184+O184+P184+Q184</f>
        <v>0</v>
      </c>
      <c r="AS184" s="2365">
        <f>R184-AR184</f>
        <v>0</v>
      </c>
    </row>
    <row r="185" spans="1:46" ht="16.149999999999999" customHeight="1" x14ac:dyDescent="0.2">
      <c r="B185" s="3800" t="s">
        <v>419</v>
      </c>
      <c r="C185" s="3801" t="s">
        <v>53</v>
      </c>
      <c r="D185" s="3802" t="s">
        <v>54</v>
      </c>
      <c r="E185" s="3803" t="s">
        <v>1396</v>
      </c>
      <c r="F185" s="3804"/>
      <c r="G185" s="3804" t="s">
        <v>1116</v>
      </c>
      <c r="H185" s="3806" t="s">
        <v>1371</v>
      </c>
      <c r="I185" s="3803" t="s">
        <v>1253</v>
      </c>
      <c r="J185" s="3804" t="s">
        <v>1113</v>
      </c>
      <c r="K185" s="3807" t="s">
        <v>898</v>
      </c>
      <c r="L185" s="3803" t="s">
        <v>1373</v>
      </c>
      <c r="M185" s="3803" t="s">
        <v>899</v>
      </c>
      <c r="N185" s="2385"/>
      <c r="O185" s="3804" t="s">
        <v>313</v>
      </c>
      <c r="P185" s="3804" t="s">
        <v>1254</v>
      </c>
      <c r="Q185" s="2385"/>
      <c r="R185" s="3803" t="s">
        <v>1997</v>
      </c>
      <c r="S185" s="2386"/>
      <c r="T185" s="1357"/>
      <c r="U185" s="2365" t="e">
        <f t="shared" si="73"/>
        <v>#VALUE!</v>
      </c>
      <c r="V185" s="2365" t="e">
        <f t="shared" si="74"/>
        <v>#VALUE!</v>
      </c>
      <c r="AE185" s="2365" t="e">
        <f t="shared" si="77"/>
        <v>#VALUE!</v>
      </c>
      <c r="AF185" s="2365" t="e">
        <f t="shared" si="78"/>
        <v>#VALUE!</v>
      </c>
      <c r="AG185" s="2365" t="e">
        <f t="shared" si="79"/>
        <v>#VALUE!</v>
      </c>
      <c r="AH185" s="2365" t="e">
        <f t="shared" si="80"/>
        <v>#VALUE!</v>
      </c>
      <c r="AI185" s="2365" t="e">
        <f t="shared" si="81"/>
        <v>#VALUE!</v>
      </c>
      <c r="AJ185" s="2365" t="e">
        <f t="shared" si="82"/>
        <v>#VALUE!</v>
      </c>
      <c r="AK185" s="2365" t="e">
        <f t="shared" si="83"/>
        <v>#VALUE!</v>
      </c>
      <c r="AL185" s="2365" t="e">
        <f t="shared" si="84"/>
        <v>#VALUE!</v>
      </c>
      <c r="AN185" s="2382" t="e">
        <f t="shared" si="33"/>
        <v>#VALUE!</v>
      </c>
      <c r="AO185" s="2365" t="e">
        <f t="shared" si="34"/>
        <v>#VALUE!</v>
      </c>
      <c r="AQ185" s="2365">
        <v>5847529774</v>
      </c>
    </row>
    <row r="186" spans="1:46" ht="30.6" customHeight="1" x14ac:dyDescent="0.2">
      <c r="B186" s="3800"/>
      <c r="C186" s="3801"/>
      <c r="D186" s="3802"/>
      <c r="E186" s="3803"/>
      <c r="F186" s="3805"/>
      <c r="G186" s="3805"/>
      <c r="H186" s="3806"/>
      <c r="I186" s="3803"/>
      <c r="J186" s="3805"/>
      <c r="K186" s="3807"/>
      <c r="L186" s="3803"/>
      <c r="M186" s="3803"/>
      <c r="N186" s="2385"/>
      <c r="O186" s="3805"/>
      <c r="P186" s="3805"/>
      <c r="Q186" s="2385" t="s">
        <v>919</v>
      </c>
      <c r="R186" s="3803"/>
      <c r="S186" s="2386"/>
      <c r="T186" s="1357"/>
      <c r="U186" s="2365" t="e">
        <f t="shared" si="73"/>
        <v>#VALUE!</v>
      </c>
      <c r="V186" s="2365" t="e">
        <f t="shared" si="74"/>
        <v>#VALUE!</v>
      </c>
      <c r="AE186" s="2365" t="e">
        <f t="shared" si="77"/>
        <v>#VALUE!</v>
      </c>
      <c r="AF186" s="2365" t="e">
        <f t="shared" si="78"/>
        <v>#VALUE!</v>
      </c>
      <c r="AG186" s="2365" t="e">
        <f t="shared" si="79"/>
        <v>#VALUE!</v>
      </c>
      <c r="AH186" s="2365" t="e">
        <f t="shared" si="80"/>
        <v>#VALUE!</v>
      </c>
      <c r="AI186" s="2365" t="e">
        <f t="shared" si="81"/>
        <v>#VALUE!</v>
      </c>
      <c r="AJ186" s="2365" t="e">
        <f t="shared" si="82"/>
        <v>#VALUE!</v>
      </c>
      <c r="AK186" s="2365">
        <f t="shared" si="83"/>
        <v>0</v>
      </c>
      <c r="AL186" s="2365">
        <f t="shared" si="84"/>
        <v>0</v>
      </c>
      <c r="AN186" s="2382">
        <f t="shared" si="33"/>
        <v>0</v>
      </c>
      <c r="AO186" s="2365">
        <f t="shared" si="34"/>
        <v>0</v>
      </c>
      <c r="AQ186" s="2365">
        <f>-AQ185-K211</f>
        <v>1136791433602</v>
      </c>
    </row>
    <row r="187" spans="1:46" ht="25.15" customHeight="1" x14ac:dyDescent="0.2">
      <c r="B187" s="3822"/>
      <c r="C187" s="3793" t="s">
        <v>962</v>
      </c>
      <c r="D187" s="3794"/>
      <c r="E187" s="2447">
        <f>E178</f>
        <v>6906609751582</v>
      </c>
      <c r="F187" s="2447">
        <f t="shared" ref="F187:R187" si="85">F178</f>
        <v>23657760571088</v>
      </c>
      <c r="G187" s="2447">
        <f t="shared" si="85"/>
        <v>0</v>
      </c>
      <c r="H187" s="2447">
        <f t="shared" si="85"/>
        <v>6906609751582</v>
      </c>
      <c r="I187" s="2447">
        <f t="shared" si="85"/>
        <v>22620741304355</v>
      </c>
      <c r="J187" s="2447">
        <f t="shared" si="85"/>
        <v>0</v>
      </c>
      <c r="K187" s="2447">
        <f t="shared" si="85"/>
        <v>1142638964615</v>
      </c>
      <c r="L187" s="2447">
        <f t="shared" si="85"/>
        <v>-22164031473124</v>
      </c>
      <c r="M187" s="2447">
        <f t="shared" si="85"/>
        <v>0</v>
      </c>
      <c r="N187" s="2447">
        <f t="shared" si="85"/>
        <v>-22164031473124</v>
      </c>
      <c r="O187" s="2447">
        <f t="shared" si="85"/>
        <v>-35356171773</v>
      </c>
      <c r="P187" s="2447">
        <f t="shared" si="85"/>
        <v>-70263526109</v>
      </c>
      <c r="Q187" s="2447">
        <f t="shared" si="85"/>
        <v>0</v>
      </c>
      <c r="R187" s="2447">
        <f t="shared" si="85"/>
        <v>8400338849546</v>
      </c>
      <c r="S187" s="1357"/>
      <c r="T187" s="2365"/>
      <c r="AN187" s="2382"/>
    </row>
    <row r="188" spans="1:46" ht="13.9" customHeight="1" x14ac:dyDescent="0.2">
      <c r="B188" s="3822"/>
      <c r="C188" s="2426">
        <v>1307002010</v>
      </c>
      <c r="D188" s="2448" t="s">
        <v>203</v>
      </c>
      <c r="E188" s="2447">
        <v>58861502926</v>
      </c>
      <c r="F188" s="2447"/>
      <c r="G188" s="2447"/>
      <c r="H188" s="2385">
        <f>E188+G188</f>
        <v>58861502926</v>
      </c>
      <c r="I188" s="2447">
        <f>F188-Q188-J188-K188-P188-O188</f>
        <v>0</v>
      </c>
      <c r="J188" s="2447"/>
      <c r="K188" s="1811"/>
      <c r="L188" s="1811">
        <f>N188</f>
        <v>0</v>
      </c>
      <c r="M188" s="1811"/>
      <c r="N188" s="1811">
        <v>0</v>
      </c>
      <c r="O188" s="2447"/>
      <c r="P188" s="2447"/>
      <c r="Q188" s="2447"/>
      <c r="R188" s="2447">
        <v>58861502926</v>
      </c>
      <c r="S188" s="1357"/>
      <c r="T188" s="2365"/>
      <c r="AE188" s="2365">
        <f t="shared" si="77"/>
        <v>58861502926</v>
      </c>
      <c r="AF188" s="2365">
        <f t="shared" si="78"/>
        <v>0</v>
      </c>
      <c r="AG188" s="2365">
        <f t="shared" si="79"/>
        <v>0</v>
      </c>
      <c r="AH188" s="2365">
        <f t="shared" si="80"/>
        <v>58861502926</v>
      </c>
      <c r="AI188" s="2365">
        <f t="shared" si="81"/>
        <v>0</v>
      </c>
      <c r="AJ188" s="2365">
        <f t="shared" si="82"/>
        <v>0</v>
      </c>
      <c r="AK188" s="2365">
        <f t="shared" si="83"/>
        <v>0</v>
      </c>
      <c r="AL188" s="2365">
        <f t="shared" si="84"/>
        <v>0</v>
      </c>
      <c r="AN188" s="2382">
        <f t="shared" si="33"/>
        <v>58861502926</v>
      </c>
      <c r="AO188" s="2365">
        <f t="shared" si="34"/>
        <v>0</v>
      </c>
      <c r="AR188" s="2365">
        <f>E188+I188+K188+L188+O188+P188+Q188</f>
        <v>58861502926</v>
      </c>
      <c r="AS188" s="2365">
        <f>R188-AR188</f>
        <v>0</v>
      </c>
      <c r="AT188" s="2365">
        <f>-AS188</f>
        <v>0</v>
      </c>
    </row>
    <row r="189" spans="1:46" ht="13.9" customHeight="1" x14ac:dyDescent="0.2">
      <c r="B189" s="3822"/>
      <c r="C189" s="1595" t="s">
        <v>610</v>
      </c>
      <c r="D189" s="2449" t="s">
        <v>596</v>
      </c>
      <c r="E189" s="2447">
        <v>1034131669</v>
      </c>
      <c r="F189" s="2447"/>
      <c r="G189" s="2447"/>
      <c r="H189" s="2385">
        <f t="shared" ref="H189:H209" si="86">E189+G189</f>
        <v>1034131669</v>
      </c>
      <c r="I189" s="2447">
        <f t="shared" ref="I189:I210" si="87">F189-Q189-J189-K189-P189-O189</f>
        <v>0</v>
      </c>
      <c r="J189" s="2447"/>
      <c r="K189" s="1811"/>
      <c r="L189" s="1811">
        <f t="shared" ref="L189:L210" si="88">N189</f>
        <v>0</v>
      </c>
      <c r="M189" s="1811"/>
      <c r="N189" s="1811">
        <v>0</v>
      </c>
      <c r="O189" s="2447"/>
      <c r="P189" s="2447"/>
      <c r="Q189" s="2447"/>
      <c r="R189" s="2447">
        <v>1034131669</v>
      </c>
      <c r="S189" s="1357"/>
      <c r="T189" s="2365"/>
      <c r="AN189" s="2382">
        <f t="shared" si="33"/>
        <v>1034131669</v>
      </c>
      <c r="AO189" s="2365">
        <f t="shared" si="34"/>
        <v>0</v>
      </c>
    </row>
    <row r="190" spans="1:46" ht="13.9" customHeight="1" x14ac:dyDescent="0.2">
      <c r="B190" s="3822"/>
      <c r="C190" s="1595" t="s">
        <v>634</v>
      </c>
      <c r="D190" s="2419" t="s">
        <v>598</v>
      </c>
      <c r="E190" s="2447">
        <v>335000000</v>
      </c>
      <c r="F190" s="2447"/>
      <c r="G190" s="2447"/>
      <c r="H190" s="2385">
        <f t="shared" si="86"/>
        <v>335000000</v>
      </c>
      <c r="I190" s="2447">
        <f>F190-Q190-J190-K190-P190-O190</f>
        <v>335000000</v>
      </c>
      <c r="J190" s="2447"/>
      <c r="K190" s="1811">
        <f>'یادداشت 7 دارایییی اصلاحی'!W426</f>
        <v>-335000000</v>
      </c>
      <c r="L190" s="1811">
        <f t="shared" si="88"/>
        <v>0</v>
      </c>
      <c r="M190" s="1811"/>
      <c r="N190" s="1811"/>
      <c r="O190" s="2447"/>
      <c r="P190" s="2447"/>
      <c r="Q190" s="2447"/>
      <c r="R190" s="2447">
        <v>335000000</v>
      </c>
      <c r="S190" s="1357"/>
      <c r="T190" s="2365"/>
      <c r="AN190" s="2382">
        <f t="shared" si="33"/>
        <v>335000000</v>
      </c>
      <c r="AO190" s="2365">
        <f t="shared" si="34"/>
        <v>0</v>
      </c>
    </row>
    <row r="191" spans="1:46" ht="13.9" customHeight="1" x14ac:dyDescent="0.2">
      <c r="B191" s="3822"/>
      <c r="C191" s="1595" t="s">
        <v>633</v>
      </c>
      <c r="D191" s="2419" t="s">
        <v>632</v>
      </c>
      <c r="E191" s="2447">
        <v>4529672129</v>
      </c>
      <c r="F191" s="2447"/>
      <c r="G191" s="2447"/>
      <c r="H191" s="2385">
        <f t="shared" si="86"/>
        <v>4529672129</v>
      </c>
      <c r="I191" s="2447">
        <f>F191-Q191-J191-K191-P191-O191</f>
        <v>25119044440</v>
      </c>
      <c r="J191" s="2447"/>
      <c r="K191" s="1811">
        <f>'یادداشت 7 دارایییی اصلاحی'!W453</f>
        <v>-25119044440</v>
      </c>
      <c r="L191" s="1811">
        <f t="shared" si="88"/>
        <v>0</v>
      </c>
      <c r="M191" s="1811"/>
      <c r="N191" s="1811"/>
      <c r="O191" s="2447"/>
      <c r="P191" s="2447"/>
      <c r="Q191" s="2447"/>
      <c r="R191" s="2447">
        <v>4529672129</v>
      </c>
      <c r="S191" s="1357"/>
      <c r="T191" s="2365"/>
      <c r="AN191" s="2382">
        <f t="shared" si="33"/>
        <v>4529672129</v>
      </c>
      <c r="AO191" s="2365">
        <f t="shared" si="34"/>
        <v>0</v>
      </c>
    </row>
    <row r="192" spans="1:46" ht="13.9" customHeight="1" x14ac:dyDescent="0.2">
      <c r="B192" s="3822"/>
      <c r="C192" s="1595" t="s">
        <v>609</v>
      </c>
      <c r="D192" s="2437" t="s">
        <v>607</v>
      </c>
      <c r="E192" s="2447">
        <v>808096856</v>
      </c>
      <c r="F192" s="2447"/>
      <c r="G192" s="2447"/>
      <c r="H192" s="2385">
        <f t="shared" si="86"/>
        <v>808096856</v>
      </c>
      <c r="I192" s="2447">
        <f t="shared" si="87"/>
        <v>0</v>
      </c>
      <c r="J192" s="2447"/>
      <c r="K192" s="1811"/>
      <c r="L192" s="1811">
        <f t="shared" si="88"/>
        <v>0</v>
      </c>
      <c r="M192" s="1811"/>
      <c r="N192" s="1811"/>
      <c r="O192" s="2447"/>
      <c r="P192" s="2447"/>
      <c r="Q192" s="2447"/>
      <c r="R192" s="2447">
        <v>808096856</v>
      </c>
      <c r="S192" s="1357"/>
      <c r="T192" s="2365"/>
      <c r="AN192" s="2382">
        <f t="shared" si="33"/>
        <v>808096856</v>
      </c>
      <c r="AO192" s="2365">
        <f t="shared" si="34"/>
        <v>0</v>
      </c>
    </row>
    <row r="193" spans="2:61" s="2452" customFormat="1" ht="13.9" customHeight="1" x14ac:dyDescent="0.2">
      <c r="B193" s="3822"/>
      <c r="C193" s="2450" t="s">
        <v>68</v>
      </c>
      <c r="D193" s="2451" t="s">
        <v>70</v>
      </c>
      <c r="E193" s="2447">
        <v>146291680</v>
      </c>
      <c r="F193" s="2447"/>
      <c r="G193" s="2447"/>
      <c r="H193" s="2385">
        <f t="shared" si="86"/>
        <v>146291680</v>
      </c>
      <c r="I193" s="2447">
        <f t="shared" si="87"/>
        <v>0</v>
      </c>
      <c r="J193" s="2447"/>
      <c r="K193" s="1811"/>
      <c r="L193" s="1811">
        <f t="shared" si="88"/>
        <v>0</v>
      </c>
      <c r="M193" s="1811"/>
      <c r="N193" s="1811"/>
      <c r="O193" s="2447"/>
      <c r="P193" s="2447"/>
      <c r="Q193" s="2447"/>
      <c r="R193" s="2447">
        <v>146291680</v>
      </c>
      <c r="S193" s="1358"/>
      <c r="U193" s="2365">
        <f t="shared" si="73"/>
        <v>146291680</v>
      </c>
      <c r="V193" s="2365">
        <f t="shared" si="74"/>
        <v>0</v>
      </c>
      <c r="AB193" s="2365">
        <f t="shared" si="75"/>
        <v>146291680</v>
      </c>
      <c r="AC193" s="2365">
        <f t="shared" si="76"/>
        <v>0</v>
      </c>
      <c r="AD193" s="2365"/>
      <c r="AE193" s="2365">
        <f t="shared" si="77"/>
        <v>146291680</v>
      </c>
      <c r="AF193" s="2365">
        <f t="shared" si="78"/>
        <v>0</v>
      </c>
      <c r="AG193" s="2365">
        <f t="shared" si="79"/>
        <v>0</v>
      </c>
      <c r="AH193" s="2365">
        <f t="shared" si="80"/>
        <v>146291680</v>
      </c>
      <c r="AI193" s="2365">
        <f t="shared" si="81"/>
        <v>0</v>
      </c>
      <c r="AJ193" s="2365">
        <f t="shared" si="82"/>
        <v>0</v>
      </c>
      <c r="AK193" s="2365">
        <f t="shared" si="83"/>
        <v>0</v>
      </c>
      <c r="AL193" s="2365">
        <f t="shared" si="84"/>
        <v>0</v>
      </c>
      <c r="AM193" s="2365"/>
      <c r="AN193" s="2382">
        <f t="shared" si="33"/>
        <v>146291680</v>
      </c>
      <c r="AO193" s="2365">
        <f t="shared" si="34"/>
        <v>0</v>
      </c>
      <c r="AR193" s="2365">
        <f t="shared" ref="AR193:AR201" si="89">E193+I193+K193+L193+O193+P193+Q193</f>
        <v>146291680</v>
      </c>
      <c r="AS193" s="2365">
        <f t="shared" ref="AS193:AS210" si="90">R193-AR193</f>
        <v>0</v>
      </c>
      <c r="AT193" s="2365">
        <f t="shared" ref="AT193:AT205" si="91">-AS193</f>
        <v>0</v>
      </c>
    </row>
    <row r="194" spans="2:61" ht="13.9" customHeight="1" x14ac:dyDescent="0.2">
      <c r="B194" s="3822"/>
      <c r="C194" s="2426">
        <v>1503002046</v>
      </c>
      <c r="D194" s="2428" t="s">
        <v>83</v>
      </c>
      <c r="E194" s="2447">
        <v>104662956709</v>
      </c>
      <c r="F194" s="2447"/>
      <c r="G194" s="2447"/>
      <c r="H194" s="2385">
        <f t="shared" si="86"/>
        <v>104662956709</v>
      </c>
      <c r="I194" s="2447">
        <f>F194-Q194-J194-K194-P194-O194</f>
        <v>98997695969</v>
      </c>
      <c r="J194" s="2447"/>
      <c r="K194" s="1811">
        <f>'یادداشت 7 دارایییی اصلاحی'!W408</f>
        <v>-98997695969</v>
      </c>
      <c r="L194" s="1811">
        <f t="shared" si="88"/>
        <v>0</v>
      </c>
      <c r="M194" s="1811"/>
      <c r="N194" s="1811"/>
      <c r="O194" s="2447"/>
      <c r="P194" s="2447"/>
      <c r="Q194" s="2447"/>
      <c r="R194" s="2447">
        <v>104662956709</v>
      </c>
      <c r="S194" s="1357"/>
      <c r="T194" s="2365"/>
      <c r="U194" s="2365">
        <f t="shared" si="73"/>
        <v>104662956709</v>
      </c>
      <c r="V194" s="2365">
        <f t="shared" si="74"/>
        <v>0</v>
      </c>
      <c r="AB194" s="2365">
        <f t="shared" si="75"/>
        <v>104662956709</v>
      </c>
      <c r="AC194" s="2365">
        <f t="shared" si="76"/>
        <v>0</v>
      </c>
      <c r="AE194" s="2365">
        <f t="shared" si="77"/>
        <v>104662956709</v>
      </c>
      <c r="AF194" s="2365">
        <f t="shared" si="78"/>
        <v>0</v>
      </c>
      <c r="AG194" s="2365">
        <f t="shared" si="79"/>
        <v>0</v>
      </c>
      <c r="AH194" s="2365">
        <f t="shared" si="80"/>
        <v>104662956709</v>
      </c>
      <c r="AI194" s="2365">
        <f t="shared" si="81"/>
        <v>0</v>
      </c>
      <c r="AJ194" s="2365">
        <f t="shared" si="82"/>
        <v>98997695969</v>
      </c>
      <c r="AK194" s="2365">
        <f t="shared" si="83"/>
        <v>98997695969</v>
      </c>
      <c r="AL194" s="2365">
        <f t="shared" si="84"/>
        <v>-98997695969</v>
      </c>
      <c r="AN194" s="2382">
        <f t="shared" si="33"/>
        <v>104662956709</v>
      </c>
      <c r="AO194" s="2365">
        <f t="shared" si="34"/>
        <v>0</v>
      </c>
      <c r="AR194" s="2365">
        <f t="shared" si="89"/>
        <v>104662956709</v>
      </c>
      <c r="AS194" s="2365">
        <f t="shared" si="90"/>
        <v>0</v>
      </c>
      <c r="AT194" s="2365">
        <f t="shared" si="91"/>
        <v>0</v>
      </c>
    </row>
    <row r="195" spans="2:61" ht="13.9" customHeight="1" x14ac:dyDescent="0.2">
      <c r="B195" s="3822"/>
      <c r="C195" s="2426">
        <v>1503002096</v>
      </c>
      <c r="D195" s="2428" t="s">
        <v>84</v>
      </c>
      <c r="E195" s="2447">
        <v>3171118321</v>
      </c>
      <c r="F195" s="2447"/>
      <c r="G195" s="2447"/>
      <c r="H195" s="2385">
        <f t="shared" si="86"/>
        <v>3171118321</v>
      </c>
      <c r="I195" s="2447">
        <f>F195-Q195-J195-K195-P195-O195</f>
        <v>0</v>
      </c>
      <c r="J195" s="2447"/>
      <c r="K195" s="2447"/>
      <c r="L195" s="1811">
        <f t="shared" si="88"/>
        <v>0</v>
      </c>
      <c r="M195" s="2447"/>
      <c r="N195" s="2447"/>
      <c r="O195" s="2447"/>
      <c r="P195" s="2447"/>
      <c r="Q195" s="2447"/>
      <c r="R195" s="2447">
        <v>3171118321</v>
      </c>
      <c r="S195" s="1357"/>
      <c r="T195" s="2365"/>
      <c r="U195" s="2365">
        <f t="shared" si="73"/>
        <v>3171118321</v>
      </c>
      <c r="V195" s="2365">
        <f t="shared" si="74"/>
        <v>0</v>
      </c>
      <c r="AB195" s="2365">
        <f t="shared" si="75"/>
        <v>3171118321</v>
      </c>
      <c r="AC195" s="2365">
        <f t="shared" si="76"/>
        <v>0</v>
      </c>
      <c r="AE195" s="2365">
        <f t="shared" si="77"/>
        <v>3171118321</v>
      </c>
      <c r="AF195" s="2365">
        <f t="shared" si="78"/>
        <v>0</v>
      </c>
      <c r="AG195" s="2365">
        <f t="shared" si="79"/>
        <v>0</v>
      </c>
      <c r="AH195" s="2365">
        <f t="shared" si="80"/>
        <v>3171118321</v>
      </c>
      <c r="AI195" s="2365">
        <f t="shared" si="81"/>
        <v>0</v>
      </c>
      <c r="AJ195" s="2365">
        <f t="shared" si="82"/>
        <v>0</v>
      </c>
      <c r="AK195" s="2365">
        <f t="shared" si="83"/>
        <v>0</v>
      </c>
      <c r="AL195" s="2365">
        <f t="shared" si="84"/>
        <v>0</v>
      </c>
      <c r="AN195" s="2382">
        <f t="shared" si="33"/>
        <v>3171118321</v>
      </c>
      <c r="AO195" s="2365">
        <f t="shared" si="34"/>
        <v>0</v>
      </c>
      <c r="AR195" s="2365">
        <f t="shared" si="89"/>
        <v>3171118321</v>
      </c>
      <c r="AS195" s="2365">
        <f t="shared" si="90"/>
        <v>0</v>
      </c>
      <c r="AT195" s="2365">
        <f t="shared" si="91"/>
        <v>0</v>
      </c>
    </row>
    <row r="196" spans="2:61" ht="13.9" customHeight="1" x14ac:dyDescent="0.2">
      <c r="B196" s="3822"/>
      <c r="C196" s="1595" t="s">
        <v>182</v>
      </c>
      <c r="D196" s="2453" t="s">
        <v>539</v>
      </c>
      <c r="E196" s="1811">
        <v>275532716</v>
      </c>
      <c r="F196" s="1811"/>
      <c r="G196" s="1811"/>
      <c r="H196" s="2385">
        <f t="shared" si="86"/>
        <v>275532716</v>
      </c>
      <c r="I196" s="2447">
        <f>F196-Q196-J196-K196-P196-O196</f>
        <v>275532416</v>
      </c>
      <c r="J196" s="1811"/>
      <c r="K196" s="1811">
        <f>'یادداشت 7 دارایییی اصلاحی'!W424</f>
        <v>-275532416</v>
      </c>
      <c r="L196" s="1811">
        <f t="shared" si="88"/>
        <v>0</v>
      </c>
      <c r="M196" s="1811"/>
      <c r="N196" s="1811"/>
      <c r="O196" s="1811"/>
      <c r="P196" s="1811"/>
      <c r="Q196" s="1811"/>
      <c r="R196" s="1811">
        <v>275532716</v>
      </c>
      <c r="S196" s="2390"/>
      <c r="T196" s="2365"/>
      <c r="U196" s="2365" t="e">
        <f>E196+I196+K196+#REF!+O196+P196+Q196</f>
        <v>#REF!</v>
      </c>
      <c r="V196" s="2365" t="e">
        <f>#REF!-U196</f>
        <v>#REF!</v>
      </c>
      <c r="AB196" s="2365">
        <f t="shared" si="75"/>
        <v>275532716</v>
      </c>
      <c r="AC196" s="2365">
        <f t="shared" si="76"/>
        <v>0</v>
      </c>
      <c r="AE196" s="2365">
        <f t="shared" si="77"/>
        <v>275532716</v>
      </c>
      <c r="AF196" s="2365">
        <f t="shared" si="78"/>
        <v>0</v>
      </c>
      <c r="AG196" s="2365">
        <f t="shared" si="79"/>
        <v>0</v>
      </c>
      <c r="AH196" s="2365">
        <f t="shared" si="80"/>
        <v>275532716</v>
      </c>
      <c r="AI196" s="2365">
        <f t="shared" si="81"/>
        <v>0</v>
      </c>
      <c r="AJ196" s="2365">
        <f t="shared" si="82"/>
        <v>275532416</v>
      </c>
      <c r="AK196" s="2365">
        <f t="shared" si="83"/>
        <v>275532416</v>
      </c>
      <c r="AL196" s="2365">
        <f t="shared" si="84"/>
        <v>-275532416</v>
      </c>
      <c r="AN196" s="2382">
        <f t="shared" si="33"/>
        <v>275532716</v>
      </c>
      <c r="AO196" s="2365">
        <f t="shared" si="34"/>
        <v>0</v>
      </c>
      <c r="AR196" s="2365">
        <f t="shared" si="89"/>
        <v>275532716</v>
      </c>
      <c r="AS196" s="2365">
        <f t="shared" si="90"/>
        <v>0</v>
      </c>
      <c r="AT196" s="2365">
        <f t="shared" si="91"/>
        <v>0</v>
      </c>
    </row>
    <row r="197" spans="2:61" ht="13.9" customHeight="1" x14ac:dyDescent="0.2">
      <c r="B197" s="3822"/>
      <c r="C197" s="2424" t="s">
        <v>77</v>
      </c>
      <c r="D197" s="2454" t="s">
        <v>143</v>
      </c>
      <c r="E197" s="1811">
        <v>22415805</v>
      </c>
      <c r="F197" s="1811"/>
      <c r="G197" s="1811"/>
      <c r="H197" s="2385">
        <f t="shared" si="86"/>
        <v>22415805</v>
      </c>
      <c r="I197" s="2447">
        <f t="shared" si="87"/>
        <v>0</v>
      </c>
      <c r="J197" s="1811"/>
      <c r="K197" s="1811"/>
      <c r="L197" s="1811">
        <f t="shared" si="88"/>
        <v>0</v>
      </c>
      <c r="M197" s="1811"/>
      <c r="N197" s="1811"/>
      <c r="O197" s="1811"/>
      <c r="P197" s="1811"/>
      <c r="Q197" s="1811"/>
      <c r="R197" s="1811">
        <v>22415805</v>
      </c>
      <c r="S197" s="2390"/>
      <c r="T197" s="2365"/>
      <c r="U197" s="2365">
        <f t="shared" si="73"/>
        <v>22415805</v>
      </c>
      <c r="V197" s="2365">
        <f>R197-U197</f>
        <v>0</v>
      </c>
      <c r="AB197" s="2365">
        <f t="shared" si="75"/>
        <v>22415805</v>
      </c>
      <c r="AC197" s="2365">
        <f t="shared" si="76"/>
        <v>0</v>
      </c>
      <c r="AE197" s="2365">
        <f t="shared" si="77"/>
        <v>22415805</v>
      </c>
      <c r="AF197" s="2365">
        <f t="shared" si="78"/>
        <v>0</v>
      </c>
      <c r="AG197" s="2365">
        <f t="shared" si="79"/>
        <v>0</v>
      </c>
      <c r="AH197" s="2365">
        <f t="shared" si="80"/>
        <v>22415805</v>
      </c>
      <c r="AI197" s="2365">
        <f t="shared" si="81"/>
        <v>0</v>
      </c>
      <c r="AJ197" s="2365">
        <f t="shared" si="82"/>
        <v>0</v>
      </c>
      <c r="AK197" s="2365">
        <f t="shared" si="83"/>
        <v>0</v>
      </c>
      <c r="AL197" s="2365">
        <f t="shared" si="84"/>
        <v>0</v>
      </c>
      <c r="AN197" s="2382">
        <f t="shared" ref="AN197:AN257" si="92">E197+I197+L197+K197+O197+P197</f>
        <v>22415805</v>
      </c>
      <c r="AO197" s="2365">
        <f t="shared" ref="AO197:AO257" si="93">R197-AN197</f>
        <v>0</v>
      </c>
      <c r="AR197" s="2365">
        <f t="shared" si="89"/>
        <v>22415805</v>
      </c>
      <c r="AS197" s="2365">
        <f t="shared" si="90"/>
        <v>0</v>
      </c>
      <c r="AT197" s="2365">
        <f t="shared" si="91"/>
        <v>0</v>
      </c>
      <c r="AU197" s="2426" t="s">
        <v>109</v>
      </c>
      <c r="AV197" s="2428" t="s">
        <v>110</v>
      </c>
      <c r="AW197" s="1811">
        <v>10943610209</v>
      </c>
      <c r="AX197" s="1811">
        <v>18933588561</v>
      </c>
      <c r="AY197" s="1811"/>
      <c r="AZ197" s="2447">
        <v>18933588561</v>
      </c>
      <c r="BA197" s="1811"/>
      <c r="BB197" s="1811">
        <v>1325303167</v>
      </c>
      <c r="BC197" s="1811">
        <v>-25391618957</v>
      </c>
      <c r="BD197" s="1811"/>
      <c r="BE197" s="1811">
        <v>-24066315790</v>
      </c>
      <c r="BF197" s="1811"/>
      <c r="BG197" s="1811"/>
      <c r="BH197" s="1811"/>
      <c r="BI197" s="1811">
        <v>5810882980</v>
      </c>
    </row>
    <row r="198" spans="2:61" ht="13.9" customHeight="1" x14ac:dyDescent="0.2">
      <c r="B198" s="3822"/>
      <c r="C198" s="2426" t="s">
        <v>637</v>
      </c>
      <c r="D198" s="2432" t="s">
        <v>613</v>
      </c>
      <c r="E198" s="1811">
        <v>108149755</v>
      </c>
      <c r="F198" s="1811"/>
      <c r="G198" s="1811"/>
      <c r="H198" s="2385">
        <f>E198+G198</f>
        <v>108149755</v>
      </c>
      <c r="I198" s="2447">
        <f t="shared" si="87"/>
        <v>0</v>
      </c>
      <c r="J198" s="1811"/>
      <c r="K198" s="1811"/>
      <c r="L198" s="1811">
        <f>N198</f>
        <v>0</v>
      </c>
      <c r="M198" s="1811"/>
      <c r="N198" s="1811"/>
      <c r="O198" s="1811"/>
      <c r="P198" s="1811"/>
      <c r="Q198" s="1811"/>
      <c r="R198" s="1811">
        <v>108149755</v>
      </c>
      <c r="S198" s="2390"/>
      <c r="T198" s="2365" t="e">
        <f>#REF!+E198</f>
        <v>#REF!</v>
      </c>
      <c r="U198" s="2365">
        <f t="shared" si="73"/>
        <v>108149755</v>
      </c>
      <c r="V198" s="2365">
        <f>R198-U198</f>
        <v>0</v>
      </c>
      <c r="AB198" s="2365">
        <f>I198+J198+L198+Q198+P198+O198+E198+K198</f>
        <v>108149755</v>
      </c>
      <c r="AC198" s="2365">
        <f>R198-AB198</f>
        <v>0</v>
      </c>
      <c r="AE198" s="2365">
        <f t="shared" ref="AE198:AE212" si="94">E198+G198+I198+K198+L198+O198+P198+Q198</f>
        <v>108149755</v>
      </c>
      <c r="AF198" s="2365">
        <f t="shared" ref="AF198:AF212" si="95">R198-AE198</f>
        <v>0</v>
      </c>
      <c r="AG198" s="2365">
        <f t="shared" ref="AG198:AG212" si="96">F198-G198-Q198</f>
        <v>0</v>
      </c>
      <c r="AH198" s="2365">
        <f t="shared" ref="AH198:AH213" si="97">E198+G198+I198+K198+L198+O198+P198+Q198</f>
        <v>108149755</v>
      </c>
      <c r="AI198" s="2365">
        <f t="shared" ref="AI198:AI214" si="98">R198-AH198</f>
        <v>0</v>
      </c>
      <c r="AJ198" s="2365">
        <f t="shared" ref="AJ198:AJ214" si="99">I198-AG198</f>
        <v>0</v>
      </c>
      <c r="AK198" s="2365">
        <f t="shared" ref="AK198:AK213" si="100">N198-K198-O198-P198</f>
        <v>0</v>
      </c>
      <c r="AL198" s="2365">
        <f t="shared" ref="AL198:AL214" si="101">L198-AK198</f>
        <v>0</v>
      </c>
      <c r="AN198" s="2382">
        <f t="shared" si="92"/>
        <v>108149755</v>
      </c>
      <c r="AO198" s="2365">
        <f t="shared" si="93"/>
        <v>0</v>
      </c>
      <c r="AP198" s="1811">
        <f>-4341514432</f>
        <v>-4341514432</v>
      </c>
      <c r="AR198" s="2365">
        <f t="shared" si="89"/>
        <v>108149755</v>
      </c>
      <c r="AS198" s="2365">
        <f t="shared" si="90"/>
        <v>0</v>
      </c>
      <c r="AT198" s="2365">
        <f t="shared" si="91"/>
        <v>0</v>
      </c>
    </row>
    <row r="199" spans="2:61" ht="13.9" customHeight="1" x14ac:dyDescent="0.2">
      <c r="B199" s="3822"/>
      <c r="C199" s="1595" t="s">
        <v>622</v>
      </c>
      <c r="D199" s="2449" t="s">
        <v>620</v>
      </c>
      <c r="E199" s="1811">
        <v>251933962</v>
      </c>
      <c r="F199" s="1530"/>
      <c r="G199" s="1530"/>
      <c r="H199" s="2385">
        <f t="shared" si="86"/>
        <v>251933962</v>
      </c>
      <c r="I199" s="2447">
        <f t="shared" si="87"/>
        <v>10241155917</v>
      </c>
      <c r="J199" s="1811"/>
      <c r="K199" s="1811">
        <f>'یادداشت 7 دارایییی اصلاحی'!W442</f>
        <v>-10241155917</v>
      </c>
      <c r="L199" s="1811">
        <f t="shared" si="88"/>
        <v>0</v>
      </c>
      <c r="M199" s="1811"/>
      <c r="N199" s="1811"/>
      <c r="O199" s="1811"/>
      <c r="P199" s="1811"/>
      <c r="Q199" s="1811"/>
      <c r="R199" s="1811">
        <v>251933962</v>
      </c>
      <c r="S199" s="2390"/>
      <c r="T199" s="2365"/>
      <c r="U199" s="2365">
        <f t="shared" si="73"/>
        <v>251933962</v>
      </c>
      <c r="V199" s="2365">
        <f>R199-U199</f>
        <v>0</v>
      </c>
      <c r="AB199" s="2365">
        <f t="shared" si="75"/>
        <v>251933962</v>
      </c>
      <c r="AC199" s="2365">
        <f t="shared" si="76"/>
        <v>0</v>
      </c>
      <c r="AE199" s="2365">
        <f t="shared" si="94"/>
        <v>251933962</v>
      </c>
      <c r="AF199" s="2365">
        <f t="shared" si="95"/>
        <v>0</v>
      </c>
      <c r="AG199" s="2365">
        <f t="shared" si="96"/>
        <v>0</v>
      </c>
      <c r="AH199" s="2365">
        <f t="shared" si="97"/>
        <v>251933962</v>
      </c>
      <c r="AI199" s="2365">
        <f t="shared" si="98"/>
        <v>0</v>
      </c>
      <c r="AJ199" s="2365">
        <f t="shared" si="99"/>
        <v>10241155917</v>
      </c>
      <c r="AK199" s="2365">
        <f t="shared" si="100"/>
        <v>10241155917</v>
      </c>
      <c r="AL199" s="2365">
        <f t="shared" si="101"/>
        <v>-10241155917</v>
      </c>
      <c r="AN199" s="2382">
        <f>E199+I199+L199+K199+O199+P199</f>
        <v>251933962</v>
      </c>
      <c r="AO199" s="2365">
        <f t="shared" si="93"/>
        <v>0</v>
      </c>
      <c r="AR199" s="2365">
        <f t="shared" si="89"/>
        <v>251933962</v>
      </c>
      <c r="AS199" s="2365">
        <f t="shared" si="90"/>
        <v>0</v>
      </c>
      <c r="AT199" s="2365">
        <f t="shared" si="91"/>
        <v>0</v>
      </c>
      <c r="AW199" s="2365" t="e">
        <f>AW197+#REF!</f>
        <v>#REF!</v>
      </c>
      <c r="AX199" s="2365" t="e">
        <f>AX197+#REF!</f>
        <v>#REF!</v>
      </c>
      <c r="AY199" s="2365" t="e">
        <f>AY197+#REF!</f>
        <v>#REF!</v>
      </c>
      <c r="AZ199" s="2365" t="e">
        <f>AZ197+#REF!</f>
        <v>#REF!</v>
      </c>
      <c r="BA199" s="2365" t="e">
        <f>BA197+#REF!</f>
        <v>#REF!</v>
      </c>
      <c r="BB199" s="2365" t="e">
        <f>BB197+#REF!</f>
        <v>#REF!</v>
      </c>
      <c r="BC199" s="2365" t="e">
        <f>BC197+#REF!</f>
        <v>#REF!</v>
      </c>
      <c r="BD199" s="2365" t="e">
        <f>BD197+#REF!</f>
        <v>#REF!</v>
      </c>
      <c r="BE199" s="2365" t="e">
        <f>BE197+#REF!</f>
        <v>#REF!</v>
      </c>
      <c r="BF199" s="2365" t="e">
        <f>BF197+#REF!</f>
        <v>#REF!</v>
      </c>
      <c r="BG199" s="2365" t="e">
        <f>BG197+#REF!</f>
        <v>#REF!</v>
      </c>
      <c r="BH199" s="2365" t="e">
        <f>BH197+#REF!</f>
        <v>#REF!</v>
      </c>
      <c r="BI199" s="2365" t="e">
        <f>BI197+#REF!</f>
        <v>#REF!</v>
      </c>
    </row>
    <row r="200" spans="2:61" ht="13.9" customHeight="1" x14ac:dyDescent="0.2">
      <c r="B200" s="3822"/>
      <c r="C200" s="603" t="s">
        <v>540</v>
      </c>
      <c r="D200" s="2455" t="s">
        <v>541</v>
      </c>
      <c r="E200" s="1811">
        <v>1048858856</v>
      </c>
      <c r="F200" s="1811"/>
      <c r="G200" s="1811"/>
      <c r="H200" s="2385">
        <f t="shared" si="86"/>
        <v>1048858856</v>
      </c>
      <c r="I200" s="2447">
        <f t="shared" si="87"/>
        <v>0</v>
      </c>
      <c r="J200" s="1811"/>
      <c r="K200" s="1811"/>
      <c r="L200" s="1811">
        <f t="shared" si="88"/>
        <v>0</v>
      </c>
      <c r="M200" s="1811"/>
      <c r="N200" s="1811"/>
      <c r="O200" s="1811"/>
      <c r="P200" s="1811"/>
      <c r="Q200" s="1811"/>
      <c r="R200" s="1811">
        <v>1048858856</v>
      </c>
      <c r="S200" s="2390"/>
      <c r="T200" s="2365"/>
      <c r="AB200" s="2365">
        <f t="shared" si="75"/>
        <v>1048858856</v>
      </c>
      <c r="AC200" s="2365">
        <f t="shared" si="76"/>
        <v>0</v>
      </c>
      <c r="AE200" s="2365">
        <f t="shared" si="94"/>
        <v>1048858856</v>
      </c>
      <c r="AF200" s="2365">
        <f t="shared" si="95"/>
        <v>0</v>
      </c>
      <c r="AG200" s="2365">
        <f t="shared" si="96"/>
        <v>0</v>
      </c>
      <c r="AH200" s="2365">
        <f t="shared" si="97"/>
        <v>1048858856</v>
      </c>
      <c r="AI200" s="2365">
        <f t="shared" si="98"/>
        <v>0</v>
      </c>
      <c r="AJ200" s="2365">
        <f t="shared" si="99"/>
        <v>0</v>
      </c>
      <c r="AK200" s="2365">
        <f t="shared" si="100"/>
        <v>0</v>
      </c>
      <c r="AL200" s="2365">
        <f t="shared" si="101"/>
        <v>0</v>
      </c>
      <c r="AN200" s="2382">
        <f t="shared" si="92"/>
        <v>1048858856</v>
      </c>
      <c r="AO200" s="2365">
        <f t="shared" si="93"/>
        <v>0</v>
      </c>
      <c r="AR200" s="2365">
        <f t="shared" si="89"/>
        <v>1048858856</v>
      </c>
      <c r="AS200" s="2365">
        <f t="shared" si="90"/>
        <v>0</v>
      </c>
      <c r="AT200" s="2365">
        <f t="shared" si="91"/>
        <v>0</v>
      </c>
    </row>
    <row r="201" spans="2:61" ht="13.9" customHeight="1" x14ac:dyDescent="0.2">
      <c r="B201" s="3822"/>
      <c r="C201" s="1595" t="s">
        <v>346</v>
      </c>
      <c r="D201" s="2456" t="s">
        <v>323</v>
      </c>
      <c r="E201" s="1811">
        <v>203138704680</v>
      </c>
      <c r="F201" s="1811"/>
      <c r="G201" s="1811"/>
      <c r="H201" s="2385">
        <f t="shared" si="86"/>
        <v>203138704680</v>
      </c>
      <c r="I201" s="2447">
        <f>F201-Q201-J201-K201-P201-O201</f>
        <v>394296838217</v>
      </c>
      <c r="J201" s="1811"/>
      <c r="K201" s="1811">
        <f>'یادداشت 7 دارایییی اصلاحی'!W410</f>
        <v>-394296838217</v>
      </c>
      <c r="L201" s="1811">
        <f t="shared" si="88"/>
        <v>0</v>
      </c>
      <c r="M201" s="1811"/>
      <c r="N201" s="1811"/>
      <c r="O201" s="1811"/>
      <c r="P201" s="1811"/>
      <c r="Q201" s="1811"/>
      <c r="R201" s="1811">
        <v>203138704680</v>
      </c>
      <c r="S201" s="2390"/>
      <c r="T201" s="2365"/>
      <c r="AB201" s="2365">
        <f t="shared" si="75"/>
        <v>203138704680</v>
      </c>
      <c r="AC201" s="2365">
        <f t="shared" si="76"/>
        <v>0</v>
      </c>
      <c r="AE201" s="2365">
        <f>E201+G201+I201+K201+L201+O201+P201+Q201</f>
        <v>203138704680</v>
      </c>
      <c r="AF201" s="2365">
        <f t="shared" si="95"/>
        <v>0</v>
      </c>
      <c r="AG201" s="2365">
        <f t="shared" si="96"/>
        <v>0</v>
      </c>
      <c r="AH201" s="2365">
        <f t="shared" si="97"/>
        <v>203138704680</v>
      </c>
      <c r="AI201" s="2365">
        <f t="shared" si="98"/>
        <v>0</v>
      </c>
      <c r="AJ201" s="2365">
        <f t="shared" si="99"/>
        <v>394296838217</v>
      </c>
      <c r="AK201" s="2365">
        <f t="shared" si="100"/>
        <v>394296838217</v>
      </c>
      <c r="AL201" s="2365">
        <f t="shared" si="101"/>
        <v>-394296838217</v>
      </c>
      <c r="AN201" s="2382">
        <f t="shared" si="92"/>
        <v>203138704680</v>
      </c>
      <c r="AO201" s="2365">
        <f t="shared" si="93"/>
        <v>0</v>
      </c>
      <c r="AR201" s="2365">
        <f t="shared" si="89"/>
        <v>203138704680</v>
      </c>
      <c r="AS201" s="2365">
        <f t="shared" si="90"/>
        <v>0</v>
      </c>
      <c r="AT201" s="2365">
        <f t="shared" si="91"/>
        <v>0</v>
      </c>
    </row>
    <row r="202" spans="2:61" ht="13.9" customHeight="1" x14ac:dyDescent="0.2">
      <c r="B202" s="3822"/>
      <c r="C202" s="1595" t="s">
        <v>548</v>
      </c>
      <c r="D202" s="2455" t="s">
        <v>545</v>
      </c>
      <c r="E202" s="1811">
        <v>87945413335</v>
      </c>
      <c r="F202" s="1811"/>
      <c r="G202" s="1811">
        <v>0</v>
      </c>
      <c r="H202" s="2385">
        <f t="shared" si="86"/>
        <v>87945413335</v>
      </c>
      <c r="I202" s="2447">
        <f t="shared" si="87"/>
        <v>224499846726</v>
      </c>
      <c r="J202" s="1811">
        <v>0</v>
      </c>
      <c r="K202" s="1811">
        <f>'یادداشت 7 دارایییی اصلاحی'!W427</f>
        <v>-224499846726</v>
      </c>
      <c r="L202" s="1811">
        <f t="shared" si="88"/>
        <v>-87945413335</v>
      </c>
      <c r="M202" s="1811"/>
      <c r="N202" s="1811">
        <v>-87945413335</v>
      </c>
      <c r="O202" s="1811"/>
      <c r="P202" s="1811"/>
      <c r="Q202" s="1811"/>
      <c r="R202" s="1811">
        <v>0</v>
      </c>
      <c r="S202" s="2390"/>
      <c r="T202" s="2365"/>
      <c r="AB202" s="2365">
        <f>I202+J202+L202+Q202+P202+O202+E202+K202</f>
        <v>0</v>
      </c>
      <c r="AC202" s="2365">
        <f>R202-AB202</f>
        <v>0</v>
      </c>
      <c r="AE202" s="2365">
        <f t="shared" si="94"/>
        <v>0</v>
      </c>
      <c r="AF202" s="2365">
        <f t="shared" si="95"/>
        <v>0</v>
      </c>
      <c r="AG202" s="2365">
        <f t="shared" si="96"/>
        <v>0</v>
      </c>
      <c r="AH202" s="2365">
        <f t="shared" si="97"/>
        <v>0</v>
      </c>
      <c r="AI202" s="2365">
        <f t="shared" si="98"/>
        <v>0</v>
      </c>
      <c r="AJ202" s="2365">
        <f t="shared" si="99"/>
        <v>224499846726</v>
      </c>
      <c r="AK202" s="2365">
        <f t="shared" si="100"/>
        <v>136554433391</v>
      </c>
      <c r="AL202" s="2365">
        <f t="shared" si="101"/>
        <v>-224499846726</v>
      </c>
      <c r="AN202" s="2382">
        <f t="shared" si="92"/>
        <v>0</v>
      </c>
      <c r="AO202" s="2365">
        <f>R202-AN202</f>
        <v>0</v>
      </c>
      <c r="AP202" s="2365">
        <f>F203-P203</f>
        <v>0</v>
      </c>
      <c r="AR202" s="2365">
        <f t="shared" ref="AR202:AR211" si="102">E202+I202+K202+L202+O202+P202+Q202</f>
        <v>0</v>
      </c>
      <c r="AS202" s="2365">
        <f t="shared" si="90"/>
        <v>0</v>
      </c>
      <c r="AT202" s="2365">
        <f t="shared" si="91"/>
        <v>0</v>
      </c>
    </row>
    <row r="203" spans="2:61" ht="13.9" customHeight="1" x14ac:dyDescent="0.2">
      <c r="B203" s="3822"/>
      <c r="C203" s="1595" t="s">
        <v>608</v>
      </c>
      <c r="D203" s="2457" t="s">
        <v>901</v>
      </c>
      <c r="E203" s="2447">
        <v>415077915200</v>
      </c>
      <c r="F203" s="2447"/>
      <c r="G203" s="2447"/>
      <c r="H203" s="2385">
        <f>E203+G203</f>
        <v>415077915200</v>
      </c>
      <c r="I203" s="2447">
        <f t="shared" si="87"/>
        <v>312251708176</v>
      </c>
      <c r="J203" s="2447"/>
      <c r="K203" s="2447">
        <f>'یادداشت 7 دارایییی اصلاحی'!W409</f>
        <v>-312251708176</v>
      </c>
      <c r="L203" s="1811">
        <f t="shared" si="88"/>
        <v>0</v>
      </c>
      <c r="M203" s="2447"/>
      <c r="N203" s="2447"/>
      <c r="O203" s="2447"/>
      <c r="P203" s="2447"/>
      <c r="Q203" s="2447"/>
      <c r="R203" s="2447">
        <v>415077915200</v>
      </c>
      <c r="S203" s="2390"/>
      <c r="T203" s="2365"/>
      <c r="AB203" s="2365" t="e">
        <f>I203+J203+L203+Q203+P203+O203+E203+#REF!</f>
        <v>#REF!</v>
      </c>
      <c r="AC203" s="2365" t="e">
        <f t="shared" ref="AC203:AC214" si="103">R203-AB203</f>
        <v>#REF!</v>
      </c>
      <c r="AE203" s="2365" t="e">
        <f>E203+G203+I203+#REF!+L203+O203+P203+Q203</f>
        <v>#REF!</v>
      </c>
      <c r="AF203" s="2365" t="e">
        <f t="shared" si="95"/>
        <v>#REF!</v>
      </c>
      <c r="AG203" s="2365">
        <f t="shared" si="96"/>
        <v>0</v>
      </c>
      <c r="AH203" s="2365" t="e">
        <f>E203+G203+I203+#REF!+L203+O203+P203+Q203</f>
        <v>#REF!</v>
      </c>
      <c r="AI203" s="2365" t="e">
        <f t="shared" si="98"/>
        <v>#REF!</v>
      </c>
      <c r="AJ203" s="2365">
        <f t="shared" si="99"/>
        <v>312251708176</v>
      </c>
      <c r="AK203" s="2365" t="e">
        <f>N203-#REF!-O203-P203</f>
        <v>#REF!</v>
      </c>
      <c r="AL203" s="2365" t="e">
        <f t="shared" si="101"/>
        <v>#REF!</v>
      </c>
      <c r="AN203" s="2382">
        <f t="shared" si="92"/>
        <v>415077915200</v>
      </c>
      <c r="AO203" s="2365">
        <f t="shared" si="93"/>
        <v>0</v>
      </c>
      <c r="AR203" s="2365">
        <f t="shared" si="102"/>
        <v>415077915200</v>
      </c>
      <c r="AS203" s="2365">
        <f t="shared" si="90"/>
        <v>0</v>
      </c>
      <c r="AT203" s="2365">
        <f t="shared" si="91"/>
        <v>0</v>
      </c>
    </row>
    <row r="204" spans="2:61" ht="13.9" customHeight="1" x14ac:dyDescent="0.2">
      <c r="B204" s="3822"/>
      <c r="C204" s="1595" t="s">
        <v>626</v>
      </c>
      <c r="D204" s="2449" t="s">
        <v>602</v>
      </c>
      <c r="E204" s="2447">
        <v>68377287</v>
      </c>
      <c r="F204" s="2447"/>
      <c r="G204" s="2447"/>
      <c r="H204" s="2385">
        <f t="shared" si="86"/>
        <v>68377287</v>
      </c>
      <c r="I204" s="2447">
        <f t="shared" si="87"/>
        <v>63033977302</v>
      </c>
      <c r="J204" s="2447"/>
      <c r="K204" s="2447">
        <f>'یادداشت 7 دارایییی اصلاحی'!W412</f>
        <v>-63033977302</v>
      </c>
      <c r="L204" s="1811">
        <f>N204</f>
        <v>0</v>
      </c>
      <c r="M204" s="2447"/>
      <c r="N204" s="2447"/>
      <c r="O204" s="2447"/>
      <c r="P204" s="2447"/>
      <c r="Q204" s="2447"/>
      <c r="R204" s="2447">
        <v>68377287</v>
      </c>
      <c r="S204" s="2390"/>
      <c r="T204" s="2365"/>
      <c r="AB204" s="2365">
        <f t="shared" ref="AB204:AB212" si="104">I204+J204+L204+Q204+P204+O204+E204+K204</f>
        <v>68377287</v>
      </c>
      <c r="AC204" s="2365">
        <f>R204-AB204</f>
        <v>0</v>
      </c>
      <c r="AE204" s="2365">
        <f t="shared" si="94"/>
        <v>68377287</v>
      </c>
      <c r="AF204" s="2365">
        <f t="shared" si="95"/>
        <v>0</v>
      </c>
      <c r="AG204" s="2365">
        <f t="shared" si="96"/>
        <v>0</v>
      </c>
      <c r="AH204" s="2365">
        <f>E204+G204+I204+K204+L204+O204+P204+Q204</f>
        <v>68377287</v>
      </c>
      <c r="AI204" s="2365">
        <f t="shared" si="98"/>
        <v>0</v>
      </c>
      <c r="AJ204" s="2365">
        <f t="shared" si="99"/>
        <v>63033977302</v>
      </c>
      <c r="AK204" s="2365">
        <f t="shared" si="100"/>
        <v>63033977302</v>
      </c>
      <c r="AL204" s="2365">
        <f t="shared" si="101"/>
        <v>-63033977302</v>
      </c>
      <c r="AN204" s="2382">
        <f t="shared" si="92"/>
        <v>68377287</v>
      </c>
      <c r="AO204" s="2365">
        <f t="shared" si="93"/>
        <v>0</v>
      </c>
      <c r="AP204" s="2365">
        <v>-55006740296</v>
      </c>
      <c r="AR204" s="2365">
        <f t="shared" si="102"/>
        <v>68377287</v>
      </c>
      <c r="AS204" s="2365">
        <f t="shared" si="90"/>
        <v>0</v>
      </c>
      <c r="AT204" s="2365">
        <f t="shared" si="91"/>
        <v>0</v>
      </c>
    </row>
    <row r="205" spans="2:61" ht="13.9" customHeight="1" x14ac:dyDescent="0.2">
      <c r="B205" s="3822"/>
      <c r="C205" s="2458" t="s">
        <v>292</v>
      </c>
      <c r="D205" s="2459" t="s">
        <v>1079</v>
      </c>
      <c r="E205" s="1811">
        <v>3385384236</v>
      </c>
      <c r="F205" s="1811"/>
      <c r="G205" s="1811"/>
      <c r="H205" s="2385">
        <f t="shared" si="86"/>
        <v>3385384236</v>
      </c>
      <c r="I205" s="2447">
        <f t="shared" si="87"/>
        <v>0</v>
      </c>
      <c r="J205" s="1811"/>
      <c r="K205" s="1811"/>
      <c r="L205" s="1811">
        <f t="shared" si="88"/>
        <v>0</v>
      </c>
      <c r="M205" s="1811"/>
      <c r="N205" s="1811"/>
      <c r="O205" s="1811"/>
      <c r="P205" s="1811"/>
      <c r="Q205" s="1811"/>
      <c r="R205" s="1811">
        <v>3385384236</v>
      </c>
      <c r="S205" s="2390"/>
      <c r="T205" s="2365"/>
      <c r="AB205" s="2365">
        <f t="shared" si="104"/>
        <v>3385384236</v>
      </c>
      <c r="AC205" s="2365">
        <f t="shared" si="103"/>
        <v>0</v>
      </c>
      <c r="AE205" s="2365">
        <f t="shared" si="94"/>
        <v>3385384236</v>
      </c>
      <c r="AF205" s="2365">
        <f t="shared" si="95"/>
        <v>0</v>
      </c>
      <c r="AG205" s="2365">
        <f t="shared" si="96"/>
        <v>0</v>
      </c>
      <c r="AH205" s="2365">
        <f t="shared" si="97"/>
        <v>3385384236</v>
      </c>
      <c r="AI205" s="2365">
        <f t="shared" si="98"/>
        <v>0</v>
      </c>
      <c r="AJ205" s="2365">
        <f t="shared" si="99"/>
        <v>0</v>
      </c>
      <c r="AK205" s="2365">
        <f t="shared" si="100"/>
        <v>0</v>
      </c>
      <c r="AL205" s="2365">
        <f t="shared" si="101"/>
        <v>0</v>
      </c>
      <c r="AN205" s="2382">
        <f t="shared" si="92"/>
        <v>3385384236</v>
      </c>
      <c r="AO205" s="2365">
        <f t="shared" si="93"/>
        <v>0</v>
      </c>
      <c r="AR205" s="2365">
        <f t="shared" si="102"/>
        <v>3385384236</v>
      </c>
      <c r="AS205" s="2365">
        <f t="shared" si="90"/>
        <v>0</v>
      </c>
      <c r="AT205" s="2365">
        <f t="shared" si="91"/>
        <v>0</v>
      </c>
    </row>
    <row r="206" spans="2:61" ht="13.9" customHeight="1" x14ac:dyDescent="0.2">
      <c r="B206" s="3822"/>
      <c r="C206" s="1595" t="s">
        <v>624</v>
      </c>
      <c r="D206" s="2449" t="s">
        <v>600</v>
      </c>
      <c r="E206" s="2447">
        <v>6737824610</v>
      </c>
      <c r="F206" s="2447"/>
      <c r="G206" s="2447"/>
      <c r="H206" s="2385">
        <f t="shared" si="86"/>
        <v>6737824610</v>
      </c>
      <c r="I206" s="2447">
        <f t="shared" si="87"/>
        <v>0</v>
      </c>
      <c r="J206" s="2447"/>
      <c r="K206" s="1811"/>
      <c r="L206" s="1811">
        <f t="shared" si="88"/>
        <v>0</v>
      </c>
      <c r="M206" s="2447"/>
      <c r="N206" s="1811"/>
      <c r="O206" s="1811"/>
      <c r="P206" s="2447"/>
      <c r="Q206" s="2447"/>
      <c r="R206" s="2447">
        <v>6737824610</v>
      </c>
      <c r="S206" s="2390"/>
      <c r="T206" s="2365"/>
      <c r="AN206" s="2382">
        <f t="shared" si="92"/>
        <v>6737824610</v>
      </c>
      <c r="AO206" s="2365">
        <f t="shared" si="93"/>
        <v>0</v>
      </c>
    </row>
    <row r="207" spans="2:61" ht="13.9" customHeight="1" x14ac:dyDescent="0.2">
      <c r="B207" s="3822"/>
      <c r="C207" s="1595" t="s">
        <v>542</v>
      </c>
      <c r="D207" s="2455" t="s">
        <v>335</v>
      </c>
      <c r="E207" s="2447">
        <v>204038937</v>
      </c>
      <c r="F207" s="2447"/>
      <c r="G207" s="2447"/>
      <c r="H207" s="2385">
        <f t="shared" si="86"/>
        <v>204038937</v>
      </c>
      <c r="I207" s="2447">
        <f t="shared" si="87"/>
        <v>204038937</v>
      </c>
      <c r="J207" s="2447"/>
      <c r="K207" s="1811">
        <f>'یادداشت 7 دارایییی اصلاحی'!W420</f>
        <v>-204038937</v>
      </c>
      <c r="L207" s="1811">
        <f t="shared" si="88"/>
        <v>0</v>
      </c>
      <c r="M207" s="2447"/>
      <c r="N207" s="1811"/>
      <c r="O207" s="1811"/>
      <c r="P207" s="2447"/>
      <c r="Q207" s="2447"/>
      <c r="R207" s="2447">
        <v>204038937</v>
      </c>
      <c r="S207" s="2390"/>
      <c r="T207" s="2365"/>
      <c r="AN207" s="2382">
        <f t="shared" si="92"/>
        <v>204038937</v>
      </c>
      <c r="AO207" s="2365">
        <f t="shared" si="93"/>
        <v>0</v>
      </c>
    </row>
    <row r="208" spans="2:61" ht="13.15" customHeight="1" x14ac:dyDescent="0.2">
      <c r="B208" s="3822"/>
      <c r="C208" s="1595" t="s">
        <v>677</v>
      </c>
      <c r="D208" s="2460" t="s">
        <v>676</v>
      </c>
      <c r="E208" s="2447">
        <v>4360548136</v>
      </c>
      <c r="F208" s="2447"/>
      <c r="G208" s="2447"/>
      <c r="H208" s="2385">
        <f t="shared" si="86"/>
        <v>4360548136</v>
      </c>
      <c r="I208" s="2447">
        <f>F208-Q208-J208-K208-P208-O208</f>
        <v>310000000</v>
      </c>
      <c r="J208" s="2447"/>
      <c r="K208" s="1811">
        <f>'یادداشت 7 دارایییی اصلاحی'!W448</f>
        <v>-310000000</v>
      </c>
      <c r="L208" s="1811">
        <f t="shared" si="88"/>
        <v>0</v>
      </c>
      <c r="M208" s="2447"/>
      <c r="N208" s="1811"/>
      <c r="O208" s="1811"/>
      <c r="P208" s="2447"/>
      <c r="Q208" s="2447"/>
      <c r="R208" s="2447">
        <v>4360548136</v>
      </c>
      <c r="S208" s="2390"/>
      <c r="T208" s="2365"/>
      <c r="AN208" s="2382">
        <f t="shared" si="92"/>
        <v>4360548136</v>
      </c>
      <c r="AO208" s="2365">
        <f t="shared" si="93"/>
        <v>0</v>
      </c>
    </row>
    <row r="209" spans="1:45" ht="13.9" customHeight="1" x14ac:dyDescent="0.2">
      <c r="B209" s="3822"/>
      <c r="C209" s="1595" t="s">
        <v>1083</v>
      </c>
      <c r="D209" s="2440" t="s">
        <v>1082</v>
      </c>
      <c r="E209" s="2447">
        <v>903322939</v>
      </c>
      <c r="F209" s="2447"/>
      <c r="G209" s="2447"/>
      <c r="H209" s="2385">
        <f t="shared" si="86"/>
        <v>903322939</v>
      </c>
      <c r="I209" s="2447">
        <f t="shared" si="87"/>
        <v>0</v>
      </c>
      <c r="J209" s="2447"/>
      <c r="K209" s="1811"/>
      <c r="L209" s="1811">
        <f t="shared" si="88"/>
        <v>0</v>
      </c>
      <c r="M209" s="2447"/>
      <c r="N209" s="1811"/>
      <c r="O209" s="1811"/>
      <c r="P209" s="2447"/>
      <c r="Q209" s="2447"/>
      <c r="R209" s="2447">
        <v>903322939</v>
      </c>
      <c r="S209" s="2390"/>
      <c r="T209" s="2365"/>
      <c r="AN209" s="2382">
        <f t="shared" si="92"/>
        <v>903322939</v>
      </c>
      <c r="AO209" s="2365">
        <f t="shared" si="93"/>
        <v>0</v>
      </c>
    </row>
    <row r="210" spans="1:45" ht="13.9" customHeight="1" x14ac:dyDescent="0.2">
      <c r="B210" s="3822"/>
      <c r="C210" s="3824" t="s">
        <v>1114</v>
      </c>
      <c r="D210" s="3825"/>
      <c r="E210" s="2447">
        <v>0</v>
      </c>
      <c r="F210" s="2447"/>
      <c r="G210" s="2447"/>
      <c r="H210" s="2385">
        <f>E210+G210</f>
        <v>0</v>
      </c>
      <c r="I210" s="2447">
        <f t="shared" si="87"/>
        <v>13074125276</v>
      </c>
      <c r="J210" s="2447"/>
      <c r="K210" s="1811">
        <f>'یادداشت 7 دارایییی اصلاحی'!W415+'یادداشت 7 دارایییی اصلاحی'!W428+'یادداشت 7 دارایییی اصلاحی'!W446+'یادداشت 7 دارایییی اصلاحی'!W451+'یادداشت 7 دارایییی اصلاحی'!W452</f>
        <v>-13074125276</v>
      </c>
      <c r="L210" s="1811">
        <f t="shared" si="88"/>
        <v>0</v>
      </c>
      <c r="M210" s="2447"/>
      <c r="N210" s="2461">
        <v>0</v>
      </c>
      <c r="O210" s="1811"/>
      <c r="P210" s="2447"/>
      <c r="Q210" s="2447"/>
      <c r="R210" s="2447">
        <v>0</v>
      </c>
      <c r="S210" s="2390"/>
      <c r="T210" s="2365"/>
      <c r="AB210" s="2365">
        <f t="shared" si="104"/>
        <v>0</v>
      </c>
      <c r="AC210" s="2365">
        <f t="shared" si="103"/>
        <v>0</v>
      </c>
      <c r="AE210" s="2365">
        <f t="shared" si="94"/>
        <v>0</v>
      </c>
      <c r="AF210" s="2365">
        <f t="shared" si="95"/>
        <v>0</v>
      </c>
      <c r="AG210" s="2365">
        <f t="shared" si="96"/>
        <v>0</v>
      </c>
      <c r="AH210" s="2365">
        <f t="shared" si="97"/>
        <v>0</v>
      </c>
      <c r="AI210" s="2365">
        <f t="shared" si="98"/>
        <v>0</v>
      </c>
      <c r="AJ210" s="2365">
        <f t="shared" si="99"/>
        <v>13074125276</v>
      </c>
      <c r="AK210" s="2365">
        <f t="shared" si="100"/>
        <v>13074125276</v>
      </c>
      <c r="AL210" s="2365">
        <f t="shared" si="101"/>
        <v>-13074125276</v>
      </c>
      <c r="AN210" s="2382">
        <f t="shared" si="92"/>
        <v>0</v>
      </c>
      <c r="AO210" s="2365">
        <f t="shared" si="93"/>
        <v>0</v>
      </c>
      <c r="AR210" s="2365">
        <f t="shared" si="102"/>
        <v>0</v>
      </c>
      <c r="AS210" s="2365">
        <f t="shared" si="90"/>
        <v>0</v>
      </c>
    </row>
    <row r="211" spans="1:45" ht="13.9" customHeight="1" x14ac:dyDescent="0.2">
      <c r="B211" s="3823"/>
      <c r="C211" s="3826" t="s">
        <v>932</v>
      </c>
      <c r="D211" s="3826"/>
      <c r="E211" s="2447">
        <f>SUM(E188:E210)</f>
        <v>897077190744</v>
      </c>
      <c r="F211" s="2447">
        <f t="shared" ref="F211:R211" si="105">SUM(F188:F210)</f>
        <v>0</v>
      </c>
      <c r="G211" s="2447">
        <f t="shared" si="105"/>
        <v>0</v>
      </c>
      <c r="H211" s="2447">
        <f t="shared" si="105"/>
        <v>897077190744</v>
      </c>
      <c r="I211" s="2447">
        <f t="shared" si="105"/>
        <v>1142638963376</v>
      </c>
      <c r="J211" s="2447">
        <f t="shared" si="105"/>
        <v>0</v>
      </c>
      <c r="K211" s="2447">
        <f t="shared" si="105"/>
        <v>-1142638963376</v>
      </c>
      <c r="L211" s="2447">
        <f>SUM(L188:L210)</f>
        <v>-87945413335</v>
      </c>
      <c r="M211" s="2447">
        <f t="shared" si="105"/>
        <v>0</v>
      </c>
      <c r="N211" s="2447">
        <f t="shared" si="105"/>
        <v>-87945413335</v>
      </c>
      <c r="O211" s="2447">
        <f t="shared" si="105"/>
        <v>0</v>
      </c>
      <c r="P211" s="2447">
        <f t="shared" si="105"/>
        <v>0</v>
      </c>
      <c r="Q211" s="2447">
        <f t="shared" si="105"/>
        <v>0</v>
      </c>
      <c r="R211" s="2447">
        <f t="shared" si="105"/>
        <v>809131777409</v>
      </c>
      <c r="S211" s="2390"/>
      <c r="T211" s="2365">
        <v>9091321021145</v>
      </c>
      <c r="U211" s="2365">
        <f>E211+I211+K211+L211+O211+P211+Q211</f>
        <v>809131777409</v>
      </c>
      <c r="V211" s="2365">
        <f>R211-U211</f>
        <v>0</v>
      </c>
      <c r="AB211" s="2365">
        <f t="shared" si="104"/>
        <v>809131777409</v>
      </c>
      <c r="AC211" s="2365">
        <f t="shared" si="103"/>
        <v>0</v>
      </c>
      <c r="AE211" s="2365">
        <f t="shared" si="94"/>
        <v>809131777409</v>
      </c>
      <c r="AF211" s="2365">
        <f t="shared" si="95"/>
        <v>0</v>
      </c>
      <c r="AG211" s="2365">
        <f t="shared" si="96"/>
        <v>0</v>
      </c>
      <c r="AH211" s="2365">
        <f t="shared" si="97"/>
        <v>809131777409</v>
      </c>
      <c r="AI211" s="2365">
        <f t="shared" si="98"/>
        <v>0</v>
      </c>
      <c r="AJ211" s="2365">
        <f t="shared" si="99"/>
        <v>1142638963376</v>
      </c>
      <c r="AK211" s="2365">
        <f t="shared" si="100"/>
        <v>1054693550041</v>
      </c>
      <c r="AL211" s="2365">
        <f t="shared" si="101"/>
        <v>-1142638963376</v>
      </c>
      <c r="AN211" s="2382">
        <f t="shared" si="92"/>
        <v>809131777409</v>
      </c>
      <c r="AO211" s="2365">
        <f t="shared" si="93"/>
        <v>0</v>
      </c>
      <c r="AQ211" s="2365">
        <f>8447043549213-4479769891884</f>
        <v>3967273657329</v>
      </c>
      <c r="AR211" s="2365">
        <f t="shared" si="102"/>
        <v>809131777409</v>
      </c>
    </row>
    <row r="212" spans="1:45" ht="12" customHeight="1" thickBot="1" x14ac:dyDescent="0.25">
      <c r="B212" s="3810" t="s">
        <v>386</v>
      </c>
      <c r="C212" s="3811"/>
      <c r="D212" s="3812"/>
      <c r="E212" s="2462">
        <f>E211+E178</f>
        <v>7803686942326</v>
      </c>
      <c r="F212" s="2462">
        <f t="shared" ref="F212:R212" si="106">F211+F178</f>
        <v>23657760571088</v>
      </c>
      <c r="G212" s="2462">
        <f t="shared" si="106"/>
        <v>0</v>
      </c>
      <c r="H212" s="2462">
        <f t="shared" si="106"/>
        <v>7803686942326</v>
      </c>
      <c r="I212" s="2462">
        <f t="shared" si="106"/>
        <v>23763380267731</v>
      </c>
      <c r="J212" s="2462">
        <f t="shared" si="106"/>
        <v>0</v>
      </c>
      <c r="K212" s="2462">
        <f>K211+K178</f>
        <v>1239</v>
      </c>
      <c r="L212" s="2462">
        <f t="shared" si="106"/>
        <v>-22251976886459</v>
      </c>
      <c r="M212" s="2462">
        <f t="shared" si="106"/>
        <v>0</v>
      </c>
      <c r="N212" s="2462">
        <f t="shared" si="106"/>
        <v>-22251976886459</v>
      </c>
      <c r="O212" s="2462">
        <f t="shared" si="106"/>
        <v>-35356171773</v>
      </c>
      <c r="P212" s="2462">
        <f t="shared" si="106"/>
        <v>-70263526109</v>
      </c>
      <c r="Q212" s="2462">
        <f t="shared" si="106"/>
        <v>0</v>
      </c>
      <c r="R212" s="2462">
        <f t="shared" si="106"/>
        <v>9209470626955</v>
      </c>
      <c r="S212" s="2414"/>
      <c r="T212" s="2365">
        <v>762698793817</v>
      </c>
      <c r="U212" s="2365">
        <f>E212+I212+K212+L212+O212+P212+Q212</f>
        <v>9209470626955</v>
      </c>
      <c r="V212" s="2365">
        <f>R212-U212</f>
        <v>0</v>
      </c>
      <c r="AB212" s="2365">
        <f t="shared" si="104"/>
        <v>9209470626955</v>
      </c>
      <c r="AC212" s="2365">
        <f>R212-AB212</f>
        <v>0</v>
      </c>
      <c r="AE212" s="2365">
        <f t="shared" si="94"/>
        <v>9209470626955</v>
      </c>
      <c r="AF212" s="2365">
        <f t="shared" si="95"/>
        <v>0</v>
      </c>
      <c r="AG212" s="2365">
        <f t="shared" si="96"/>
        <v>23657760571088</v>
      </c>
      <c r="AH212" s="2365">
        <f t="shared" si="97"/>
        <v>9209470626955</v>
      </c>
      <c r="AI212" s="2365">
        <f>R212-AH212</f>
        <v>0</v>
      </c>
      <c r="AJ212" s="2365">
        <f t="shared" si="99"/>
        <v>105619696643</v>
      </c>
      <c r="AK212" s="2365">
        <f t="shared" si="100"/>
        <v>-22146357189816</v>
      </c>
      <c r="AL212" s="2365">
        <f t="shared" si="101"/>
        <v>-105619696643</v>
      </c>
      <c r="AN212" s="2382">
        <f>E212+I212+L212+K212+O212+P212</f>
        <v>9209470626955</v>
      </c>
      <c r="AO212" s="2365">
        <f t="shared" si="93"/>
        <v>0</v>
      </c>
      <c r="AQ212" s="2365">
        <v>848842778752</v>
      </c>
    </row>
    <row r="213" spans="1:45" ht="13.15" customHeight="1" thickTop="1" x14ac:dyDescent="0.2">
      <c r="B213" s="668"/>
      <c r="C213" s="668"/>
      <c r="D213" s="668"/>
      <c r="E213" s="2414"/>
      <c r="F213" s="2414"/>
      <c r="G213" s="2414"/>
      <c r="H213" s="2414"/>
      <c r="I213" s="2204" t="s">
        <v>1117</v>
      </c>
      <c r="J213" s="2204"/>
      <c r="K213" s="2414"/>
      <c r="L213" s="2204" t="s">
        <v>1117</v>
      </c>
      <c r="M213" s="3813" t="s">
        <v>1950</v>
      </c>
      <c r="N213" s="3813"/>
      <c r="O213" s="3813"/>
      <c r="P213" s="2204" t="s">
        <v>1903</v>
      </c>
      <c r="Q213" s="2204" t="s">
        <v>959</v>
      </c>
      <c r="R213" s="2414"/>
      <c r="S213" s="2414"/>
      <c r="T213" s="2365">
        <f>SUM(T211:T212)</f>
        <v>9854019814962</v>
      </c>
      <c r="AC213" s="2365">
        <f t="shared" si="103"/>
        <v>0</v>
      </c>
      <c r="AF213" s="2365">
        <v>9091632021144</v>
      </c>
      <c r="AH213" s="2365" t="e">
        <f t="shared" si="97"/>
        <v>#VALUE!</v>
      </c>
      <c r="AI213" s="2365" t="e">
        <f t="shared" si="98"/>
        <v>#VALUE!</v>
      </c>
      <c r="AJ213" s="2365" t="e">
        <f t="shared" si="99"/>
        <v>#VALUE!</v>
      </c>
      <c r="AK213" s="2365" t="e">
        <f t="shared" si="100"/>
        <v>#VALUE!</v>
      </c>
      <c r="AL213" s="2365" t="e">
        <f t="shared" si="101"/>
        <v>#VALUE!</v>
      </c>
      <c r="AN213" s="2382"/>
      <c r="AO213" s="2365">
        <f t="shared" si="93"/>
        <v>0</v>
      </c>
      <c r="AP213" s="2365" t="e">
        <f>R211+#REF!</f>
        <v>#REF!</v>
      </c>
      <c r="AQ213" s="2365">
        <f>SUM(AQ211:AQ212)</f>
        <v>4816116436081</v>
      </c>
      <c r="AR213" s="2365">
        <v>9406459886724</v>
      </c>
    </row>
    <row r="214" spans="1:45" ht="0.6" hidden="1" customHeight="1" x14ac:dyDescent="0.2">
      <c r="A214" s="2415"/>
      <c r="B214" s="2399"/>
      <c r="C214" s="669" t="s">
        <v>963</v>
      </c>
      <c r="D214" s="3818" t="s">
        <v>1134</v>
      </c>
      <c r="E214" s="3818"/>
      <c r="F214" s="3818"/>
      <c r="G214" s="3818"/>
      <c r="H214" s="3818"/>
      <c r="I214" s="3818"/>
      <c r="J214" s="3818"/>
      <c r="K214" s="3818"/>
      <c r="L214" s="3818"/>
      <c r="M214" s="3818"/>
      <c r="N214" s="3818"/>
      <c r="O214" s="3818"/>
      <c r="P214" s="3818"/>
      <c r="Q214" s="3818"/>
      <c r="R214" s="3818"/>
      <c r="S214" s="1359"/>
      <c r="T214" s="2365"/>
      <c r="U214" s="2365">
        <f>E214+I214+K214+L214+O214+P214+Q214</f>
        <v>0</v>
      </c>
      <c r="V214" s="2365">
        <f>R214-U214</f>
        <v>0</v>
      </c>
      <c r="AB214" s="2365">
        <f>I214+J214+L214+Q214+P214+O214+E214+K214</f>
        <v>0</v>
      </c>
      <c r="AC214" s="2365">
        <f t="shared" si="103"/>
        <v>0</v>
      </c>
      <c r="AF214" s="2365">
        <v>762808793817</v>
      </c>
      <c r="AI214" s="2365">
        <f t="shared" si="98"/>
        <v>0</v>
      </c>
      <c r="AJ214" s="2365">
        <f t="shared" si="99"/>
        <v>0</v>
      </c>
      <c r="AL214" s="2365">
        <f t="shared" si="101"/>
        <v>0</v>
      </c>
      <c r="AN214" s="2382">
        <f t="shared" si="92"/>
        <v>0</v>
      </c>
      <c r="AO214" s="2365">
        <f t="shared" si="93"/>
        <v>0</v>
      </c>
      <c r="AQ214" s="2397"/>
      <c r="AR214" s="2365">
        <f>E214+I214+K214+L214+O214+P214+Q214</f>
        <v>0</v>
      </c>
      <c r="AS214" s="2365">
        <f>R214-AR214</f>
        <v>0</v>
      </c>
    </row>
    <row r="215" spans="1:45" ht="0.6" hidden="1" customHeight="1" x14ac:dyDescent="0.2">
      <c r="A215" s="2415"/>
      <c r="B215" s="2399"/>
      <c r="C215" s="669"/>
      <c r="D215" s="1699"/>
      <c r="E215" s="1084"/>
      <c r="F215" s="1084"/>
      <c r="G215" s="1084"/>
      <c r="H215" s="1084"/>
      <c r="I215" s="1084"/>
      <c r="J215" s="1084"/>
      <c r="K215" s="1084"/>
      <c r="L215" s="1084"/>
      <c r="M215" s="1084"/>
      <c r="N215" s="1084"/>
      <c r="O215" s="1084"/>
      <c r="P215" s="1084"/>
      <c r="Q215" s="1084"/>
      <c r="R215" s="1084"/>
      <c r="S215" s="1359"/>
      <c r="T215" s="2365"/>
      <c r="AN215" s="2382">
        <f t="shared" si="92"/>
        <v>0</v>
      </c>
      <c r="AO215" s="2365">
        <f t="shared" si="93"/>
        <v>0</v>
      </c>
      <c r="AQ215" s="2397"/>
    </row>
    <row r="216" spans="1:45" ht="13.9" customHeight="1" x14ac:dyDescent="0.2">
      <c r="A216" s="2415"/>
      <c r="B216" s="2399"/>
      <c r="C216" s="670" t="s">
        <v>1831</v>
      </c>
      <c r="D216" s="3819" t="s">
        <v>2226</v>
      </c>
      <c r="E216" s="3819"/>
      <c r="F216" s="3819"/>
      <c r="G216" s="3819"/>
      <c r="H216" s="3819"/>
      <c r="I216" s="3819"/>
      <c r="J216" s="3819"/>
      <c r="K216" s="3819"/>
      <c r="L216" s="3819"/>
      <c r="M216" s="3819"/>
      <c r="N216" s="3819"/>
      <c r="O216" s="3819"/>
      <c r="P216" s="3819"/>
      <c r="Q216" s="3819"/>
      <c r="R216" s="3819"/>
      <c r="S216" s="1359"/>
      <c r="T216" s="2365"/>
      <c r="AF216" s="2365" t="e">
        <f>#REF!-AE212</f>
        <v>#REF!</v>
      </c>
      <c r="AN216" s="2382">
        <f>E212+I212+L212+O212+P212</f>
        <v>9209470625716</v>
      </c>
      <c r="AO216" s="2365">
        <f t="shared" si="93"/>
        <v>-9209470625716</v>
      </c>
      <c r="AP216" s="2365">
        <v>1655227891559</v>
      </c>
      <c r="AQ216" s="2365">
        <v>-598042409345</v>
      </c>
      <c r="AR216" s="2365">
        <v>848842778752</v>
      </c>
    </row>
    <row r="217" spans="1:45" ht="13.9" customHeight="1" x14ac:dyDescent="0.2">
      <c r="A217" s="2415"/>
      <c r="B217" s="2399"/>
      <c r="C217" s="670"/>
      <c r="D217" s="3819"/>
      <c r="E217" s="3819"/>
      <c r="F217" s="3819"/>
      <c r="G217" s="3819"/>
      <c r="H217" s="3819"/>
      <c r="I217" s="3819"/>
      <c r="J217" s="3819"/>
      <c r="K217" s="3819"/>
      <c r="L217" s="3819"/>
      <c r="M217" s="3819"/>
      <c r="N217" s="3819"/>
      <c r="O217" s="3819"/>
      <c r="P217" s="3819"/>
      <c r="Q217" s="3819"/>
      <c r="R217" s="3819"/>
      <c r="S217" s="1359"/>
      <c r="T217" s="2365"/>
      <c r="AN217" s="2382">
        <f t="shared" si="92"/>
        <v>0</v>
      </c>
      <c r="AO217" s="2365">
        <f t="shared" si="93"/>
        <v>0</v>
      </c>
      <c r="AP217" s="2365">
        <f>AP216-F212</f>
        <v>-22002532679529</v>
      </c>
      <c r="AQ217" s="2438">
        <f>AQ216-N212</f>
        <v>21653934477114</v>
      </c>
      <c r="AR217" s="2365" t="e">
        <f>AR213-#REF!+AR216</f>
        <v>#REF!</v>
      </c>
      <c r="AS217" s="2365" t="e">
        <f>R216-AR217</f>
        <v>#REF!</v>
      </c>
    </row>
    <row r="218" spans="1:45" ht="28.15" hidden="1" customHeight="1" x14ac:dyDescent="0.2">
      <c r="A218" s="2415"/>
      <c r="B218" s="2399"/>
      <c r="C218" s="670"/>
      <c r="D218" s="1360"/>
      <c r="E218" s="1361"/>
      <c r="F218" s="1361"/>
      <c r="G218" s="1361"/>
      <c r="H218" s="1361"/>
      <c r="I218" s="1361"/>
      <c r="J218" s="1361"/>
      <c r="K218" s="1361"/>
      <c r="L218" s="1361"/>
      <c r="M218" s="1361"/>
      <c r="N218" s="1361"/>
      <c r="O218" s="1361"/>
      <c r="P218" s="1361"/>
      <c r="Q218" s="1361"/>
      <c r="R218" s="1361"/>
      <c r="S218" s="1359"/>
      <c r="T218" s="2365"/>
      <c r="AN218" s="2382">
        <f t="shared" si="92"/>
        <v>0</v>
      </c>
      <c r="AO218" s="2365">
        <f t="shared" si="93"/>
        <v>0</v>
      </c>
      <c r="AQ218" s="2438"/>
    </row>
    <row r="219" spans="1:45" ht="12" customHeight="1" x14ac:dyDescent="0.2">
      <c r="A219" s="3820">
        <v>72000000</v>
      </c>
      <c r="B219" s="3820"/>
      <c r="C219" s="3820"/>
      <c r="D219" s="3820"/>
      <c r="E219" s="3820"/>
      <c r="F219" s="3820"/>
      <c r="G219" s="3820"/>
      <c r="H219" s="3820"/>
      <c r="I219" s="3820"/>
      <c r="J219" s="3820"/>
      <c r="K219" s="3820"/>
      <c r="L219" s="3820"/>
      <c r="M219" s="3820"/>
      <c r="N219" s="3820"/>
      <c r="O219" s="3820"/>
      <c r="P219" s="3820"/>
      <c r="Q219" s="3820"/>
      <c r="R219" s="3820"/>
      <c r="S219" s="2463"/>
      <c r="T219" s="2365"/>
      <c r="U219" s="2365">
        <f>E219+I219+K219+L219+O219+P219+Q219</f>
        <v>0</v>
      </c>
      <c r="V219" s="2365">
        <f>R219-U219</f>
        <v>0</v>
      </c>
      <c r="AB219" s="2365">
        <v>9091632021144</v>
      </c>
      <c r="AF219" s="2365">
        <v>435364087292</v>
      </c>
      <c r="AN219" s="2382">
        <f t="shared" si="92"/>
        <v>0</v>
      </c>
      <c r="AO219" s="2365">
        <f t="shared" si="93"/>
        <v>0</v>
      </c>
      <c r="AP219" s="2365">
        <f>AP217+AQ217</f>
        <v>-348598202415</v>
      </c>
      <c r="AS219" s="2365">
        <f>R217-AR219</f>
        <v>0</v>
      </c>
    </row>
    <row r="220" spans="1:45" ht="6.6" hidden="1" customHeight="1" x14ac:dyDescent="0.2">
      <c r="C220" s="2365"/>
      <c r="D220" s="2365"/>
      <c r="E220" s="2204"/>
      <c r="F220" s="2204"/>
      <c r="G220" s="2204"/>
      <c r="H220" s="2204"/>
      <c r="I220" s="2204"/>
      <c r="J220" s="2204"/>
      <c r="R220" s="2204"/>
      <c r="S220" s="1357"/>
      <c r="T220" s="2365"/>
      <c r="AN220" s="2382">
        <f t="shared" si="92"/>
        <v>0</v>
      </c>
      <c r="AO220" s="2365">
        <f t="shared" si="93"/>
        <v>0</v>
      </c>
    </row>
    <row r="221" spans="1:45" ht="6.6" hidden="1" customHeight="1" x14ac:dyDescent="0.2">
      <c r="C221" s="2365"/>
      <c r="D221" s="2365"/>
      <c r="E221" s="2204"/>
      <c r="F221" s="2204"/>
      <c r="G221" s="2204"/>
      <c r="H221" s="2204"/>
      <c r="I221" s="2204"/>
      <c r="J221" s="2204"/>
      <c r="R221" s="2204"/>
      <c r="S221" s="1357"/>
      <c r="T221" s="2365"/>
      <c r="AN221" s="2382">
        <f t="shared" si="92"/>
        <v>0</v>
      </c>
      <c r="AO221" s="2365">
        <f t="shared" si="93"/>
        <v>0</v>
      </c>
    </row>
    <row r="222" spans="1:45" ht="6.6" hidden="1" customHeight="1" x14ac:dyDescent="0.2">
      <c r="S222" s="1357"/>
      <c r="T222" s="2365"/>
      <c r="AN222" s="2382">
        <f t="shared" si="92"/>
        <v>0</v>
      </c>
      <c r="AO222" s="2365">
        <f t="shared" si="93"/>
        <v>0</v>
      </c>
    </row>
    <row r="223" spans="1:45" ht="6.6" hidden="1" customHeight="1" x14ac:dyDescent="0.2">
      <c r="C223" s="1784" t="s">
        <v>104</v>
      </c>
      <c r="D223" s="2464" t="s">
        <v>331</v>
      </c>
      <c r="E223" s="2385">
        <v>15873260326</v>
      </c>
      <c r="F223" s="2385">
        <v>1190963814</v>
      </c>
      <c r="G223" s="2385"/>
      <c r="H223" s="2385"/>
      <c r="I223" s="2385">
        <f>F223-Q223-J223</f>
        <v>1190963814</v>
      </c>
      <c r="J223" s="2385"/>
      <c r="K223" s="1811">
        <v>-8222647493</v>
      </c>
      <c r="L223" s="2385">
        <f>N223-K223-O223-P223</f>
        <v>685351786</v>
      </c>
      <c r="M223" s="2385"/>
      <c r="N223" s="2385">
        <v>-7553967845</v>
      </c>
      <c r="O223" s="2385"/>
      <c r="P223" s="2385">
        <v>-16672138</v>
      </c>
      <c r="Q223" s="2385"/>
      <c r="R223" s="2385">
        <v>9510256295</v>
      </c>
      <c r="S223" s="1357"/>
      <c r="T223" s="2365"/>
      <c r="AN223" s="2382">
        <f t="shared" si="92"/>
        <v>9510256295</v>
      </c>
      <c r="AO223" s="2365">
        <f t="shared" si="93"/>
        <v>0</v>
      </c>
    </row>
    <row r="224" spans="1:45" ht="6.6" hidden="1" customHeight="1" x14ac:dyDescent="0.2">
      <c r="C224" s="3399" t="s">
        <v>1103</v>
      </c>
      <c r="D224" s="3821"/>
      <c r="E224" s="1811">
        <v>59161553873</v>
      </c>
      <c r="F224" s="1811">
        <f>765610410+121767348+946573739+218925000+225554708+62028128+998384417+626578198+2577821141</f>
        <v>6543243089</v>
      </c>
      <c r="G224" s="1811"/>
      <c r="H224" s="1811"/>
      <c r="I224" s="1811">
        <f>F224-Q224-J224</f>
        <v>6543243089</v>
      </c>
      <c r="J224" s="1811"/>
      <c r="K224" s="1811">
        <f>-159497943-1027386001-259696388-14522718-1002128-369705820-121767348-1584464050-11214444407-537108180-672846-3917494-3665235981-3684316221+70058801-7079678380-292650290-3601902777</f>
        <v>-33547910171</v>
      </c>
      <c r="L224" s="1811">
        <f>N224-K224-O224-P224</f>
        <v>-10322936510</v>
      </c>
      <c r="M224" s="1811"/>
      <c r="N224" s="1811">
        <f>-155495907-62028128-297162-57677882-10406337-17556833725-4289656092-602227-1135316230-537108180-2710207824-11157515639-3917494-450250290-159497943-2025770418-243534696-3505492966-149264757+149219875+44909</f>
        <v>-44061609113</v>
      </c>
      <c r="O224" s="1811">
        <v>-80762432</v>
      </c>
      <c r="P224" s="1811">
        <v>-110000000</v>
      </c>
      <c r="Q224" s="1811">
        <v>0</v>
      </c>
      <c r="R224" s="1811">
        <f>272983378+993956+631059717+643095+1446963+58250000+881788138+100685452+16067322324+557282+1005462546+1137787+62171592+819508249+38144444+1496983142+156206771+42945568+1051231869+1470294730+1406826+4202662+4647274+1447686+1024191+228560+178637828-3127634126</f>
        <v>21223777904</v>
      </c>
      <c r="S224" s="1357"/>
      <c r="T224" s="2365"/>
      <c r="AN224" s="2382">
        <f t="shared" si="92"/>
        <v>21643187849</v>
      </c>
      <c r="AO224" s="2365">
        <f t="shared" si="93"/>
        <v>-419409945</v>
      </c>
    </row>
    <row r="225" spans="3:41" ht="6.6" hidden="1" customHeight="1" x14ac:dyDescent="0.2">
      <c r="C225" s="1762" t="s">
        <v>81</v>
      </c>
      <c r="D225" s="2465" t="s">
        <v>82</v>
      </c>
      <c r="E225" s="2385">
        <v>11519820410</v>
      </c>
      <c r="F225" s="2385"/>
      <c r="G225" s="2385"/>
      <c r="H225" s="2385"/>
      <c r="I225" s="2385">
        <v>0</v>
      </c>
      <c r="J225" s="2385"/>
      <c r="K225" s="1811">
        <v>-8971869231</v>
      </c>
      <c r="L225" s="2385">
        <v>1400000000</v>
      </c>
      <c r="M225" s="2385"/>
      <c r="N225" s="2385">
        <v>-7633897359</v>
      </c>
      <c r="O225" s="2385"/>
      <c r="P225" s="2385">
        <v>-62028128</v>
      </c>
      <c r="Q225" s="2385"/>
      <c r="R225" s="2385">
        <v>3885922769</v>
      </c>
      <c r="S225" s="1357"/>
      <c r="T225" s="2365"/>
      <c r="AN225" s="2382">
        <f t="shared" si="92"/>
        <v>3885923051</v>
      </c>
      <c r="AO225" s="2365">
        <f t="shared" si="93"/>
        <v>-282</v>
      </c>
    </row>
    <row r="226" spans="3:41" ht="6.6" hidden="1" customHeight="1" x14ac:dyDescent="0.2">
      <c r="C226" s="1762" t="s">
        <v>544</v>
      </c>
      <c r="D226" s="2466" t="s">
        <v>543</v>
      </c>
      <c r="E226" s="2385">
        <v>4981849190</v>
      </c>
      <c r="F226" s="2385">
        <v>29799007</v>
      </c>
      <c r="G226" s="2385"/>
      <c r="H226" s="2385"/>
      <c r="I226" s="2385">
        <v>29799007</v>
      </c>
      <c r="J226" s="2385"/>
      <c r="K226" s="1811">
        <v>-3025176565</v>
      </c>
      <c r="L226" s="2385">
        <v>10047654</v>
      </c>
      <c r="M226" s="2385"/>
      <c r="N226" s="2385">
        <v>-3015128911</v>
      </c>
      <c r="O226" s="2385"/>
      <c r="P226" s="2385"/>
      <c r="Q226" s="2385"/>
      <c r="R226" s="2385">
        <v>1996519286</v>
      </c>
      <c r="S226" s="1357"/>
      <c r="T226" s="2365"/>
      <c r="AN226" s="2382">
        <f t="shared" si="92"/>
        <v>1996519286</v>
      </c>
      <c r="AO226" s="2365">
        <f t="shared" si="93"/>
        <v>0</v>
      </c>
    </row>
    <row r="227" spans="3:41" ht="6.6" hidden="1" customHeight="1" x14ac:dyDescent="0.2">
      <c r="C227" s="1762" t="s">
        <v>107</v>
      </c>
      <c r="D227" s="2467" t="s">
        <v>939</v>
      </c>
      <c r="E227" s="2385">
        <v>4554518102</v>
      </c>
      <c r="F227" s="2385">
        <v>1524040698</v>
      </c>
      <c r="G227" s="2385"/>
      <c r="H227" s="2385"/>
      <c r="I227" s="2385">
        <v>1524040698</v>
      </c>
      <c r="J227" s="2385"/>
      <c r="K227" s="1811">
        <v>-1220618113</v>
      </c>
      <c r="L227" s="2385">
        <v>565317625</v>
      </c>
      <c r="M227" s="2385"/>
      <c r="N227" s="2385">
        <v>-655300488</v>
      </c>
      <c r="O227" s="2385"/>
      <c r="P227" s="2385"/>
      <c r="Q227" s="2385"/>
      <c r="R227" s="2385">
        <v>5423258312</v>
      </c>
      <c r="S227" s="1357"/>
      <c r="T227" s="2365"/>
      <c r="AN227" s="2382">
        <f t="shared" si="92"/>
        <v>5423258312</v>
      </c>
      <c r="AO227" s="2365">
        <f t="shared" si="93"/>
        <v>0</v>
      </c>
    </row>
    <row r="228" spans="3:41" ht="6.6" hidden="1" customHeight="1" x14ac:dyDescent="0.2">
      <c r="C228" s="1762" t="s">
        <v>958</v>
      </c>
      <c r="D228" s="2467" t="s">
        <v>749</v>
      </c>
      <c r="E228" s="2385">
        <v>3048052470</v>
      </c>
      <c r="F228" s="2385"/>
      <c r="G228" s="2385"/>
      <c r="H228" s="2385"/>
      <c r="I228" s="2385">
        <v>0</v>
      </c>
      <c r="J228" s="2385"/>
      <c r="K228" s="1811">
        <v>-1818766173</v>
      </c>
      <c r="L228" s="2385">
        <v>40015508</v>
      </c>
      <c r="M228" s="2385"/>
      <c r="N228" s="2385">
        <v>-1778750665</v>
      </c>
      <c r="O228" s="2385"/>
      <c r="P228" s="2385"/>
      <c r="Q228" s="2385"/>
      <c r="R228" s="2385">
        <v>1269301805</v>
      </c>
      <c r="S228" s="1357"/>
      <c r="T228" s="2365"/>
      <c r="AN228" s="2382">
        <f t="shared" si="92"/>
        <v>1269301805</v>
      </c>
      <c r="AO228" s="2365">
        <f t="shared" si="93"/>
        <v>0</v>
      </c>
    </row>
    <row r="229" spans="3:41" ht="6.6" hidden="1" customHeight="1" x14ac:dyDescent="0.2">
      <c r="C229" s="1762" t="s">
        <v>303</v>
      </c>
      <c r="D229" s="2468" t="s">
        <v>618</v>
      </c>
      <c r="E229" s="2385">
        <v>2871862746</v>
      </c>
      <c r="F229" s="2385"/>
      <c r="G229" s="2385"/>
      <c r="H229" s="2385"/>
      <c r="I229" s="2385">
        <v>0</v>
      </c>
      <c r="J229" s="2385"/>
      <c r="K229" s="1811">
        <v>-766157550</v>
      </c>
      <c r="L229" s="2385">
        <v>198399978</v>
      </c>
      <c r="M229" s="2385"/>
      <c r="N229" s="2385">
        <v>-567757572</v>
      </c>
      <c r="O229" s="2385"/>
      <c r="P229" s="2385"/>
      <c r="Q229" s="2385"/>
      <c r="R229" s="2385">
        <v>2304105174</v>
      </c>
      <c r="S229" s="1357"/>
      <c r="T229" s="2365"/>
      <c r="AN229" s="2382">
        <f t="shared" si="92"/>
        <v>2304105174</v>
      </c>
      <c r="AO229" s="2365">
        <f t="shared" si="93"/>
        <v>0</v>
      </c>
    </row>
    <row r="230" spans="3:41" ht="6.6" hidden="1" customHeight="1" x14ac:dyDescent="0.2">
      <c r="C230" s="1762" t="s">
        <v>429</v>
      </c>
      <c r="D230" s="2468" t="s">
        <v>319</v>
      </c>
      <c r="E230" s="2385">
        <v>813302171</v>
      </c>
      <c r="F230" s="2385"/>
      <c r="G230" s="2385"/>
      <c r="H230" s="2385"/>
      <c r="I230" s="2385">
        <v>0</v>
      </c>
      <c r="J230" s="2385"/>
      <c r="K230" s="1811">
        <v>-56217704</v>
      </c>
      <c r="L230" s="2385">
        <v>56217704</v>
      </c>
      <c r="M230" s="2385"/>
      <c r="N230" s="2385"/>
      <c r="O230" s="2385"/>
      <c r="P230" s="2385"/>
      <c r="Q230" s="2385"/>
      <c r="R230" s="2385">
        <v>813302171</v>
      </c>
      <c r="S230" s="1357"/>
      <c r="T230" s="2365"/>
      <c r="AN230" s="2382">
        <f t="shared" si="92"/>
        <v>813302171</v>
      </c>
      <c r="AO230" s="2365">
        <f t="shared" si="93"/>
        <v>0</v>
      </c>
    </row>
    <row r="231" spans="3:41" ht="6.6" hidden="1" customHeight="1" x14ac:dyDescent="0.2">
      <c r="C231" s="2365"/>
      <c r="D231" s="2365"/>
      <c r="E231" s="2204">
        <f>SUM(E223:E230)</f>
        <v>102824219288</v>
      </c>
      <c r="F231" s="2204">
        <f>SUM(F223:F230)</f>
        <v>9288046608</v>
      </c>
      <c r="G231" s="2204">
        <f>SUM(G224:G230)</f>
        <v>0</v>
      </c>
      <c r="H231" s="2204"/>
      <c r="I231" s="2204">
        <f>SUM(I223:I230)</f>
        <v>9288046608</v>
      </c>
      <c r="J231" s="2204">
        <f>SUM(J224:J230)</f>
        <v>0</v>
      </c>
      <c r="K231" s="2204">
        <f>SUM(K223:K230)</f>
        <v>-57629363000</v>
      </c>
      <c r="L231" s="2204">
        <f>SUM(L223:L230)</f>
        <v>-7367586255</v>
      </c>
      <c r="M231" s="2204">
        <f>SUM(M224:M230)</f>
        <v>0</v>
      </c>
      <c r="N231" s="2204">
        <f>SUM(N223:N230)</f>
        <v>-65266411953</v>
      </c>
      <c r="O231" s="2204">
        <f>SUM(O223:O230)</f>
        <v>-80762432</v>
      </c>
      <c r="P231" s="2204">
        <f>SUM(P223:P230)</f>
        <v>-188700266</v>
      </c>
      <c r="Q231" s="2204">
        <f>SUM(Q224:Q230)</f>
        <v>0</v>
      </c>
      <c r="R231" s="2204">
        <f>SUM(R223:R230)</f>
        <v>46426443716</v>
      </c>
      <c r="S231" s="1357"/>
      <c r="T231" s="2365"/>
      <c r="AN231" s="2382">
        <f t="shared" si="92"/>
        <v>46845853943</v>
      </c>
      <c r="AO231" s="2365">
        <f t="shared" si="93"/>
        <v>-419410227</v>
      </c>
    </row>
    <row r="232" spans="3:41" ht="6.6" hidden="1" customHeight="1" x14ac:dyDescent="0.2">
      <c r="C232" s="2365"/>
      <c r="D232" s="2365"/>
      <c r="E232" s="2204"/>
      <c r="F232" s="2204"/>
      <c r="G232" s="2204"/>
      <c r="H232" s="2204"/>
      <c r="I232" s="2204"/>
      <c r="J232" s="2204"/>
      <c r="R232" s="2204"/>
      <c r="S232" s="1357"/>
      <c r="T232" s="2365"/>
      <c r="AN232" s="2382">
        <f t="shared" si="92"/>
        <v>0</v>
      </c>
      <c r="AO232" s="2365">
        <f t="shared" si="93"/>
        <v>0</v>
      </c>
    </row>
    <row r="233" spans="3:41" ht="6.6" hidden="1" customHeight="1" x14ac:dyDescent="0.2">
      <c r="C233" s="2365" t="s">
        <v>104</v>
      </c>
      <c r="D233" s="2365" t="s">
        <v>331</v>
      </c>
      <c r="E233" s="2204">
        <v>15873260326</v>
      </c>
      <c r="F233" s="2204">
        <v>1190963814</v>
      </c>
      <c r="G233" s="2204"/>
      <c r="H233" s="2204"/>
      <c r="I233" s="2204">
        <v>1190963814</v>
      </c>
      <c r="J233" s="2204"/>
      <c r="K233" s="2204">
        <v>-8222647493</v>
      </c>
      <c r="L233" s="2204">
        <v>685351786</v>
      </c>
      <c r="N233" s="2204">
        <v>-7553967845</v>
      </c>
      <c r="P233" s="2204">
        <v>-16672138</v>
      </c>
      <c r="R233" s="2204">
        <v>9510256295</v>
      </c>
      <c r="S233" s="1357"/>
      <c r="T233" s="2365"/>
      <c r="AN233" s="2382">
        <f t="shared" si="92"/>
        <v>9510256295</v>
      </c>
      <c r="AO233" s="2365">
        <f t="shared" si="93"/>
        <v>0</v>
      </c>
    </row>
    <row r="234" spans="3:41" ht="6.6" hidden="1" customHeight="1" x14ac:dyDescent="0.2">
      <c r="C234" s="2365" t="s">
        <v>1103</v>
      </c>
      <c r="D234" s="2365"/>
      <c r="E234" s="2204">
        <v>59161553873</v>
      </c>
      <c r="F234" s="2204">
        <v>6543243089</v>
      </c>
      <c r="G234" s="2204"/>
      <c r="H234" s="2204"/>
      <c r="I234" s="2204">
        <v>6543243089</v>
      </c>
      <c r="J234" s="2204"/>
      <c r="K234" s="2204">
        <v>-33547910171</v>
      </c>
      <c r="L234" s="2204">
        <v>-10322936510</v>
      </c>
      <c r="N234" s="2204">
        <v>-44061609113</v>
      </c>
      <c r="O234" s="2204">
        <v>-80762432</v>
      </c>
      <c r="P234" s="2204">
        <v>-110000000</v>
      </c>
      <c r="Q234" s="2204">
        <v>0</v>
      </c>
      <c r="R234" s="2204">
        <v>21643187849</v>
      </c>
      <c r="S234" s="1357"/>
      <c r="T234" s="2365"/>
      <c r="AN234" s="2382">
        <f t="shared" si="92"/>
        <v>21643187849</v>
      </c>
      <c r="AO234" s="2365">
        <f t="shared" si="93"/>
        <v>0</v>
      </c>
    </row>
    <row r="235" spans="3:41" ht="6.6" hidden="1" customHeight="1" x14ac:dyDescent="0.2">
      <c r="C235" s="2365" t="s">
        <v>81</v>
      </c>
      <c r="D235" s="2365" t="s">
        <v>82</v>
      </c>
      <c r="E235" s="2204">
        <v>11519820410</v>
      </c>
      <c r="F235" s="2204"/>
      <c r="G235" s="2204"/>
      <c r="H235" s="2204"/>
      <c r="I235" s="2204">
        <v>0</v>
      </c>
      <c r="J235" s="2204"/>
      <c r="K235" s="2204">
        <v>-8971869231</v>
      </c>
      <c r="L235" s="2204">
        <v>1400000000</v>
      </c>
      <c r="N235" s="2204">
        <v>-7633897359</v>
      </c>
      <c r="P235" s="2204">
        <v>-62028128</v>
      </c>
      <c r="R235" s="2204">
        <v>3885922769</v>
      </c>
      <c r="S235" s="1357"/>
      <c r="T235" s="2365"/>
      <c r="AN235" s="2382">
        <f t="shared" si="92"/>
        <v>3885923051</v>
      </c>
      <c r="AO235" s="2365">
        <f t="shared" si="93"/>
        <v>-282</v>
      </c>
    </row>
    <row r="236" spans="3:41" ht="6.6" hidden="1" customHeight="1" x14ac:dyDescent="0.2">
      <c r="C236" s="2365" t="s">
        <v>544</v>
      </c>
      <c r="D236" s="2365" t="s">
        <v>543</v>
      </c>
      <c r="E236" s="2204">
        <v>4981849190</v>
      </c>
      <c r="F236" s="2204">
        <v>29799007</v>
      </c>
      <c r="G236" s="2204"/>
      <c r="H236" s="2204"/>
      <c r="I236" s="2204">
        <v>29799007</v>
      </c>
      <c r="J236" s="2204"/>
      <c r="K236" s="2204">
        <v>-3025176565</v>
      </c>
      <c r="L236" s="2204">
        <v>10047654</v>
      </c>
      <c r="N236" s="2204">
        <v>-3015128911</v>
      </c>
      <c r="R236" s="2204">
        <v>1996519286</v>
      </c>
      <c r="S236" s="1357"/>
      <c r="T236" s="2365"/>
      <c r="AN236" s="2382">
        <f t="shared" si="92"/>
        <v>1996519286</v>
      </c>
      <c r="AO236" s="2365">
        <f t="shared" si="93"/>
        <v>0</v>
      </c>
    </row>
    <row r="237" spans="3:41" ht="6.6" hidden="1" customHeight="1" x14ac:dyDescent="0.2">
      <c r="C237" s="2365" t="s">
        <v>107</v>
      </c>
      <c r="D237" s="2365" t="s">
        <v>939</v>
      </c>
      <c r="E237" s="2204">
        <v>4554518102</v>
      </c>
      <c r="F237" s="2204">
        <v>1524040698</v>
      </c>
      <c r="G237" s="2204"/>
      <c r="H237" s="2204"/>
      <c r="I237" s="2204">
        <v>1524040698</v>
      </c>
      <c r="J237" s="2204"/>
      <c r="K237" s="2204">
        <v>-1220618113</v>
      </c>
      <c r="L237" s="2204">
        <v>565317625</v>
      </c>
      <c r="N237" s="2204">
        <v>-655300488</v>
      </c>
      <c r="R237" s="2204">
        <v>5423258312</v>
      </c>
      <c r="S237" s="1357"/>
      <c r="T237" s="2365"/>
      <c r="AN237" s="2382">
        <f t="shared" si="92"/>
        <v>5423258312</v>
      </c>
      <c r="AO237" s="2365">
        <f t="shared" si="93"/>
        <v>0</v>
      </c>
    </row>
    <row r="238" spans="3:41" ht="6.6" hidden="1" customHeight="1" x14ac:dyDescent="0.2">
      <c r="C238" s="2365" t="s">
        <v>958</v>
      </c>
      <c r="D238" s="2365" t="s">
        <v>749</v>
      </c>
      <c r="E238" s="2204">
        <v>3048052470</v>
      </c>
      <c r="F238" s="2204"/>
      <c r="G238" s="2204"/>
      <c r="H238" s="2204"/>
      <c r="I238" s="2204">
        <v>0</v>
      </c>
      <c r="J238" s="2204"/>
      <c r="K238" s="2204">
        <v>-1818766173</v>
      </c>
      <c r="L238" s="2204">
        <v>40015508</v>
      </c>
      <c r="N238" s="2204">
        <v>-1778750665</v>
      </c>
      <c r="R238" s="2204">
        <v>1269301805</v>
      </c>
      <c r="S238" s="1357"/>
      <c r="T238" s="2365"/>
      <c r="AN238" s="2382">
        <f t="shared" si="92"/>
        <v>1269301805</v>
      </c>
      <c r="AO238" s="2365">
        <f t="shared" si="93"/>
        <v>0</v>
      </c>
    </row>
    <row r="239" spans="3:41" ht="6.6" hidden="1" customHeight="1" x14ac:dyDescent="0.2">
      <c r="C239" s="2365" t="s">
        <v>303</v>
      </c>
      <c r="D239" s="2365" t="s">
        <v>618</v>
      </c>
      <c r="E239" s="2204">
        <v>2871862746</v>
      </c>
      <c r="F239" s="2204"/>
      <c r="G239" s="2204"/>
      <c r="H239" s="2204"/>
      <c r="I239" s="2204">
        <v>0</v>
      </c>
      <c r="J239" s="2204"/>
      <c r="K239" s="2204">
        <v>-766157550</v>
      </c>
      <c r="L239" s="2204">
        <v>198399978</v>
      </c>
      <c r="N239" s="2204">
        <v>-567757572</v>
      </c>
      <c r="R239" s="2204">
        <v>2304105174</v>
      </c>
      <c r="S239" s="1357"/>
      <c r="T239" s="2365"/>
      <c r="AN239" s="2382">
        <f t="shared" si="92"/>
        <v>2304105174</v>
      </c>
      <c r="AO239" s="2365">
        <f t="shared" si="93"/>
        <v>0</v>
      </c>
    </row>
    <row r="240" spans="3:41" ht="6.6" hidden="1" customHeight="1" x14ac:dyDescent="0.2">
      <c r="C240" s="2365" t="s">
        <v>429</v>
      </c>
      <c r="D240" s="2365" t="s">
        <v>319</v>
      </c>
      <c r="E240" s="2204">
        <v>813302171</v>
      </c>
      <c r="F240" s="2204"/>
      <c r="G240" s="2204"/>
      <c r="H240" s="2204"/>
      <c r="I240" s="2204">
        <v>0</v>
      </c>
      <c r="J240" s="2204"/>
      <c r="K240" s="2204">
        <v>-56217704</v>
      </c>
      <c r="L240" s="2204">
        <v>56217704</v>
      </c>
      <c r="R240" s="2204">
        <v>813302171</v>
      </c>
      <c r="S240" s="1357"/>
      <c r="T240" s="2365"/>
      <c r="AN240" s="2382">
        <f t="shared" si="92"/>
        <v>813302171</v>
      </c>
      <c r="AO240" s="2365">
        <f t="shared" si="93"/>
        <v>0</v>
      </c>
    </row>
    <row r="241" spans="3:41" ht="6.6" hidden="1" customHeight="1" x14ac:dyDescent="0.2">
      <c r="C241" s="2365"/>
      <c r="D241" s="2365"/>
      <c r="E241" s="2204">
        <f>SUM(E233:E240)</f>
        <v>102824219288</v>
      </c>
      <c r="F241" s="2204">
        <f t="shared" ref="F241:R241" si="107">SUM(F233:F240)</f>
        <v>9288046608</v>
      </c>
      <c r="G241" s="2204">
        <f t="shared" si="107"/>
        <v>0</v>
      </c>
      <c r="H241" s="2204"/>
      <c r="I241" s="2204">
        <f t="shared" si="107"/>
        <v>9288046608</v>
      </c>
      <c r="J241" s="2204">
        <f t="shared" si="107"/>
        <v>0</v>
      </c>
      <c r="K241" s="2204">
        <f t="shared" si="107"/>
        <v>-57629363000</v>
      </c>
      <c r="L241" s="2204">
        <f t="shared" si="107"/>
        <v>-7367586255</v>
      </c>
      <c r="M241" s="2204">
        <f t="shared" si="107"/>
        <v>0</v>
      </c>
      <c r="N241" s="2204">
        <f t="shared" si="107"/>
        <v>-65266411953</v>
      </c>
      <c r="O241" s="2204">
        <f t="shared" si="107"/>
        <v>-80762432</v>
      </c>
      <c r="P241" s="2204">
        <f t="shared" si="107"/>
        <v>-188700266</v>
      </c>
      <c r="Q241" s="2204">
        <f t="shared" si="107"/>
        <v>0</v>
      </c>
      <c r="R241" s="2204">
        <f t="shared" si="107"/>
        <v>46845853661</v>
      </c>
      <c r="S241" s="1357"/>
      <c r="T241" s="2365"/>
      <c r="AN241" s="2382">
        <f t="shared" si="92"/>
        <v>46845853943</v>
      </c>
      <c r="AO241" s="2365">
        <f t="shared" si="93"/>
        <v>-282</v>
      </c>
    </row>
    <row r="242" spans="3:41" ht="6.6" hidden="1" customHeight="1" x14ac:dyDescent="0.2">
      <c r="C242" s="2365"/>
      <c r="D242" s="2365"/>
      <c r="E242" s="2204"/>
      <c r="F242" s="2204"/>
      <c r="G242" s="2204"/>
      <c r="H242" s="2204"/>
      <c r="I242" s="2204"/>
      <c r="J242" s="2204"/>
      <c r="R242" s="2204"/>
      <c r="S242" s="1357"/>
      <c r="T242" s="2365"/>
      <c r="AN242" s="2382">
        <f t="shared" si="92"/>
        <v>0</v>
      </c>
      <c r="AO242" s="2365">
        <f t="shared" si="93"/>
        <v>0</v>
      </c>
    </row>
    <row r="243" spans="3:41" ht="6.6" hidden="1" customHeight="1" x14ac:dyDescent="0.2">
      <c r="C243" s="2365"/>
      <c r="D243" s="2365"/>
      <c r="E243" s="2204"/>
      <c r="F243" s="2204"/>
      <c r="G243" s="2204"/>
      <c r="H243" s="2204"/>
      <c r="I243" s="2204"/>
      <c r="J243" s="2204"/>
      <c r="R243" s="2204"/>
      <c r="S243" s="1357"/>
      <c r="T243" s="2365"/>
      <c r="AN243" s="2382">
        <f t="shared" si="92"/>
        <v>0</v>
      </c>
      <c r="AO243" s="2365">
        <f t="shared" si="93"/>
        <v>0</v>
      </c>
    </row>
    <row r="244" spans="3:41" ht="6.6" hidden="1" customHeight="1" x14ac:dyDescent="0.2">
      <c r="C244" s="2365"/>
      <c r="D244" s="2365"/>
      <c r="E244" s="2204"/>
      <c r="F244" s="2204"/>
      <c r="G244" s="2204"/>
      <c r="H244" s="2204"/>
      <c r="I244" s="2204"/>
      <c r="J244" s="2204"/>
      <c r="R244" s="2204"/>
      <c r="S244" s="1357"/>
      <c r="T244" s="2365"/>
      <c r="AN244" s="2382">
        <f t="shared" si="92"/>
        <v>0</v>
      </c>
      <c r="AO244" s="2365">
        <f t="shared" si="93"/>
        <v>0</v>
      </c>
    </row>
    <row r="245" spans="3:41" ht="6.6" hidden="1" customHeight="1" x14ac:dyDescent="0.2">
      <c r="C245" s="2365"/>
      <c r="D245" s="2365"/>
      <c r="E245" s="2204"/>
      <c r="F245" s="2204"/>
      <c r="G245" s="2204"/>
      <c r="H245" s="2204"/>
      <c r="I245" s="2204"/>
      <c r="J245" s="2204"/>
      <c r="R245" s="2204"/>
      <c r="S245" s="2469"/>
      <c r="T245" s="2365"/>
      <c r="AN245" s="2382">
        <f t="shared" si="92"/>
        <v>0</v>
      </c>
      <c r="AO245" s="2365">
        <f t="shared" si="93"/>
        <v>0</v>
      </c>
    </row>
    <row r="246" spans="3:41" ht="6.6" hidden="1" customHeight="1" x14ac:dyDescent="0.2">
      <c r="AN246" s="2382">
        <f t="shared" si="92"/>
        <v>0</v>
      </c>
      <c r="AO246" s="2365">
        <f t="shared" si="93"/>
        <v>0</v>
      </c>
    </row>
    <row r="247" spans="3:41" ht="6.6" hidden="1" customHeight="1" x14ac:dyDescent="0.2">
      <c r="AN247" s="2382">
        <f t="shared" si="92"/>
        <v>0</v>
      </c>
      <c r="AO247" s="2365">
        <f t="shared" si="93"/>
        <v>0</v>
      </c>
    </row>
    <row r="248" spans="3:41" ht="6.6" hidden="1" customHeight="1" x14ac:dyDescent="0.2">
      <c r="AN248" s="2382">
        <f t="shared" si="92"/>
        <v>0</v>
      </c>
      <c r="AO248" s="2365">
        <f t="shared" si="93"/>
        <v>0</v>
      </c>
    </row>
    <row r="249" spans="3:41" ht="6.6" hidden="1" customHeight="1" x14ac:dyDescent="0.2">
      <c r="AN249" s="2382">
        <f t="shared" si="92"/>
        <v>0</v>
      </c>
      <c r="AO249" s="2365">
        <f t="shared" si="93"/>
        <v>0</v>
      </c>
    </row>
    <row r="250" spans="3:41" ht="6.6" hidden="1" customHeight="1" x14ac:dyDescent="0.2">
      <c r="AN250" s="2382">
        <f t="shared" si="92"/>
        <v>0</v>
      </c>
      <c r="AO250" s="2365">
        <f t="shared" si="93"/>
        <v>0</v>
      </c>
    </row>
    <row r="251" spans="3:41" ht="6.6" hidden="1" customHeight="1" x14ac:dyDescent="0.2">
      <c r="C251" s="2365"/>
      <c r="D251" s="2365"/>
      <c r="E251" s="2204"/>
      <c r="F251" s="2204"/>
      <c r="G251" s="2204"/>
      <c r="H251" s="2204"/>
      <c r="I251" s="2204"/>
      <c r="J251" s="2204"/>
      <c r="R251" s="2204"/>
      <c r="S251" s="2365"/>
      <c r="T251" s="2365"/>
      <c r="AN251" s="2382">
        <f t="shared" si="92"/>
        <v>0</v>
      </c>
      <c r="AO251" s="2365">
        <f t="shared" si="93"/>
        <v>0</v>
      </c>
    </row>
    <row r="252" spans="3:41" ht="6.6" hidden="1" customHeight="1" x14ac:dyDescent="0.2">
      <c r="C252" s="2365"/>
      <c r="D252" s="2365"/>
      <c r="E252" s="2204"/>
      <c r="F252" s="2204"/>
      <c r="G252" s="2204"/>
      <c r="H252" s="2204"/>
      <c r="I252" s="2204"/>
      <c r="J252" s="2204"/>
      <c r="R252" s="2204"/>
      <c r="S252" s="2365"/>
      <c r="T252" s="2365"/>
      <c r="AN252" s="2382">
        <f t="shared" si="92"/>
        <v>0</v>
      </c>
      <c r="AO252" s="2365">
        <f t="shared" si="93"/>
        <v>0</v>
      </c>
    </row>
    <row r="253" spans="3:41" ht="6.6" hidden="1" customHeight="1" x14ac:dyDescent="0.2">
      <c r="C253" s="2365"/>
      <c r="D253" s="2365"/>
      <c r="E253" s="2204"/>
      <c r="F253" s="2204"/>
      <c r="G253" s="2204"/>
      <c r="H253" s="2204"/>
      <c r="I253" s="2204"/>
      <c r="J253" s="2204"/>
      <c r="R253" s="2204"/>
      <c r="S253" s="2365"/>
      <c r="T253" s="2365"/>
      <c r="AN253" s="2382">
        <f t="shared" si="92"/>
        <v>0</v>
      </c>
      <c r="AO253" s="2365">
        <f t="shared" si="93"/>
        <v>0</v>
      </c>
    </row>
    <row r="254" spans="3:41" ht="6.6" hidden="1" customHeight="1" x14ac:dyDescent="0.2">
      <c r="C254" s="2365"/>
      <c r="D254" s="2365"/>
      <c r="E254" s="2204"/>
      <c r="F254" s="2204"/>
      <c r="G254" s="2204"/>
      <c r="H254" s="2204"/>
      <c r="I254" s="2204"/>
      <c r="J254" s="2204"/>
      <c r="R254" s="2204"/>
      <c r="S254" s="2365"/>
      <c r="T254" s="2365"/>
      <c r="AN254" s="2382">
        <f t="shared" si="92"/>
        <v>0</v>
      </c>
      <c r="AO254" s="2365">
        <f t="shared" si="93"/>
        <v>0</v>
      </c>
    </row>
    <row r="255" spans="3:41" ht="6.6" hidden="1" customHeight="1" x14ac:dyDescent="0.2">
      <c r="C255" s="2365"/>
      <c r="D255" s="2365"/>
      <c r="E255" s="2204"/>
      <c r="F255" s="2204"/>
      <c r="G255" s="2204"/>
      <c r="H255" s="2204"/>
      <c r="I255" s="2204"/>
      <c r="J255" s="2204"/>
      <c r="R255" s="2204"/>
      <c r="S255" s="2365"/>
      <c r="T255" s="2365"/>
      <c r="AN255" s="2382">
        <f t="shared" si="92"/>
        <v>0</v>
      </c>
      <c r="AO255" s="2365">
        <f t="shared" si="93"/>
        <v>0</v>
      </c>
    </row>
    <row r="256" spans="3:41" ht="6.6" hidden="1" customHeight="1" x14ac:dyDescent="0.2">
      <c r="C256" s="2365"/>
      <c r="D256" s="2365"/>
      <c r="E256" s="2204"/>
      <c r="F256" s="2204"/>
      <c r="G256" s="2204"/>
      <c r="H256" s="2204"/>
      <c r="I256" s="2204"/>
      <c r="J256" s="2204"/>
      <c r="R256" s="2204"/>
      <c r="S256" s="2365"/>
      <c r="T256" s="2365"/>
      <c r="AN256" s="2382">
        <f t="shared" si="92"/>
        <v>0</v>
      </c>
      <c r="AO256" s="2365">
        <f t="shared" si="93"/>
        <v>0</v>
      </c>
    </row>
    <row r="257" spans="3:41" ht="6.6" hidden="1" customHeight="1" x14ac:dyDescent="0.2">
      <c r="C257" s="2365"/>
      <c r="D257" s="2365"/>
      <c r="E257" s="2204"/>
      <c r="F257" s="2204"/>
      <c r="G257" s="2204"/>
      <c r="H257" s="2204"/>
      <c r="I257" s="2204"/>
      <c r="J257" s="2204"/>
      <c r="R257" s="2204"/>
      <c r="S257" s="2365"/>
      <c r="T257" s="2365"/>
      <c r="AN257" s="2382">
        <f t="shared" si="92"/>
        <v>0</v>
      </c>
      <c r="AO257" s="2365">
        <f t="shared" si="93"/>
        <v>0</v>
      </c>
    </row>
    <row r="258" spans="3:41" ht="6.6" hidden="1" customHeight="1" x14ac:dyDescent="0.2">
      <c r="C258" s="2365"/>
      <c r="D258" s="2365"/>
      <c r="E258" s="2204"/>
      <c r="F258" s="2204"/>
      <c r="G258" s="2204"/>
      <c r="H258" s="2204"/>
      <c r="I258" s="2204"/>
      <c r="J258" s="2204"/>
      <c r="R258" s="2204"/>
      <c r="S258" s="2365"/>
      <c r="T258" s="2365"/>
      <c r="AN258" s="2382">
        <f t="shared" ref="AN258:AN286" si="108">E258+I258+L258+K258+O258+P258</f>
        <v>0</v>
      </c>
      <c r="AO258" s="2365">
        <f t="shared" ref="AO258:AO284" si="109">R258-AN258</f>
        <v>0</v>
      </c>
    </row>
    <row r="259" spans="3:41" ht="6.6" hidden="1" customHeight="1" x14ac:dyDescent="0.2">
      <c r="C259" s="2365"/>
      <c r="D259" s="2365"/>
      <c r="E259" s="2204"/>
      <c r="F259" s="2204"/>
      <c r="G259" s="2204"/>
      <c r="H259" s="2204"/>
      <c r="I259" s="2204"/>
      <c r="J259" s="2204"/>
      <c r="R259" s="2204"/>
      <c r="S259" s="2365"/>
      <c r="T259" s="2365"/>
      <c r="AN259" s="2382">
        <f t="shared" si="108"/>
        <v>0</v>
      </c>
      <c r="AO259" s="2365">
        <f t="shared" si="109"/>
        <v>0</v>
      </c>
    </row>
    <row r="260" spans="3:41" ht="6.6" hidden="1" customHeight="1" x14ac:dyDescent="0.2">
      <c r="C260" s="2365"/>
      <c r="D260" s="2365"/>
      <c r="E260" s="2204"/>
      <c r="F260" s="2204"/>
      <c r="G260" s="2204"/>
      <c r="H260" s="2204"/>
      <c r="I260" s="2204"/>
      <c r="J260" s="2204"/>
      <c r="R260" s="2204"/>
      <c r="S260" s="2365"/>
      <c r="T260" s="2365"/>
      <c r="AN260" s="2382">
        <f t="shared" si="108"/>
        <v>0</v>
      </c>
      <c r="AO260" s="2365">
        <f t="shared" si="109"/>
        <v>0</v>
      </c>
    </row>
    <row r="261" spans="3:41" ht="6.6" hidden="1" customHeight="1" x14ac:dyDescent="0.2">
      <c r="C261" s="2365"/>
      <c r="D261" s="2365"/>
      <c r="E261" s="2204"/>
      <c r="F261" s="2204"/>
      <c r="G261" s="2204"/>
      <c r="H261" s="2204"/>
      <c r="I261" s="2204"/>
      <c r="J261" s="2204"/>
      <c r="R261" s="2204"/>
      <c r="S261" s="2365"/>
      <c r="T261" s="2365"/>
      <c r="AN261" s="2382">
        <f t="shared" si="108"/>
        <v>0</v>
      </c>
      <c r="AO261" s="2365">
        <f t="shared" si="109"/>
        <v>0</v>
      </c>
    </row>
    <row r="262" spans="3:41" ht="6.6" hidden="1" customHeight="1" x14ac:dyDescent="0.2">
      <c r="AN262" s="2382">
        <f t="shared" si="108"/>
        <v>0</v>
      </c>
      <c r="AO262" s="2365">
        <f t="shared" si="109"/>
        <v>0</v>
      </c>
    </row>
    <row r="263" spans="3:41" ht="6.6" hidden="1" customHeight="1" x14ac:dyDescent="0.2">
      <c r="AN263" s="2382">
        <f t="shared" si="108"/>
        <v>0</v>
      </c>
      <c r="AO263" s="2365">
        <f t="shared" si="109"/>
        <v>0</v>
      </c>
    </row>
    <row r="264" spans="3:41" ht="6.6" hidden="1" customHeight="1" x14ac:dyDescent="0.2">
      <c r="AN264" s="2382">
        <f t="shared" si="108"/>
        <v>0</v>
      </c>
      <c r="AO264" s="2365">
        <f t="shared" si="109"/>
        <v>0</v>
      </c>
    </row>
    <row r="265" spans="3:41" ht="6.6" hidden="1" customHeight="1" x14ac:dyDescent="0.2">
      <c r="C265" s="2365"/>
      <c r="D265" s="2365"/>
      <c r="E265" s="2204"/>
      <c r="AC265" s="2365">
        <v>7826998</v>
      </c>
      <c r="AN265" s="2382">
        <f t="shared" si="108"/>
        <v>0</v>
      </c>
      <c r="AO265" s="2365">
        <f t="shared" si="109"/>
        <v>0</v>
      </c>
    </row>
    <row r="266" spans="3:41" ht="6.6" hidden="1" customHeight="1" x14ac:dyDescent="0.2">
      <c r="C266" s="2365"/>
      <c r="D266" s="2365"/>
      <c r="E266" s="2204"/>
      <c r="M266" s="671">
        <v>83586542</v>
      </c>
      <c r="AN266" s="2382">
        <f t="shared" si="108"/>
        <v>0</v>
      </c>
      <c r="AO266" s="2365">
        <f t="shared" si="109"/>
        <v>0</v>
      </c>
    </row>
    <row r="267" spans="3:41" ht="6.6" hidden="1" customHeight="1" x14ac:dyDescent="0.2">
      <c r="C267" s="2365"/>
      <c r="D267" s="2365"/>
      <c r="E267" s="2204"/>
      <c r="M267" s="2205"/>
      <c r="R267" s="2207">
        <f>R201+R48</f>
        <v>1835737257850</v>
      </c>
      <c r="AN267" s="2382">
        <f t="shared" si="108"/>
        <v>0</v>
      </c>
      <c r="AO267" s="2365">
        <f t="shared" si="109"/>
        <v>1835737257850</v>
      </c>
    </row>
    <row r="268" spans="3:41" ht="6.6" hidden="1" customHeight="1" x14ac:dyDescent="0.2">
      <c r="AN268" s="2382">
        <f t="shared" si="108"/>
        <v>0</v>
      </c>
      <c r="AO268" s="2365">
        <f t="shared" si="109"/>
        <v>0</v>
      </c>
    </row>
    <row r="269" spans="3:41" ht="6.6" hidden="1" customHeight="1" x14ac:dyDescent="0.2">
      <c r="C269" s="2365"/>
      <c r="D269" s="2365"/>
      <c r="E269" s="2204"/>
      <c r="F269" s="2206">
        <v>38625514016</v>
      </c>
      <c r="M269" s="2204">
        <f>44465939271+3501911184</f>
        <v>47967850455</v>
      </c>
      <c r="AN269" s="2382">
        <f t="shared" si="108"/>
        <v>0</v>
      </c>
      <c r="AO269" s="2365">
        <f t="shared" si="109"/>
        <v>0</v>
      </c>
    </row>
    <row r="270" spans="3:41" ht="6.6" hidden="1" customHeight="1" x14ac:dyDescent="0.2">
      <c r="C270" s="2365"/>
      <c r="D270" s="2365"/>
      <c r="E270" s="2204"/>
      <c r="I270" s="2206">
        <v>1875127499</v>
      </c>
      <c r="AN270" s="2382">
        <f t="shared" si="108"/>
        <v>1875127499</v>
      </c>
      <c r="AO270" s="2365">
        <f t="shared" si="109"/>
        <v>-1875127499</v>
      </c>
    </row>
    <row r="271" spans="3:41" ht="6.6" hidden="1" customHeight="1" x14ac:dyDescent="0.2">
      <c r="AN271" s="2382">
        <f t="shared" si="108"/>
        <v>0</v>
      </c>
      <c r="AO271" s="2365">
        <f t="shared" si="109"/>
        <v>0</v>
      </c>
    </row>
    <row r="272" spans="3:41" ht="6.6" hidden="1" customHeight="1" x14ac:dyDescent="0.2">
      <c r="C272" s="2365"/>
      <c r="D272" s="2365"/>
      <c r="E272" s="2204"/>
      <c r="F272" s="2206">
        <v>-165622198511</v>
      </c>
      <c r="K272" s="2204">
        <v>761138180</v>
      </c>
      <c r="AN272" s="2382">
        <f t="shared" si="108"/>
        <v>761138180</v>
      </c>
      <c r="AO272" s="2365">
        <f t="shared" si="109"/>
        <v>-761138180</v>
      </c>
    </row>
    <row r="273" spans="3:43" ht="6.6" hidden="1" customHeight="1" x14ac:dyDescent="0.2">
      <c r="AN273" s="2382">
        <f t="shared" si="108"/>
        <v>0</v>
      </c>
      <c r="AO273" s="2365">
        <f t="shared" si="109"/>
        <v>0</v>
      </c>
    </row>
    <row r="274" spans="3:43" ht="6.6" hidden="1" customHeight="1" x14ac:dyDescent="0.2">
      <c r="AN274" s="2382">
        <f t="shared" si="108"/>
        <v>0</v>
      </c>
      <c r="AO274" s="2365">
        <f t="shared" si="109"/>
        <v>0</v>
      </c>
    </row>
    <row r="275" spans="3:43" ht="6.6" hidden="1" customHeight="1" x14ac:dyDescent="0.2">
      <c r="AN275" s="2382">
        <f t="shared" si="108"/>
        <v>0</v>
      </c>
      <c r="AO275" s="2365">
        <f t="shared" si="109"/>
        <v>0</v>
      </c>
    </row>
    <row r="276" spans="3:43" ht="6.6" hidden="1" customHeight="1" x14ac:dyDescent="0.2">
      <c r="AN276" s="2382">
        <f t="shared" si="108"/>
        <v>0</v>
      </c>
      <c r="AO276" s="2365">
        <f t="shared" si="109"/>
        <v>0</v>
      </c>
    </row>
    <row r="277" spans="3:43" ht="6.6" hidden="1" customHeight="1" x14ac:dyDescent="0.2">
      <c r="AN277" s="2382">
        <f t="shared" si="108"/>
        <v>0</v>
      </c>
      <c r="AO277" s="2365">
        <f t="shared" si="109"/>
        <v>0</v>
      </c>
    </row>
    <row r="278" spans="3:43" ht="6.6" hidden="1" customHeight="1" x14ac:dyDescent="0.2">
      <c r="AN278" s="2382">
        <f t="shared" si="108"/>
        <v>0</v>
      </c>
      <c r="AO278" s="2365">
        <f t="shared" si="109"/>
        <v>0</v>
      </c>
    </row>
    <row r="279" spans="3:43" ht="6.6" hidden="1" customHeight="1" x14ac:dyDescent="0.2">
      <c r="C279" s="2365"/>
      <c r="D279" s="2365"/>
      <c r="E279" s="2204"/>
      <c r="F279" s="2204"/>
      <c r="G279" s="2204"/>
      <c r="H279" s="2204"/>
      <c r="I279" s="2204"/>
      <c r="J279" s="2204"/>
      <c r="K279" s="2204">
        <v>155562920</v>
      </c>
      <c r="R279" s="2204"/>
      <c r="S279" s="2365"/>
      <c r="T279" s="2365"/>
      <c r="AN279" s="2382">
        <f t="shared" si="108"/>
        <v>155562920</v>
      </c>
      <c r="AO279" s="2365">
        <f t="shared" si="109"/>
        <v>-155562920</v>
      </c>
    </row>
    <row r="280" spans="3:43" ht="6.6" hidden="1" customHeight="1" x14ac:dyDescent="0.2">
      <c r="AN280" s="2382">
        <f t="shared" si="108"/>
        <v>0</v>
      </c>
      <c r="AO280" s="2365">
        <f t="shared" si="109"/>
        <v>0</v>
      </c>
    </row>
    <row r="281" spans="3:43" ht="6.6" hidden="1" customHeight="1" x14ac:dyDescent="0.2">
      <c r="AN281" s="2382">
        <f t="shared" si="108"/>
        <v>0</v>
      </c>
      <c r="AO281" s="2365">
        <f t="shared" si="109"/>
        <v>0</v>
      </c>
    </row>
    <row r="282" spans="3:43" ht="6.6" hidden="1" customHeight="1" x14ac:dyDescent="0.2">
      <c r="AN282" s="2382">
        <f t="shared" si="108"/>
        <v>0</v>
      </c>
      <c r="AO282" s="2365">
        <f t="shared" si="109"/>
        <v>0</v>
      </c>
    </row>
    <row r="283" spans="3:43" ht="6.6" hidden="1" customHeight="1" x14ac:dyDescent="0.2">
      <c r="AN283" s="2382">
        <f t="shared" si="108"/>
        <v>0</v>
      </c>
      <c r="AO283" s="2365">
        <f t="shared" si="109"/>
        <v>0</v>
      </c>
      <c r="AP283" s="2365">
        <v>1796257902014</v>
      </c>
      <c r="AQ283" s="2365">
        <v>2211085767594</v>
      </c>
    </row>
    <row r="284" spans="3:43" ht="6.6" customHeight="1" x14ac:dyDescent="0.2">
      <c r="AN284" s="2382">
        <f t="shared" si="108"/>
        <v>0</v>
      </c>
      <c r="AO284" s="2365">
        <f t="shared" si="109"/>
        <v>0</v>
      </c>
    </row>
    <row r="285" spans="3:43" ht="6.6" customHeight="1" x14ac:dyDescent="0.2">
      <c r="AN285" s="2382">
        <f t="shared" si="108"/>
        <v>0</v>
      </c>
    </row>
    <row r="286" spans="3:43" x14ac:dyDescent="0.2">
      <c r="AN286" s="2382">
        <f t="shared" si="108"/>
        <v>0</v>
      </c>
      <c r="AP286" s="2365">
        <v>83982164161</v>
      </c>
      <c r="AQ286" s="2365">
        <v>170016149094</v>
      </c>
    </row>
    <row r="287" spans="3:43" x14ac:dyDescent="0.2">
      <c r="D287" s="2469">
        <f>SUM(E287:E288)</f>
        <v>26148140872</v>
      </c>
      <c r="E287" s="2207">
        <f>-K210+K208+K207+K204+K203+K202+K201+K199+K196+K194+K191+K190+K165+K164+K163+K159+K144+K138+K135+K133+K132+K116+K114+K113+K110+K108+K104+K89+K81+K79+K75+K56+K52</f>
        <v>-1430493423331</v>
      </c>
      <c r="I287" s="2470"/>
      <c r="M287" s="2204">
        <f>O287+N287</f>
        <v>0</v>
      </c>
      <c r="N287" s="2204">
        <f>'یادداشت 7 دارایییی اصلاحی'!V457-'یادداشت 7 دارایییی اصلاحی'!V147+'پيش پرداخت سرمايه اي يادداشت 6'!O132</f>
        <v>-35356171773</v>
      </c>
      <c r="O287" s="2204">
        <f>-O212</f>
        <v>35356171773</v>
      </c>
      <c r="P287" s="2204">
        <f>'پيش پرداخت يادداشت-6'!M30+'پيش پرداخت سرمايه اي يادداشت 6'!P132</f>
        <v>-70263526109</v>
      </c>
      <c r="R287" s="2207">
        <f>I212+'يادداشت 11 -سايربدهي_هاي_جاري'!H159</f>
        <v>25051967565220</v>
      </c>
      <c r="AN287" s="2382"/>
      <c r="AP287" s="2365">
        <v>1796257902014</v>
      </c>
      <c r="AQ287" s="2365">
        <f>SUM(AQ283:AQ286)</f>
        <v>2381101916688</v>
      </c>
    </row>
    <row r="288" spans="3:43" x14ac:dyDescent="0.2">
      <c r="D288" s="2471"/>
      <c r="E288" s="1238">
        <f>K177+K172+K167+K161+K142+K134+K119+K118+K117+K115+K107+K105+K101+K88+K87+K85+K83+K82+K80+K77+K74+K73+K61+K59+K58+K57+K55+K51+K50+K49+K48</f>
        <v>1456641564203</v>
      </c>
      <c r="O288" s="2204">
        <f>O287+'ياد 15  سايرهزينه '!N47-'يادداشت 17 ارزش خالص'!H565+'پيش پرداخت سرمايه اي يادداشت 6'!O132</f>
        <v>46619211088</v>
      </c>
      <c r="P288" s="2204">
        <f>P212-P287</f>
        <v>0</v>
      </c>
      <c r="AN288" s="2382"/>
      <c r="AP288" s="2365">
        <v>1412446571421</v>
      </c>
    </row>
    <row r="289" spans="4:43" x14ac:dyDescent="0.2">
      <c r="D289" s="2469"/>
      <c r="I289" s="1361">
        <f>SUM(I187:I210)</f>
        <v>23763380267731</v>
      </c>
      <c r="K289" s="2204">
        <f>E212+I212+L212+O212+P212</f>
        <v>9209470625716</v>
      </c>
      <c r="O289" s="2204">
        <f>L212+'يادداشت 11 -سايربدهي_هاي_جاري'!I159</f>
        <v>-23363852374871</v>
      </c>
      <c r="AN289" s="2382"/>
    </row>
    <row r="290" spans="4:43" x14ac:dyDescent="0.2">
      <c r="D290" s="2472"/>
      <c r="K290" s="2204">
        <f>K289-R212</f>
        <v>-1239</v>
      </c>
      <c r="AP290" s="2365">
        <f>AP286+AP287-AP288</f>
        <v>467793494754</v>
      </c>
      <c r="AQ290" s="2365">
        <f>AQ286+AQ287-AQ288</f>
        <v>2551118065782</v>
      </c>
    </row>
    <row r="291" spans="4:43" x14ac:dyDescent="0.2">
      <c r="D291" s="1083"/>
      <c r="K291" s="2205"/>
      <c r="AQ291" s="2365">
        <f>AQ290-AP290</f>
        <v>2083324571028</v>
      </c>
    </row>
    <row r="292" spans="4:43" x14ac:dyDescent="0.2">
      <c r="AQ292" s="2365">
        <f>AP287+N212</f>
        <v>-20455718984445</v>
      </c>
    </row>
    <row r="293" spans="4:43" x14ac:dyDescent="0.2">
      <c r="AQ293" s="2365">
        <f>F212+N212</f>
        <v>1405783684629</v>
      </c>
    </row>
    <row r="296" spans="4:43" x14ac:dyDescent="0.2">
      <c r="AP296" s="2365">
        <f>N212-O212-P212</f>
        <v>-22146357188577</v>
      </c>
    </row>
    <row r="297" spans="4:43" ht="71.25" x14ac:dyDescent="0.2">
      <c r="K297" s="2473"/>
      <c r="AP297" s="2365">
        <f>L212+O212+P212</f>
        <v>-22357596584341</v>
      </c>
      <c r="AQ297" s="2365">
        <f>P212+O212+N212+F212</f>
        <v>1300163986747</v>
      </c>
    </row>
    <row r="320" spans="3:18" ht="18" x14ac:dyDescent="0.2">
      <c r="C320" s="1595" t="s">
        <v>81</v>
      </c>
      <c r="D320" s="2455" t="s">
        <v>82</v>
      </c>
      <c r="E320" s="1531">
        <v>3885922769</v>
      </c>
      <c r="F320" s="1530"/>
      <c r="G320" s="1530"/>
      <c r="H320" s="1530"/>
      <c r="I320" s="1530">
        <f>F320-Q320-J320-K320</f>
        <v>0</v>
      </c>
      <c r="J320" s="1530"/>
      <c r="K320" s="1530"/>
      <c r="L320" s="1530">
        <f>N320-O320</f>
        <v>0</v>
      </c>
      <c r="M320" s="1530"/>
      <c r="N320" s="1530"/>
      <c r="O320" s="1530"/>
      <c r="P320" s="1530"/>
      <c r="Q320" s="1530"/>
      <c r="R320" s="1531"/>
    </row>
    <row r="321" spans="3:18" ht="18" x14ac:dyDescent="0.2">
      <c r="C321" s="1762" t="s">
        <v>125</v>
      </c>
      <c r="D321" s="2420" t="s">
        <v>539</v>
      </c>
      <c r="E321" s="2385">
        <v>6273052122</v>
      </c>
      <c r="F321" s="2385"/>
      <c r="G321" s="2385"/>
      <c r="H321" s="2385">
        <f>E321+G321</f>
        <v>6273052122</v>
      </c>
      <c r="I321" s="2385">
        <f>F321-Q321-J321-K321</f>
        <v>0</v>
      </c>
      <c r="J321" s="2385"/>
      <c r="K321" s="1811"/>
      <c r="L321" s="1811">
        <f>N321-O321</f>
        <v>0</v>
      </c>
      <c r="M321" s="2385"/>
      <c r="N321" s="2385"/>
      <c r="O321" s="2385"/>
      <c r="P321" s="2385"/>
      <c r="Q321" s="2385"/>
      <c r="R321" s="2385"/>
    </row>
    <row r="322" spans="3:18" x14ac:dyDescent="0.2">
      <c r="C322" s="2474">
        <v>1307006002</v>
      </c>
      <c r="D322" s="2434" t="s">
        <v>88</v>
      </c>
      <c r="E322" s="2385">
        <v>1962857599</v>
      </c>
      <c r="F322" s="2385"/>
      <c r="G322" s="2385"/>
      <c r="H322" s="2385"/>
      <c r="I322" s="1530">
        <f>F322-Q322-J322</f>
        <v>0</v>
      </c>
      <c r="J322" s="2385"/>
      <c r="K322" s="1811"/>
      <c r="L322" s="1530">
        <f>N322-O322-K322</f>
        <v>0</v>
      </c>
      <c r="M322" s="2385"/>
      <c r="N322" s="2385"/>
      <c r="O322" s="2385"/>
      <c r="P322" s="2385"/>
      <c r="Q322" s="2385"/>
      <c r="R322" s="2385"/>
    </row>
    <row r="323" spans="3:18" x14ac:dyDescent="0.2">
      <c r="C323" s="2365"/>
      <c r="D323" s="2365"/>
      <c r="E323" s="2365"/>
      <c r="F323" s="2365"/>
      <c r="G323" s="2365"/>
      <c r="H323" s="2365"/>
      <c r="I323" s="2365"/>
      <c r="J323" s="2365"/>
      <c r="K323" s="2365"/>
      <c r="L323" s="2365"/>
      <c r="M323" s="2365"/>
      <c r="N323" s="2365"/>
      <c r="O323" s="2365"/>
      <c r="P323" s="2365"/>
      <c r="Q323" s="2365"/>
      <c r="R323" s="2365"/>
    </row>
    <row r="324" spans="3:18" x14ac:dyDescent="0.2">
      <c r="C324" s="2426">
        <v>1503002067</v>
      </c>
      <c r="D324" s="2428" t="s">
        <v>86</v>
      </c>
      <c r="E324" s="2385">
        <v>1314473358</v>
      </c>
      <c r="F324" s="2385"/>
      <c r="G324" s="2385"/>
      <c r="H324" s="2385"/>
      <c r="I324" s="1530">
        <f t="shared" ref="I324:I332" si="110">F324-Q324-J324-K324</f>
        <v>0</v>
      </c>
      <c r="J324" s="2385"/>
      <c r="K324" s="1811"/>
      <c r="L324" s="1530"/>
      <c r="M324" s="2385"/>
      <c r="N324" s="2385"/>
      <c r="O324" s="2385"/>
      <c r="P324" s="2385"/>
      <c r="Q324" s="2385"/>
      <c r="R324" s="2385"/>
    </row>
    <row r="325" spans="3:18" x14ac:dyDescent="0.2">
      <c r="C325" s="1595" t="s">
        <v>368</v>
      </c>
      <c r="D325" s="2419" t="s">
        <v>946</v>
      </c>
      <c r="E325" s="2385">
        <v>647057410</v>
      </c>
      <c r="F325" s="2385"/>
      <c r="G325" s="2385"/>
      <c r="H325" s="2385">
        <f>E325+G325</f>
        <v>647057410</v>
      </c>
      <c r="I325" s="1530">
        <f t="shared" si="110"/>
        <v>0</v>
      </c>
      <c r="J325" s="2385"/>
      <c r="K325" s="1811"/>
      <c r="L325" s="1530">
        <f t="shared" ref="L325:L332" si="111">N325-O325</f>
        <v>0</v>
      </c>
      <c r="M325" s="2385"/>
      <c r="N325" s="2385"/>
      <c r="O325" s="2385"/>
      <c r="P325" s="2385"/>
      <c r="Q325" s="2385"/>
      <c r="R325" s="2385"/>
    </row>
    <row r="326" spans="3:18" x14ac:dyDescent="0.2">
      <c r="C326" s="1595" t="s">
        <v>234</v>
      </c>
      <c r="D326" s="2419" t="s">
        <v>947</v>
      </c>
      <c r="E326" s="2385">
        <v>411398515</v>
      </c>
      <c r="F326" s="2385"/>
      <c r="G326" s="2385"/>
      <c r="H326" s="2385">
        <f>E326+G326</f>
        <v>411398515</v>
      </c>
      <c r="I326" s="1530">
        <f t="shared" si="110"/>
        <v>0</v>
      </c>
      <c r="J326" s="2385"/>
      <c r="K326" s="1811"/>
      <c r="L326" s="1530">
        <f t="shared" si="111"/>
        <v>0</v>
      </c>
      <c r="M326" s="2385"/>
      <c r="N326" s="2385"/>
      <c r="O326" s="2385"/>
      <c r="P326" s="2385"/>
      <c r="Q326" s="2385"/>
      <c r="R326" s="2385"/>
    </row>
    <row r="327" spans="3:18" x14ac:dyDescent="0.2">
      <c r="C327" s="1595" t="s">
        <v>866</v>
      </c>
      <c r="D327" s="2419" t="s">
        <v>867</v>
      </c>
      <c r="E327" s="2385">
        <v>368060640</v>
      </c>
      <c r="F327" s="2385"/>
      <c r="G327" s="2385"/>
      <c r="H327" s="2385">
        <f>E327+G327</f>
        <v>368060640</v>
      </c>
      <c r="I327" s="1530">
        <f t="shared" si="110"/>
        <v>0</v>
      </c>
      <c r="J327" s="2385"/>
      <c r="K327" s="1811"/>
      <c r="L327" s="1530">
        <f t="shared" si="111"/>
        <v>0</v>
      </c>
      <c r="M327" s="2385"/>
      <c r="N327" s="2385"/>
      <c r="O327" s="2385"/>
      <c r="P327" s="2385"/>
      <c r="Q327" s="2385"/>
      <c r="R327" s="2385"/>
    </row>
    <row r="328" spans="3:18" x14ac:dyDescent="0.2">
      <c r="C328" s="1595" t="s">
        <v>969</v>
      </c>
      <c r="D328" s="2419" t="s">
        <v>948</v>
      </c>
      <c r="E328" s="2385">
        <v>310634027</v>
      </c>
      <c r="F328" s="2385"/>
      <c r="G328" s="2385"/>
      <c r="H328" s="2441">
        <f>E328+G328</f>
        <v>310634027</v>
      </c>
      <c r="I328" s="1530">
        <f t="shared" si="110"/>
        <v>0</v>
      </c>
      <c r="J328" s="2385"/>
      <c r="K328" s="1811"/>
      <c r="L328" s="1530">
        <f t="shared" si="111"/>
        <v>0</v>
      </c>
      <c r="M328" s="2385"/>
      <c r="N328" s="2385"/>
      <c r="O328" s="2385"/>
      <c r="P328" s="2385"/>
      <c r="Q328" s="2385"/>
      <c r="R328" s="2385"/>
    </row>
    <row r="329" spans="3:18" x14ac:dyDescent="0.2">
      <c r="C329" s="1595" t="s">
        <v>168</v>
      </c>
      <c r="D329" s="2419" t="s">
        <v>949</v>
      </c>
      <c r="E329" s="2385">
        <v>299608784</v>
      </c>
      <c r="F329" s="2385"/>
      <c r="G329" s="2385"/>
      <c r="H329" s="2441">
        <f>E329+G329</f>
        <v>299608784</v>
      </c>
      <c r="I329" s="1530">
        <f t="shared" si="110"/>
        <v>0</v>
      </c>
      <c r="J329" s="2385"/>
      <c r="K329" s="1811"/>
      <c r="L329" s="1530">
        <f t="shared" si="111"/>
        <v>0</v>
      </c>
      <c r="M329" s="2385"/>
      <c r="N329" s="2385"/>
      <c r="O329" s="2385"/>
      <c r="P329" s="2385"/>
      <c r="Q329" s="2385"/>
      <c r="R329" s="2385"/>
    </row>
    <row r="330" spans="3:18" x14ac:dyDescent="0.2">
      <c r="C330" s="2426" t="s">
        <v>117</v>
      </c>
      <c r="D330" s="2427" t="s">
        <v>365</v>
      </c>
      <c r="E330" s="2385">
        <v>299143954</v>
      </c>
      <c r="F330" s="2385"/>
      <c r="G330" s="2385"/>
      <c r="H330" s="2441"/>
      <c r="I330" s="1530">
        <f t="shared" si="110"/>
        <v>0</v>
      </c>
      <c r="J330" s="2385"/>
      <c r="K330" s="1811"/>
      <c r="L330" s="1530">
        <f t="shared" si="111"/>
        <v>0</v>
      </c>
      <c r="M330" s="2385"/>
      <c r="N330" s="2385"/>
      <c r="O330" s="2385"/>
      <c r="P330" s="2385"/>
      <c r="Q330" s="2385"/>
      <c r="R330" s="2385"/>
    </row>
    <row r="331" spans="3:18" x14ac:dyDescent="0.2">
      <c r="C331" s="2475" t="s">
        <v>558</v>
      </c>
      <c r="D331" s="2476" t="s">
        <v>1000</v>
      </c>
      <c r="E331" s="2385">
        <v>250000000</v>
      </c>
      <c r="F331" s="2385"/>
      <c r="G331" s="2385"/>
      <c r="H331" s="2441"/>
      <c r="I331" s="1530">
        <f t="shared" si="110"/>
        <v>0</v>
      </c>
      <c r="J331" s="2385"/>
      <c r="K331" s="1811"/>
      <c r="L331" s="1530">
        <f t="shared" si="111"/>
        <v>0</v>
      </c>
      <c r="M331" s="2385"/>
      <c r="N331" s="2385"/>
      <c r="O331" s="2385"/>
      <c r="P331" s="2385"/>
      <c r="Q331" s="2385"/>
      <c r="R331" s="2385"/>
    </row>
    <row r="332" spans="3:18" x14ac:dyDescent="0.2">
      <c r="C332" s="1595" t="s">
        <v>957</v>
      </c>
      <c r="D332" s="2419" t="s">
        <v>956</v>
      </c>
      <c r="E332" s="2385">
        <v>226155379</v>
      </c>
      <c r="F332" s="2385"/>
      <c r="G332" s="2385"/>
      <c r="H332" s="2441">
        <f t="shared" ref="H332:H337" si="112">E332+G332</f>
        <v>226155379</v>
      </c>
      <c r="I332" s="1530">
        <f t="shared" si="110"/>
        <v>0</v>
      </c>
      <c r="J332" s="2385"/>
      <c r="K332" s="1811"/>
      <c r="L332" s="1530">
        <f t="shared" si="111"/>
        <v>0</v>
      </c>
      <c r="M332" s="2385"/>
      <c r="N332" s="2385"/>
      <c r="O332" s="2385"/>
      <c r="P332" s="2385"/>
      <c r="Q332" s="2385"/>
      <c r="R332" s="2385"/>
    </row>
    <row r="333" spans="3:18" x14ac:dyDescent="0.2">
      <c r="C333" s="1595" t="s">
        <v>968</v>
      </c>
      <c r="D333" s="2419" t="s">
        <v>553</v>
      </c>
      <c r="E333" s="2385">
        <v>209942709</v>
      </c>
      <c r="F333" s="2385"/>
      <c r="G333" s="2385"/>
      <c r="H333" s="2441">
        <f t="shared" si="112"/>
        <v>209942709</v>
      </c>
      <c r="I333" s="1530">
        <f>F333-Q333-J333</f>
        <v>0</v>
      </c>
      <c r="J333" s="2385"/>
      <c r="K333" s="1811"/>
      <c r="L333" s="1530">
        <f>N333-O333-K333</f>
        <v>0</v>
      </c>
      <c r="M333" s="2385"/>
      <c r="N333" s="2385"/>
      <c r="O333" s="2385"/>
      <c r="P333" s="2385"/>
      <c r="Q333" s="2385"/>
      <c r="R333" s="2385"/>
    </row>
    <row r="334" spans="3:18" x14ac:dyDescent="0.2">
      <c r="C334" s="2365"/>
      <c r="D334" s="2365"/>
      <c r="E334" s="2365"/>
      <c r="F334" s="2365"/>
      <c r="G334" s="2365"/>
      <c r="H334" s="2365"/>
      <c r="I334" s="2365"/>
      <c r="J334" s="2365"/>
      <c r="K334" s="2365"/>
      <c r="L334" s="2365"/>
      <c r="M334" s="2365"/>
      <c r="N334" s="2365"/>
      <c r="O334" s="2365"/>
      <c r="P334" s="2365"/>
      <c r="Q334" s="2365"/>
      <c r="R334" s="2365"/>
    </row>
    <row r="335" spans="3:18" x14ac:dyDescent="0.2">
      <c r="C335" s="1595" t="s">
        <v>189</v>
      </c>
      <c r="D335" s="2432" t="s">
        <v>942</v>
      </c>
      <c r="E335" s="2385">
        <v>45382000</v>
      </c>
      <c r="F335" s="2385"/>
      <c r="G335" s="2385"/>
      <c r="H335" s="2441">
        <f t="shared" si="112"/>
        <v>45382000</v>
      </c>
      <c r="I335" s="1530">
        <f>F335-Q335-J335-K335</f>
        <v>0</v>
      </c>
      <c r="J335" s="2385"/>
      <c r="K335" s="1811"/>
      <c r="L335" s="1530">
        <f>N335-O335</f>
        <v>0</v>
      </c>
      <c r="M335" s="2385"/>
      <c r="N335" s="2385"/>
      <c r="O335" s="2385"/>
      <c r="P335" s="2385"/>
      <c r="Q335" s="2385"/>
      <c r="R335" s="2385"/>
    </row>
    <row r="336" spans="3:18" x14ac:dyDescent="0.2">
      <c r="C336" s="1595" t="s">
        <v>872</v>
      </c>
      <c r="D336" s="2419" t="s">
        <v>537</v>
      </c>
      <c r="E336" s="2385">
        <v>159240699</v>
      </c>
      <c r="F336" s="2385"/>
      <c r="G336" s="2385"/>
      <c r="H336" s="2441">
        <f t="shared" si="112"/>
        <v>159240699</v>
      </c>
      <c r="I336" s="1530">
        <f>F336-Q336-J336-K336</f>
        <v>0</v>
      </c>
      <c r="J336" s="2385"/>
      <c r="K336" s="1811"/>
      <c r="L336" s="1530">
        <f>N336-O336</f>
        <v>0</v>
      </c>
      <c r="M336" s="2385"/>
      <c r="N336" s="2385"/>
      <c r="O336" s="2385"/>
      <c r="P336" s="2385"/>
      <c r="Q336" s="2385"/>
      <c r="R336" s="2385"/>
    </row>
    <row r="337" spans="3:18" x14ac:dyDescent="0.2">
      <c r="C337" s="1595" t="s">
        <v>955</v>
      </c>
      <c r="D337" s="2419" t="s">
        <v>954</v>
      </c>
      <c r="E337" s="2385">
        <v>158740987</v>
      </c>
      <c r="F337" s="2385"/>
      <c r="G337" s="2385"/>
      <c r="H337" s="2441">
        <f t="shared" si="112"/>
        <v>158740987</v>
      </c>
      <c r="I337" s="1530">
        <f>F337-Q337-J337-K337</f>
        <v>0</v>
      </c>
      <c r="J337" s="2385"/>
      <c r="K337" s="1811"/>
      <c r="L337" s="1530">
        <f>N337-O337</f>
        <v>0</v>
      </c>
      <c r="M337" s="2385"/>
      <c r="N337" s="2385"/>
      <c r="O337" s="2385"/>
      <c r="P337" s="2385"/>
      <c r="Q337" s="2385"/>
      <c r="R337" s="2385"/>
    </row>
    <row r="338" spans="3:18" x14ac:dyDescent="0.2">
      <c r="C338" s="2477" t="s">
        <v>118</v>
      </c>
      <c r="D338" s="2478" t="s">
        <v>552</v>
      </c>
      <c r="E338" s="2385">
        <v>156206771</v>
      </c>
      <c r="F338" s="2385"/>
      <c r="G338" s="2385"/>
      <c r="H338" s="2441"/>
      <c r="I338" s="1530">
        <f>F338-Q338-J338-K338</f>
        <v>0</v>
      </c>
      <c r="J338" s="2385"/>
      <c r="K338" s="1811"/>
      <c r="L338" s="1530">
        <f>N338-O338</f>
        <v>0</v>
      </c>
      <c r="M338" s="2385"/>
      <c r="N338" s="2385"/>
      <c r="O338" s="2385"/>
      <c r="P338" s="2385"/>
      <c r="Q338" s="2385"/>
      <c r="R338" s="2385"/>
    </row>
    <row r="339" spans="3:18" x14ac:dyDescent="0.2">
      <c r="C339" s="2479" t="s">
        <v>63</v>
      </c>
      <c r="D339" s="2480" t="s">
        <v>64</v>
      </c>
      <c r="E339" s="2385">
        <v>151491689</v>
      </c>
      <c r="F339" s="2385"/>
      <c r="G339" s="2385"/>
      <c r="H339" s="2441"/>
      <c r="I339" s="1530"/>
      <c r="J339" s="2385"/>
      <c r="K339" s="1811"/>
      <c r="L339" s="1530">
        <f>N339-O339-K339</f>
        <v>0</v>
      </c>
      <c r="M339" s="2385"/>
      <c r="N339" s="2385"/>
      <c r="O339" s="2385"/>
      <c r="P339" s="2385"/>
      <c r="Q339" s="2385"/>
      <c r="R339" s="2385"/>
    </row>
    <row r="340" spans="3:18" x14ac:dyDescent="0.2">
      <c r="C340" s="2481" t="s">
        <v>158</v>
      </c>
      <c r="D340" s="2482" t="s">
        <v>349</v>
      </c>
      <c r="E340" s="2385">
        <v>151322786</v>
      </c>
      <c r="F340" s="2385"/>
      <c r="G340" s="2385"/>
      <c r="H340" s="2441"/>
      <c r="I340" s="1530">
        <f>F340-Q340-J340-K340</f>
        <v>0</v>
      </c>
      <c r="J340" s="2385"/>
      <c r="K340" s="1811"/>
      <c r="L340" s="1530">
        <f>N340-O340</f>
        <v>0</v>
      </c>
      <c r="M340" s="2385"/>
      <c r="N340" s="2385"/>
      <c r="O340" s="2385"/>
      <c r="P340" s="2385"/>
      <c r="Q340" s="2385"/>
      <c r="R340" s="2385"/>
    </row>
    <row r="341" spans="3:18" x14ac:dyDescent="0.2">
      <c r="C341" s="1595" t="s">
        <v>763</v>
      </c>
      <c r="D341" s="2419" t="s">
        <v>762</v>
      </c>
      <c r="E341" s="2385">
        <v>142018723</v>
      </c>
      <c r="F341" s="2385"/>
      <c r="G341" s="2385"/>
      <c r="H341" s="2441">
        <f>E341+G341</f>
        <v>142018723</v>
      </c>
      <c r="I341" s="1530">
        <f>F341-Q341-J341-K341</f>
        <v>0</v>
      </c>
      <c r="J341" s="2385"/>
      <c r="K341" s="1811"/>
      <c r="L341" s="1530">
        <f>N341-O341</f>
        <v>0</v>
      </c>
      <c r="M341" s="2385"/>
      <c r="N341" s="2385"/>
      <c r="O341" s="2385"/>
      <c r="P341" s="2385"/>
      <c r="Q341" s="2385"/>
      <c r="R341" s="2385"/>
    </row>
    <row r="342" spans="3:18" x14ac:dyDescent="0.2">
      <c r="C342" s="1595" t="s">
        <v>807</v>
      </c>
      <c r="D342" s="2449" t="s">
        <v>679</v>
      </c>
      <c r="E342" s="2385">
        <v>129683432</v>
      </c>
      <c r="F342" s="2385"/>
      <c r="G342" s="2385"/>
      <c r="H342" s="2441">
        <f>E342+G342</f>
        <v>129683432</v>
      </c>
      <c r="I342" s="1530">
        <f>F342-Q342-J342-K342</f>
        <v>0</v>
      </c>
      <c r="J342" s="2385"/>
      <c r="K342" s="1811"/>
      <c r="L342" s="1530">
        <f>N342-O342</f>
        <v>0</v>
      </c>
      <c r="M342" s="2385"/>
      <c r="N342" s="2385"/>
      <c r="O342" s="2385"/>
      <c r="P342" s="2385"/>
      <c r="Q342" s="2385"/>
      <c r="R342" s="2385"/>
    </row>
    <row r="343" spans="3:18" x14ac:dyDescent="0.2">
      <c r="C343" s="1595" t="s">
        <v>69</v>
      </c>
      <c r="D343" s="2419" t="s">
        <v>617</v>
      </c>
      <c r="E343" s="1811">
        <v>116007273</v>
      </c>
      <c r="F343" s="1811"/>
      <c r="G343" s="2483"/>
      <c r="H343" s="2441">
        <f>E343+G343</f>
        <v>116007273</v>
      </c>
      <c r="I343" s="1530">
        <f>F343-Q343-J343-K343</f>
        <v>0</v>
      </c>
      <c r="J343" s="1811"/>
      <c r="K343" s="1530"/>
      <c r="L343" s="1530">
        <f>N343-O343</f>
        <v>0</v>
      </c>
      <c r="M343" s="1811"/>
      <c r="N343" s="1811"/>
      <c r="O343" s="1811"/>
      <c r="P343" s="1811"/>
      <c r="Q343" s="1811"/>
      <c r="R343" s="1811"/>
    </row>
    <row r="344" spans="3:18" x14ac:dyDescent="0.2">
      <c r="C344" s="1595" t="s">
        <v>971</v>
      </c>
      <c r="D344" s="2417" t="s">
        <v>326</v>
      </c>
      <c r="E344" s="1811">
        <v>107352145</v>
      </c>
      <c r="F344" s="1811"/>
      <c r="G344" s="2483"/>
      <c r="H344" s="2441">
        <f>E344+G344</f>
        <v>107352145</v>
      </c>
      <c r="I344" s="1530">
        <f>F344-Q344-J344-K344</f>
        <v>0</v>
      </c>
      <c r="J344" s="1811"/>
      <c r="K344" s="1811"/>
      <c r="L344" s="1530">
        <f>N344-O344</f>
        <v>0</v>
      </c>
      <c r="M344" s="1811"/>
      <c r="N344" s="1811"/>
      <c r="O344" s="1811"/>
      <c r="P344" s="1811"/>
      <c r="Q344" s="1811"/>
      <c r="R344" s="1811"/>
    </row>
    <row r="345" spans="3:18" x14ac:dyDescent="0.2">
      <c r="C345" s="2430" t="s">
        <v>157</v>
      </c>
      <c r="D345" s="2427" t="s">
        <v>133</v>
      </c>
      <c r="E345" s="1811">
        <v>100362115</v>
      </c>
      <c r="F345" s="1811"/>
      <c r="G345" s="2236"/>
      <c r="H345" s="2407"/>
      <c r="I345" s="1530">
        <f>F345-Q345-J345</f>
        <v>0</v>
      </c>
      <c r="J345" s="1811"/>
      <c r="K345" s="1811"/>
      <c r="L345" s="1530">
        <f>N345-O345-K345</f>
        <v>0</v>
      </c>
      <c r="M345" s="1811"/>
      <c r="N345" s="1811"/>
      <c r="O345" s="1811"/>
      <c r="P345" s="1811"/>
      <c r="Q345" s="1811"/>
      <c r="R345" s="1811"/>
    </row>
    <row r="346" spans="3:18" x14ac:dyDescent="0.2">
      <c r="C346" s="1595" t="s">
        <v>972</v>
      </c>
      <c r="D346" s="2417" t="s">
        <v>723</v>
      </c>
      <c r="E346" s="1811">
        <v>94864138</v>
      </c>
      <c r="F346" s="1811"/>
      <c r="G346" s="2483"/>
      <c r="H346" s="2441">
        <f>E346+G346</f>
        <v>94864138</v>
      </c>
      <c r="I346" s="1530">
        <f>F346-Q346-J346-K346</f>
        <v>0</v>
      </c>
      <c r="J346" s="1811"/>
      <c r="K346" s="1811"/>
      <c r="L346" s="1530">
        <f>N346-O346</f>
        <v>0</v>
      </c>
      <c r="M346" s="1811"/>
      <c r="N346" s="1811"/>
      <c r="O346" s="1811"/>
      <c r="P346" s="1811"/>
      <c r="Q346" s="1811"/>
      <c r="R346" s="1811"/>
    </row>
    <row r="347" spans="3:18" x14ac:dyDescent="0.2">
      <c r="C347" s="1783" t="s">
        <v>953</v>
      </c>
      <c r="D347" s="2484" t="s">
        <v>952</v>
      </c>
      <c r="E347" s="2485">
        <v>86757311</v>
      </c>
      <c r="F347" s="2485"/>
      <c r="G347" s="2485"/>
      <c r="H347" s="2441">
        <f>E347+G347</f>
        <v>86757311</v>
      </c>
      <c r="I347" s="1530">
        <f>F347-Q347-J347</f>
        <v>0</v>
      </c>
      <c r="J347" s="2486"/>
      <c r="K347" s="2485"/>
      <c r="L347" s="1530">
        <f>N347-O347-K347</f>
        <v>0</v>
      </c>
      <c r="M347" s="2485"/>
      <c r="N347" s="1811"/>
      <c r="O347" s="2485"/>
      <c r="P347" s="2485"/>
      <c r="Q347" s="2485"/>
      <c r="R347" s="2485"/>
    </row>
    <row r="348" spans="3:18" x14ac:dyDescent="0.2">
      <c r="C348" s="1595" t="s">
        <v>200</v>
      </c>
      <c r="D348" s="2417" t="s">
        <v>201</v>
      </c>
      <c r="E348" s="1811">
        <v>85091093</v>
      </c>
      <c r="F348" s="1811"/>
      <c r="G348" s="1811"/>
      <c r="H348" s="2441">
        <f>E348+G348</f>
        <v>85091093</v>
      </c>
      <c r="I348" s="1530">
        <f t="shared" ref="I348:I355" si="113">F348-Q348-J348-K348</f>
        <v>0</v>
      </c>
      <c r="J348" s="2483"/>
      <c r="K348" s="1811"/>
      <c r="L348" s="1530">
        <f>N348-O348</f>
        <v>0</v>
      </c>
      <c r="M348" s="1811"/>
      <c r="N348" s="1811"/>
      <c r="O348" s="1811"/>
      <c r="P348" s="1811"/>
      <c r="Q348" s="1811"/>
      <c r="R348" s="1811"/>
    </row>
    <row r="349" spans="3:18" x14ac:dyDescent="0.2">
      <c r="C349" s="1595" t="s">
        <v>973</v>
      </c>
      <c r="D349" s="2417" t="s">
        <v>951</v>
      </c>
      <c r="E349" s="1811">
        <v>62482758</v>
      </c>
      <c r="F349" s="1811"/>
      <c r="G349" s="1811"/>
      <c r="H349" s="2385">
        <f>E349+G349</f>
        <v>62482758</v>
      </c>
      <c r="I349" s="1811">
        <f t="shared" si="113"/>
        <v>0</v>
      </c>
      <c r="J349" s="1811"/>
      <c r="K349" s="1811"/>
      <c r="L349" s="1811">
        <f>N349-O349</f>
        <v>0</v>
      </c>
      <c r="M349" s="1811"/>
      <c r="N349" s="1811"/>
      <c r="O349" s="1811"/>
      <c r="P349" s="1811"/>
      <c r="Q349" s="1811"/>
      <c r="R349" s="1811"/>
    </row>
    <row r="350" spans="3:18" ht="18" x14ac:dyDescent="0.2">
      <c r="C350" s="2487" t="s">
        <v>178</v>
      </c>
      <c r="D350" s="2488" t="s">
        <v>179</v>
      </c>
      <c r="E350" s="1531">
        <v>62171592</v>
      </c>
      <c r="F350" s="1530"/>
      <c r="G350" s="1530"/>
      <c r="H350" s="2385">
        <f t="shared" ref="H350:H355" si="114">E350+G350</f>
        <v>62171592</v>
      </c>
      <c r="I350" s="1811">
        <f t="shared" si="113"/>
        <v>0</v>
      </c>
      <c r="J350" s="1530"/>
      <c r="K350" s="1530"/>
      <c r="L350" s="1811">
        <f t="shared" ref="L350:L362" si="115">N350-O350</f>
        <v>0</v>
      </c>
      <c r="M350" s="1530"/>
      <c r="N350" s="1530"/>
      <c r="O350" s="1530"/>
      <c r="P350" s="1530"/>
      <c r="Q350" s="1530"/>
      <c r="R350" s="1531"/>
    </row>
    <row r="351" spans="3:18" ht="18" x14ac:dyDescent="0.2">
      <c r="C351" s="2250" t="s">
        <v>161</v>
      </c>
      <c r="D351" s="2489" t="s">
        <v>202</v>
      </c>
      <c r="E351" s="1530">
        <v>58250000</v>
      </c>
      <c r="F351" s="1530"/>
      <c r="G351" s="1530"/>
      <c r="H351" s="2385">
        <f t="shared" si="114"/>
        <v>58250000</v>
      </c>
      <c r="I351" s="1811">
        <f t="shared" si="113"/>
        <v>0</v>
      </c>
      <c r="J351" s="1530"/>
      <c r="K351" s="1530"/>
      <c r="L351" s="1811">
        <f t="shared" si="115"/>
        <v>0</v>
      </c>
      <c r="M351" s="1530"/>
      <c r="N351" s="1530"/>
      <c r="O351" s="1530"/>
      <c r="P351" s="1530"/>
      <c r="Q351" s="1530"/>
      <c r="R351" s="1531"/>
    </row>
    <row r="352" spans="3:18" ht="18" x14ac:dyDescent="0.2">
      <c r="C352" s="2490" t="s">
        <v>120</v>
      </c>
      <c r="D352" s="2491" t="s">
        <v>121</v>
      </c>
      <c r="E352" s="1530">
        <v>42945568</v>
      </c>
      <c r="F352" s="1530"/>
      <c r="G352" s="1530"/>
      <c r="H352" s="2385">
        <f t="shared" si="114"/>
        <v>42945568</v>
      </c>
      <c r="I352" s="1811">
        <f t="shared" si="113"/>
        <v>0</v>
      </c>
      <c r="J352" s="1530"/>
      <c r="K352" s="1530"/>
      <c r="L352" s="1811">
        <f t="shared" si="115"/>
        <v>0</v>
      </c>
      <c r="M352" s="1530"/>
      <c r="N352" s="1530"/>
      <c r="O352" s="1530"/>
      <c r="P352" s="1530"/>
      <c r="Q352" s="1530"/>
      <c r="R352" s="1531"/>
    </row>
    <row r="353" spans="3:18" ht="18" x14ac:dyDescent="0.2">
      <c r="C353" s="2424" t="s">
        <v>123</v>
      </c>
      <c r="D353" s="2492" t="s">
        <v>124</v>
      </c>
      <c r="E353" s="1530">
        <v>38144444</v>
      </c>
      <c r="F353" s="1530"/>
      <c r="G353" s="1530"/>
      <c r="H353" s="2385">
        <f t="shared" si="114"/>
        <v>38144444</v>
      </c>
      <c r="I353" s="1811">
        <f t="shared" si="113"/>
        <v>0</v>
      </c>
      <c r="J353" s="1530"/>
      <c r="K353" s="1530"/>
      <c r="L353" s="1811">
        <f t="shared" si="115"/>
        <v>0</v>
      </c>
      <c r="M353" s="1530"/>
      <c r="N353" s="1530"/>
      <c r="O353" s="1530"/>
      <c r="P353" s="1530"/>
      <c r="Q353" s="1530"/>
      <c r="R353" s="1531"/>
    </row>
    <row r="354" spans="3:18" x14ac:dyDescent="0.2">
      <c r="C354" s="1595" t="s">
        <v>868</v>
      </c>
      <c r="D354" s="2417" t="s">
        <v>616</v>
      </c>
      <c r="E354" s="1811">
        <v>35446665</v>
      </c>
      <c r="F354" s="1811"/>
      <c r="G354" s="1811"/>
      <c r="H354" s="2385">
        <f t="shared" si="114"/>
        <v>35446665</v>
      </c>
      <c r="I354" s="1811">
        <f t="shared" si="113"/>
        <v>0</v>
      </c>
      <c r="J354" s="1811"/>
      <c r="K354" s="1811"/>
      <c r="L354" s="1811">
        <f t="shared" si="115"/>
        <v>0</v>
      </c>
      <c r="M354" s="1811"/>
      <c r="N354" s="1811"/>
      <c r="O354" s="1811"/>
      <c r="P354" s="1811"/>
      <c r="Q354" s="1811"/>
      <c r="R354" s="1811"/>
    </row>
    <row r="355" spans="3:18" x14ac:dyDescent="0.2">
      <c r="C355" s="1595" t="s">
        <v>967</v>
      </c>
      <c r="D355" s="2417" t="s">
        <v>621</v>
      </c>
      <c r="E355" s="2385">
        <v>8638801</v>
      </c>
      <c r="F355" s="2385"/>
      <c r="G355" s="2385"/>
      <c r="H355" s="2385">
        <f t="shared" si="114"/>
        <v>8638801</v>
      </c>
      <c r="I355" s="1811">
        <f t="shared" si="113"/>
        <v>0</v>
      </c>
      <c r="J355" s="2385"/>
      <c r="K355" s="1811"/>
      <c r="L355" s="1811">
        <f t="shared" si="115"/>
        <v>0</v>
      </c>
      <c r="M355" s="2385"/>
      <c r="N355" s="2385"/>
      <c r="O355" s="2385"/>
      <c r="P355" s="2385"/>
      <c r="Q355" s="2385"/>
      <c r="R355" s="2385"/>
    </row>
    <row r="356" spans="3:18" x14ac:dyDescent="0.2">
      <c r="C356" s="1595" t="s">
        <v>645</v>
      </c>
      <c r="D356" s="2419" t="s">
        <v>644</v>
      </c>
      <c r="E356" s="2385"/>
      <c r="F356" s="2385"/>
      <c r="G356" s="2385"/>
      <c r="H356" s="2385">
        <f t="shared" ref="H356:H362" si="116">E356+G356</f>
        <v>0</v>
      </c>
      <c r="I356" s="1811">
        <f>F356-Q356-J356</f>
        <v>0</v>
      </c>
      <c r="J356" s="2385"/>
      <c r="K356" s="1811"/>
      <c r="L356" s="1811">
        <f>N356-O356-K356</f>
        <v>0</v>
      </c>
      <c r="M356" s="2385"/>
      <c r="N356" s="2385"/>
      <c r="O356" s="2385"/>
      <c r="P356" s="2385"/>
      <c r="Q356" s="2385"/>
      <c r="R356" s="2385"/>
    </row>
    <row r="357" spans="3:18" x14ac:dyDescent="0.2">
      <c r="C357" s="1595" t="s">
        <v>965</v>
      </c>
      <c r="D357" s="2419" t="s">
        <v>944</v>
      </c>
      <c r="E357" s="2385"/>
      <c r="F357" s="2385"/>
      <c r="G357" s="2385"/>
      <c r="H357" s="2385">
        <f t="shared" si="116"/>
        <v>0</v>
      </c>
      <c r="I357" s="1811">
        <f t="shared" ref="I357:I362" si="117">F357-Q357-J357-K357</f>
        <v>0</v>
      </c>
      <c r="J357" s="2385"/>
      <c r="K357" s="1811"/>
      <c r="L357" s="1811">
        <f t="shared" si="115"/>
        <v>0</v>
      </c>
      <c r="M357" s="2385"/>
      <c r="N357" s="2385"/>
      <c r="O357" s="2385"/>
      <c r="P357" s="2385"/>
      <c r="Q357" s="2385"/>
      <c r="R357" s="2385"/>
    </row>
    <row r="358" spans="3:18" x14ac:dyDescent="0.2">
      <c r="C358" s="1595" t="s">
        <v>966</v>
      </c>
      <c r="D358" s="2419" t="s">
        <v>945</v>
      </c>
      <c r="E358" s="2385">
        <v>334766</v>
      </c>
      <c r="F358" s="2385"/>
      <c r="G358" s="2385"/>
      <c r="H358" s="2385">
        <f t="shared" si="116"/>
        <v>334766</v>
      </c>
      <c r="I358" s="1811">
        <f t="shared" si="117"/>
        <v>0</v>
      </c>
      <c r="J358" s="2385"/>
      <c r="K358" s="1811"/>
      <c r="L358" s="1811">
        <f t="shared" si="115"/>
        <v>0</v>
      </c>
      <c r="M358" s="2385"/>
      <c r="N358" s="2385"/>
      <c r="O358" s="2385"/>
      <c r="P358" s="2385"/>
      <c r="Q358" s="2385"/>
      <c r="R358" s="2385"/>
    </row>
    <row r="359" spans="3:18" x14ac:dyDescent="0.2">
      <c r="C359" s="1595" t="s">
        <v>754</v>
      </c>
      <c r="D359" s="2419" t="s">
        <v>753</v>
      </c>
      <c r="E359" s="2385"/>
      <c r="F359" s="2385"/>
      <c r="G359" s="2385"/>
      <c r="H359" s="2385">
        <f t="shared" si="116"/>
        <v>0</v>
      </c>
      <c r="I359" s="1811">
        <f t="shared" si="117"/>
        <v>0</v>
      </c>
      <c r="J359" s="2385"/>
      <c r="K359" s="1811"/>
      <c r="L359" s="1811">
        <f>N359-O359</f>
        <v>0</v>
      </c>
      <c r="M359" s="2385"/>
      <c r="N359" s="2385"/>
      <c r="O359" s="2385"/>
      <c r="P359" s="2385"/>
      <c r="Q359" s="2385"/>
      <c r="R359" s="2385"/>
    </row>
    <row r="360" spans="3:18" x14ac:dyDescent="0.2">
      <c r="C360" s="1595" t="s">
        <v>970</v>
      </c>
      <c r="D360" s="2419" t="s">
        <v>950</v>
      </c>
      <c r="E360" s="2385"/>
      <c r="F360" s="2385"/>
      <c r="G360" s="2385"/>
      <c r="H360" s="2385">
        <f t="shared" si="116"/>
        <v>0</v>
      </c>
      <c r="I360" s="1811">
        <f t="shared" si="117"/>
        <v>0</v>
      </c>
      <c r="J360" s="2385"/>
      <c r="K360" s="1811"/>
      <c r="L360" s="1811">
        <f t="shared" si="115"/>
        <v>0</v>
      </c>
      <c r="M360" s="2385"/>
      <c r="N360" s="2385"/>
      <c r="O360" s="2385"/>
      <c r="P360" s="2385"/>
      <c r="Q360" s="2385"/>
      <c r="R360" s="2385"/>
    </row>
    <row r="361" spans="3:18" x14ac:dyDescent="0.2">
      <c r="C361" s="2493" t="s">
        <v>810</v>
      </c>
      <c r="D361" s="2494" t="s">
        <v>1085</v>
      </c>
      <c r="E361" s="1811"/>
      <c r="F361" s="1811"/>
      <c r="G361" s="1811"/>
      <c r="H361" s="2385">
        <f t="shared" si="116"/>
        <v>0</v>
      </c>
      <c r="I361" s="1811">
        <f t="shared" si="117"/>
        <v>0</v>
      </c>
      <c r="J361" s="1811"/>
      <c r="K361" s="1811"/>
      <c r="L361" s="1811">
        <f t="shared" si="115"/>
        <v>0</v>
      </c>
      <c r="M361" s="1811"/>
      <c r="N361" s="1811"/>
      <c r="O361" s="1811"/>
      <c r="P361" s="1811"/>
      <c r="Q361" s="1811"/>
      <c r="R361" s="1811"/>
    </row>
    <row r="362" spans="3:18" x14ac:dyDescent="0.2">
      <c r="C362" s="603" t="s">
        <v>1179</v>
      </c>
      <c r="D362" s="2495" t="s">
        <v>1178</v>
      </c>
      <c r="E362" s="1811"/>
      <c r="F362" s="1811"/>
      <c r="G362" s="1811"/>
      <c r="H362" s="2385">
        <f t="shared" si="116"/>
        <v>0</v>
      </c>
      <c r="I362" s="1811">
        <f t="shared" si="117"/>
        <v>0</v>
      </c>
      <c r="J362" s="1811"/>
      <c r="K362" s="1811"/>
      <c r="L362" s="1811">
        <f t="shared" si="115"/>
        <v>0</v>
      </c>
      <c r="M362" s="1811"/>
      <c r="N362" s="1811"/>
      <c r="O362" s="1811"/>
      <c r="P362" s="1811"/>
      <c r="Q362" s="1811"/>
      <c r="R362" s="1811"/>
    </row>
  </sheetData>
  <mergeCells count="158">
    <mergeCell ref="B100:B119"/>
    <mergeCell ref="B72:B89"/>
    <mergeCell ref="B48:B62"/>
    <mergeCell ref="B158:B177"/>
    <mergeCell ref="B1:R1"/>
    <mergeCell ref="B2:R2"/>
    <mergeCell ref="B3:R3"/>
    <mergeCell ref="B4:R4"/>
    <mergeCell ref="I46:I47"/>
    <mergeCell ref="C46:C47"/>
    <mergeCell ref="C15:K15"/>
    <mergeCell ref="D46:D47"/>
    <mergeCell ref="F46:F47"/>
    <mergeCell ref="J46:J47"/>
    <mergeCell ref="G46:G47"/>
    <mergeCell ref="C45:M45"/>
    <mergeCell ref="O46:O47"/>
    <mergeCell ref="P46:P47"/>
    <mergeCell ref="B46:B47"/>
    <mergeCell ref="P45:R45"/>
    <mergeCell ref="R46:R47"/>
    <mergeCell ref="L46:L47"/>
    <mergeCell ref="M46:M47"/>
    <mergeCell ref="K46:K47"/>
    <mergeCell ref="H46:H47"/>
    <mergeCell ref="E46:E47"/>
    <mergeCell ref="B124:R124"/>
    <mergeCell ref="B120:D120"/>
    <mergeCell ref="B122:R122"/>
    <mergeCell ref="B123:R123"/>
    <mergeCell ref="C121:R121"/>
    <mergeCell ref="B151:R151"/>
    <mergeCell ref="B152:R152"/>
    <mergeCell ref="C129:D129"/>
    <mergeCell ref="B149:D149"/>
    <mergeCell ref="C150:R150"/>
    <mergeCell ref="B125:R125"/>
    <mergeCell ref="C126:L126"/>
    <mergeCell ref="B127:B128"/>
    <mergeCell ref="C127:C128"/>
    <mergeCell ref="D127:D128"/>
    <mergeCell ref="E127:E128"/>
    <mergeCell ref="F127:F128"/>
    <mergeCell ref="G127:G128"/>
    <mergeCell ref="I127:I128"/>
    <mergeCell ref="J127:J128"/>
    <mergeCell ref="K127:K128"/>
    <mergeCell ref="L127:L128"/>
    <mergeCell ref="M127:M128"/>
    <mergeCell ref="B129:B148"/>
    <mergeCell ref="J156:J157"/>
    <mergeCell ref="K156:K157"/>
    <mergeCell ref="H156:H157"/>
    <mergeCell ref="C177:D177"/>
    <mergeCell ref="O127:O128"/>
    <mergeCell ref="P127:P128"/>
    <mergeCell ref="R127:R128"/>
    <mergeCell ref="H127:H128"/>
    <mergeCell ref="L156:L157"/>
    <mergeCell ref="M156:M157"/>
    <mergeCell ref="O156:O157"/>
    <mergeCell ref="P156:P157"/>
    <mergeCell ref="R156:R157"/>
    <mergeCell ref="C155:L155"/>
    <mergeCell ref="B153:R153"/>
    <mergeCell ref="B154:R154"/>
    <mergeCell ref="D214:R214"/>
    <mergeCell ref="D216:R217"/>
    <mergeCell ref="A219:R219"/>
    <mergeCell ref="C224:D224"/>
    <mergeCell ref="L185:L186"/>
    <mergeCell ref="M185:M186"/>
    <mergeCell ref="O185:O186"/>
    <mergeCell ref="P185:P186"/>
    <mergeCell ref="R185:R186"/>
    <mergeCell ref="B187:B211"/>
    <mergeCell ref="C210:D210"/>
    <mergeCell ref="C211:D211"/>
    <mergeCell ref="B185:B186"/>
    <mergeCell ref="C185:C186"/>
    <mergeCell ref="D185:D186"/>
    <mergeCell ref="E185:E186"/>
    <mergeCell ref="F185:F186"/>
    <mergeCell ref="G185:G186"/>
    <mergeCell ref="I185:I186"/>
    <mergeCell ref="J185:J186"/>
    <mergeCell ref="K185:K186"/>
    <mergeCell ref="H185:H186"/>
    <mergeCell ref="C6:K6"/>
    <mergeCell ref="B40:R40"/>
    <mergeCell ref="B41:R41"/>
    <mergeCell ref="B42:R42"/>
    <mergeCell ref="B43:R43"/>
    <mergeCell ref="A38:R39"/>
    <mergeCell ref="B212:D212"/>
    <mergeCell ref="M213:O213"/>
    <mergeCell ref="B180:R180"/>
    <mergeCell ref="B181:R181"/>
    <mergeCell ref="B182:R182"/>
    <mergeCell ref="B183:R183"/>
    <mergeCell ref="C184:L184"/>
    <mergeCell ref="C158:D158"/>
    <mergeCell ref="B178:D178"/>
    <mergeCell ref="C179:R179"/>
    <mergeCell ref="B156:B157"/>
    <mergeCell ref="C156:C157"/>
    <mergeCell ref="D156:D157"/>
    <mergeCell ref="E156:E157"/>
    <mergeCell ref="F156:F157"/>
    <mergeCell ref="G156:G157"/>
    <mergeCell ref="I156:I157"/>
    <mergeCell ref="C72:D72"/>
    <mergeCell ref="C70:C71"/>
    <mergeCell ref="D70:D71"/>
    <mergeCell ref="E70:E71"/>
    <mergeCell ref="F70:F71"/>
    <mergeCell ref="G70:G71"/>
    <mergeCell ref="H70:H71"/>
    <mergeCell ref="I70:I71"/>
    <mergeCell ref="J70:J71"/>
    <mergeCell ref="B63:D63"/>
    <mergeCell ref="C64:R64"/>
    <mergeCell ref="B65:R65"/>
    <mergeCell ref="B66:R66"/>
    <mergeCell ref="B67:R67"/>
    <mergeCell ref="B68:R68"/>
    <mergeCell ref="C69:L69"/>
    <mergeCell ref="B70:B71"/>
    <mergeCell ref="O70:O71"/>
    <mergeCell ref="R70:R71"/>
    <mergeCell ref="K70:K71"/>
    <mergeCell ref="L70:L71"/>
    <mergeCell ref="M70:M71"/>
    <mergeCell ref="P70:P71"/>
    <mergeCell ref="C100:D100"/>
    <mergeCell ref="C187:D187"/>
    <mergeCell ref="B90:D90"/>
    <mergeCell ref="C92:R92"/>
    <mergeCell ref="B93:R93"/>
    <mergeCell ref="B94:R94"/>
    <mergeCell ref="B95:R95"/>
    <mergeCell ref="B96:R96"/>
    <mergeCell ref="C97:L97"/>
    <mergeCell ref="B98:B99"/>
    <mergeCell ref="C98:C99"/>
    <mergeCell ref="D98:D99"/>
    <mergeCell ref="E98:E99"/>
    <mergeCell ref="F98:F99"/>
    <mergeCell ref="G98:G99"/>
    <mergeCell ref="H98:H99"/>
    <mergeCell ref="I98:I99"/>
    <mergeCell ref="J98:J99"/>
    <mergeCell ref="K98:K99"/>
    <mergeCell ref="L98:L99"/>
    <mergeCell ref="M98:M99"/>
    <mergeCell ref="O98:O99"/>
    <mergeCell ref="P98:P99"/>
    <mergeCell ref="R98:R99"/>
  </mergeCells>
  <printOptions horizontalCentered="1" verticalCentered="1"/>
  <pageMargins left="0.35433070866141703" right="0.35433070866141703" top="0.39370078740157499" bottom="0.39370078740157499" header="0.39370078740157499" footer="0"/>
  <pageSetup paperSize="9" scale="85" fitToWidth="0" fitToHeight="0" orientation="landscape" r:id="rId1"/>
  <headerFooter alignWithMargins="0"/>
  <rowBreaks count="4" manualBreakCount="4">
    <brk id="121" max="16383" man="1"/>
    <brk id="150" max="16383" man="1"/>
    <brk id="179" max="16383" man="1"/>
    <brk id="219" max="16383"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2060"/>
  </sheetPr>
  <dimension ref="A1:J48"/>
  <sheetViews>
    <sheetView rightToLeft="1" view="pageBreakPreview" topLeftCell="A32" zoomScale="92" zoomScaleNormal="91" zoomScaleSheetLayoutView="92" workbookViewId="0">
      <selection activeCell="A41" sqref="A41:XFD41"/>
    </sheetView>
  </sheetViews>
  <sheetFormatPr defaultColWidth="9.140625" defaultRowHeight="17.25" x14ac:dyDescent="0.2"/>
  <cols>
    <col min="1" max="1" width="2.7109375" style="71" customWidth="1"/>
    <col min="2" max="2" width="18" style="81" customWidth="1"/>
    <col min="3" max="3" width="37.85546875" style="71" customWidth="1"/>
    <col min="4" max="4" width="26.140625" style="71" hidden="1" customWidth="1"/>
    <col min="5" max="5" width="26.140625" style="73" hidden="1" customWidth="1"/>
    <col min="6" max="6" width="16.140625" style="501" customWidth="1"/>
    <col min="7" max="8" width="21.28515625" style="73" hidden="1" customWidth="1"/>
    <col min="9" max="9" width="18" style="73" customWidth="1"/>
    <col min="10" max="10" width="1.5703125" style="71" customWidth="1"/>
    <col min="11" max="16384" width="9.140625" style="71"/>
  </cols>
  <sheetData>
    <row r="1" spans="1:10" ht="19.899999999999999" customHeight="1" x14ac:dyDescent="0.2">
      <c r="A1" s="3431" t="s">
        <v>32</v>
      </c>
      <c r="B1" s="3431"/>
      <c r="C1" s="3431"/>
      <c r="D1" s="3431"/>
      <c r="E1" s="3431"/>
      <c r="F1" s="3431"/>
      <c r="G1" s="3431"/>
      <c r="H1" s="3431"/>
      <c r="I1" s="3431"/>
      <c r="J1" s="3431"/>
    </row>
    <row r="2" spans="1:10" ht="19.899999999999999" customHeight="1" x14ac:dyDescent="0.2">
      <c r="A2" s="3431" t="s">
        <v>45</v>
      </c>
      <c r="B2" s="3431"/>
      <c r="C2" s="3431"/>
      <c r="D2" s="3431"/>
      <c r="E2" s="3431"/>
      <c r="F2" s="3431"/>
      <c r="G2" s="3431"/>
      <c r="H2" s="3431"/>
      <c r="I2" s="3431"/>
      <c r="J2" s="3431"/>
    </row>
    <row r="3" spans="1:10" ht="19.899999999999999" customHeight="1" x14ac:dyDescent="0.2">
      <c r="A3" s="3431" t="s">
        <v>46</v>
      </c>
      <c r="B3" s="3431"/>
      <c r="C3" s="3431"/>
      <c r="D3" s="3431"/>
      <c r="E3" s="3431"/>
      <c r="F3" s="3431"/>
      <c r="G3" s="3431"/>
      <c r="H3" s="3431"/>
      <c r="I3" s="3431"/>
      <c r="J3" s="3431"/>
    </row>
    <row r="4" spans="1:10" ht="19.899999999999999" customHeight="1" x14ac:dyDescent="0.2">
      <c r="A4" s="3057" t="s">
        <v>1978</v>
      </c>
      <c r="B4" s="3057"/>
      <c r="C4" s="3057"/>
      <c r="D4" s="3057"/>
      <c r="E4" s="3057"/>
      <c r="F4" s="3057"/>
      <c r="G4" s="3057"/>
      <c r="H4" s="3057"/>
      <c r="I4" s="3057"/>
      <c r="J4" s="3057"/>
    </row>
    <row r="5" spans="1:10" ht="14.25" customHeight="1" x14ac:dyDescent="0.2">
      <c r="B5" s="216"/>
      <c r="C5" s="86"/>
      <c r="D5" s="86"/>
      <c r="E5" s="79"/>
      <c r="F5" s="500"/>
      <c r="G5" s="79"/>
      <c r="H5" s="967"/>
      <c r="I5" s="967"/>
    </row>
    <row r="6" spans="1:10" ht="19.899999999999999" customHeight="1" x14ac:dyDescent="0.2">
      <c r="B6" s="3835" t="s">
        <v>1832</v>
      </c>
      <c r="C6" s="3835"/>
      <c r="D6" s="3835"/>
      <c r="E6" s="3835"/>
      <c r="F6" s="3835"/>
      <c r="G6" s="703"/>
      <c r="I6" s="242" t="s">
        <v>194</v>
      </c>
      <c r="J6" s="67"/>
    </row>
    <row r="7" spans="1:10" ht="19.899999999999999" customHeight="1" x14ac:dyDescent="0.2">
      <c r="A7" s="86"/>
      <c r="B7" s="647" t="s">
        <v>196</v>
      </c>
      <c r="C7" s="648" t="s">
        <v>1121</v>
      </c>
      <c r="D7" s="649"/>
      <c r="E7" s="650"/>
      <c r="F7" s="993" t="s">
        <v>1980</v>
      </c>
      <c r="G7" s="651"/>
      <c r="H7" s="648" t="s">
        <v>385</v>
      </c>
      <c r="I7" s="651" t="s">
        <v>1380</v>
      </c>
    </row>
    <row r="8" spans="1:10" ht="19.899999999999999" customHeight="1" x14ac:dyDescent="0.45">
      <c r="A8" s="86"/>
      <c r="B8" s="1520" t="s">
        <v>651</v>
      </c>
      <c r="C8" s="1677" t="s">
        <v>1864</v>
      </c>
      <c r="D8" s="1668"/>
      <c r="E8" s="1669"/>
      <c r="F8" s="1524">
        <v>571472979662</v>
      </c>
      <c r="G8" s="1524"/>
      <c r="H8" s="1524"/>
      <c r="I8" s="1524">
        <v>331031870366</v>
      </c>
    </row>
    <row r="9" spans="1:10" ht="19.899999999999999" customHeight="1" x14ac:dyDescent="0.45">
      <c r="A9" s="86"/>
      <c r="B9" s="1520">
        <v>40901005</v>
      </c>
      <c r="C9" s="1677" t="s">
        <v>1866</v>
      </c>
      <c r="D9" s="1669"/>
      <c r="E9" s="1670"/>
      <c r="F9" s="1524">
        <v>454021989005</v>
      </c>
      <c r="G9" s="1524"/>
      <c r="H9" s="1524"/>
      <c r="I9" s="1524">
        <v>234163997789</v>
      </c>
    </row>
    <row r="10" spans="1:10" ht="19.899999999999999" customHeight="1" x14ac:dyDescent="0.45">
      <c r="A10" s="86"/>
      <c r="B10" s="1520" t="s">
        <v>346</v>
      </c>
      <c r="C10" s="1679" t="s">
        <v>2207</v>
      </c>
      <c r="D10" s="1664"/>
      <c r="E10" s="1519"/>
      <c r="F10" s="1665">
        <v>460245526069</v>
      </c>
      <c r="G10" s="1664"/>
      <c r="H10" s="1664"/>
      <c r="I10" s="1664">
        <v>50849873581</v>
      </c>
    </row>
    <row r="11" spans="1:10" ht="19.899999999999999" customHeight="1" x14ac:dyDescent="0.45">
      <c r="A11" s="86"/>
      <c r="B11" s="654" t="s">
        <v>346</v>
      </c>
      <c r="C11" s="1677" t="s">
        <v>1874</v>
      </c>
      <c r="D11" s="1668"/>
      <c r="E11" s="1669"/>
      <c r="F11" s="1524">
        <v>350115857989</v>
      </c>
      <c r="G11" s="1524"/>
      <c r="H11" s="1524"/>
      <c r="I11" s="1524">
        <v>146332963731</v>
      </c>
    </row>
    <row r="12" spans="1:10" ht="19.899999999999999" customHeight="1" x14ac:dyDescent="0.45">
      <c r="A12" s="86"/>
      <c r="B12" s="654" t="s">
        <v>1155</v>
      </c>
      <c r="C12" s="1679" t="s">
        <v>2208</v>
      </c>
      <c r="D12" s="1668"/>
      <c r="E12" s="1669"/>
      <c r="F12" s="1524">
        <v>277212332116</v>
      </c>
      <c r="G12" s="1524"/>
      <c r="H12" s="1524"/>
      <c r="I12" s="1524">
        <v>20519440275</v>
      </c>
    </row>
    <row r="13" spans="1:10" ht="19.899999999999999" customHeight="1" x14ac:dyDescent="0.45">
      <c r="A13" s="86"/>
      <c r="B13" s="1520" t="s">
        <v>653</v>
      </c>
      <c r="C13" s="1677" t="s">
        <v>1867</v>
      </c>
      <c r="D13" s="1671"/>
      <c r="E13" s="1672"/>
      <c r="F13" s="1524">
        <v>264455278067</v>
      </c>
      <c r="G13" s="1524"/>
      <c r="H13" s="1524"/>
      <c r="I13" s="1524">
        <v>220857312649</v>
      </c>
    </row>
    <row r="14" spans="1:10" ht="19.899999999999999" customHeight="1" x14ac:dyDescent="0.45">
      <c r="A14" s="86"/>
      <c r="B14" s="1520" t="s">
        <v>652</v>
      </c>
      <c r="C14" s="1677" t="s">
        <v>1865</v>
      </c>
      <c r="D14" s="1668"/>
      <c r="E14" s="1669"/>
      <c r="F14" s="1524">
        <v>261688918581</v>
      </c>
      <c r="G14" s="1524"/>
      <c r="H14" s="1524"/>
      <c r="I14" s="1524">
        <v>246624121914</v>
      </c>
    </row>
    <row r="15" spans="1:10" ht="19.899999999999999" customHeight="1" x14ac:dyDescent="0.45">
      <c r="A15" s="86"/>
      <c r="B15" s="1520">
        <v>1307002010</v>
      </c>
      <c r="C15" s="1677" t="s">
        <v>1868</v>
      </c>
      <c r="D15" s="1668"/>
      <c r="E15" s="1669"/>
      <c r="F15" s="1524">
        <v>282058798484</v>
      </c>
      <c r="G15" s="1524"/>
      <c r="H15" s="1524"/>
      <c r="I15" s="1524">
        <v>216672859013</v>
      </c>
    </row>
    <row r="16" spans="1:10" ht="19.899999999999999" customHeight="1" x14ac:dyDescent="0.45">
      <c r="A16" s="86"/>
      <c r="B16" s="1520">
        <v>1503003006</v>
      </c>
      <c r="C16" s="1680" t="s">
        <v>1863</v>
      </c>
      <c r="D16" s="1673"/>
      <c r="E16" s="1669"/>
      <c r="F16" s="1524">
        <v>419741559177</v>
      </c>
      <c r="G16" s="1524"/>
      <c r="H16" s="1524"/>
      <c r="I16" s="1524">
        <v>506025531296</v>
      </c>
    </row>
    <row r="17" spans="1:9" ht="19.899999999999999" customHeight="1" x14ac:dyDescent="0.45">
      <c r="A17" s="86"/>
      <c r="B17" s="1650">
        <v>1503002046</v>
      </c>
      <c r="C17" s="1679" t="s">
        <v>2209</v>
      </c>
      <c r="D17" s="1519"/>
      <c r="E17" s="1519"/>
      <c r="F17" s="1519">
        <v>240060267158</v>
      </c>
      <c r="G17" s="1519"/>
      <c r="H17" s="1519"/>
      <c r="I17" s="1519">
        <v>69641671350</v>
      </c>
    </row>
    <row r="18" spans="1:9" ht="19.899999999999999" customHeight="1" x14ac:dyDescent="0.45">
      <c r="A18" s="86"/>
      <c r="B18" s="1520" t="s">
        <v>651</v>
      </c>
      <c r="C18" s="1677" t="s">
        <v>1881</v>
      </c>
      <c r="D18" s="1668"/>
      <c r="E18" s="1669"/>
      <c r="F18" s="1524">
        <v>218747587399</v>
      </c>
      <c r="G18" s="1524"/>
      <c r="H18" s="1524"/>
      <c r="I18" s="1524">
        <v>68985868548</v>
      </c>
    </row>
    <row r="19" spans="1:9" ht="19.899999999999999" customHeight="1" x14ac:dyDescent="0.45">
      <c r="A19" s="86"/>
      <c r="B19" s="1520">
        <v>1503003006</v>
      </c>
      <c r="C19" s="1677" t="s">
        <v>1862</v>
      </c>
      <c r="D19" s="1673"/>
      <c r="E19" s="1669"/>
      <c r="F19" s="1524">
        <v>243485543905</v>
      </c>
      <c r="G19" s="1524"/>
      <c r="H19" s="1524"/>
      <c r="I19" s="1524">
        <v>496682847590</v>
      </c>
    </row>
    <row r="20" spans="1:9" s="703" customFormat="1" ht="21" customHeight="1" x14ac:dyDescent="0.45">
      <c r="A20" s="975"/>
      <c r="B20" s="1674">
        <v>1503002046</v>
      </c>
      <c r="C20" s="1680" t="s">
        <v>1870</v>
      </c>
      <c r="D20" s="1519"/>
      <c r="E20" s="1519"/>
      <c r="F20" s="1524">
        <v>219537889275</v>
      </c>
      <c r="G20" s="1519"/>
      <c r="H20" s="1519"/>
      <c r="I20" s="1524">
        <v>165852745471</v>
      </c>
    </row>
    <row r="21" spans="1:9" s="703" customFormat="1" ht="21" customHeight="1" x14ac:dyDescent="0.45">
      <c r="A21" s="975"/>
      <c r="B21" s="1520" t="s">
        <v>182</v>
      </c>
      <c r="C21" s="1677" t="s">
        <v>1871</v>
      </c>
      <c r="D21" s="1668"/>
      <c r="E21" s="1522"/>
      <c r="F21" s="1524">
        <v>181618624061</v>
      </c>
      <c r="G21" s="1524"/>
      <c r="H21" s="1524"/>
      <c r="I21" s="1524">
        <v>128064279035</v>
      </c>
    </row>
    <row r="22" spans="1:9" s="703" customFormat="1" ht="21" customHeight="1" x14ac:dyDescent="0.45">
      <c r="A22" s="975"/>
      <c r="B22" s="654" t="s">
        <v>346</v>
      </c>
      <c r="C22" s="1680" t="s">
        <v>1869</v>
      </c>
      <c r="D22" s="1671"/>
      <c r="E22" s="1672"/>
      <c r="F22" s="1524">
        <v>189061368506</v>
      </c>
      <c r="G22" s="1524"/>
      <c r="H22" s="1524"/>
      <c r="I22" s="1524">
        <v>190721584803</v>
      </c>
    </row>
    <row r="23" spans="1:9" s="703" customFormat="1" ht="21" customHeight="1" x14ac:dyDescent="0.45">
      <c r="A23" s="975"/>
      <c r="B23" s="1520">
        <v>1503003006</v>
      </c>
      <c r="C23" s="1677" t="s">
        <v>1878</v>
      </c>
      <c r="D23" s="1668"/>
      <c r="E23" s="1669"/>
      <c r="F23" s="1524">
        <v>156591878803</v>
      </c>
      <c r="G23" s="1524"/>
      <c r="H23" s="1524"/>
      <c r="I23" s="1524">
        <v>79623127955</v>
      </c>
    </row>
    <row r="24" spans="1:9" s="703" customFormat="1" ht="21" customHeight="1" x14ac:dyDescent="0.45">
      <c r="A24" s="975"/>
      <c r="B24" s="1520" t="s">
        <v>609</v>
      </c>
      <c r="C24" s="1680" t="s">
        <v>1879</v>
      </c>
      <c r="D24" s="1519"/>
      <c r="E24" s="1519"/>
      <c r="F24" s="1524">
        <v>144936715827</v>
      </c>
      <c r="G24" s="1519"/>
      <c r="H24" s="1519"/>
      <c r="I24" s="1524">
        <v>69163214128</v>
      </c>
    </row>
    <row r="25" spans="1:9" s="703" customFormat="1" ht="21" customHeight="1" x14ac:dyDescent="0.45">
      <c r="A25" s="975"/>
      <c r="B25" s="654" t="s">
        <v>346</v>
      </c>
      <c r="C25" s="1679" t="s">
        <v>2210</v>
      </c>
      <c r="D25" s="1519"/>
      <c r="E25" s="1519"/>
      <c r="F25" s="1519">
        <v>124051209586</v>
      </c>
      <c r="G25" s="1519"/>
      <c r="H25" s="1519"/>
      <c r="I25" s="1519"/>
    </row>
    <row r="26" spans="1:9" s="703" customFormat="1" ht="21" customHeight="1" x14ac:dyDescent="0.45">
      <c r="A26" s="975"/>
      <c r="B26" s="1520">
        <v>1503003006</v>
      </c>
      <c r="C26" s="1677" t="s">
        <v>1876</v>
      </c>
      <c r="D26" s="1668"/>
      <c r="E26" s="1669"/>
      <c r="F26" s="1524">
        <v>143015689927</v>
      </c>
      <c r="G26" s="1524"/>
      <c r="H26" s="1524"/>
      <c r="I26" s="1524">
        <v>92938658164</v>
      </c>
    </row>
    <row r="27" spans="1:9" s="703" customFormat="1" ht="21" customHeight="1" x14ac:dyDescent="0.45">
      <c r="A27" s="975"/>
      <c r="B27" s="1651">
        <v>1503003006</v>
      </c>
      <c r="C27" s="1679" t="s">
        <v>2211</v>
      </c>
      <c r="D27" s="1519"/>
      <c r="E27" s="1519"/>
      <c r="F27" s="1519">
        <v>121005403273</v>
      </c>
      <c r="G27" s="1519"/>
      <c r="H27" s="1519"/>
      <c r="I27" s="1519">
        <v>13384703757</v>
      </c>
    </row>
    <row r="28" spans="1:9" s="703" customFormat="1" ht="21" customHeight="1" x14ac:dyDescent="0.45">
      <c r="A28" s="975"/>
      <c r="B28" s="1520" t="s">
        <v>610</v>
      </c>
      <c r="C28" s="1678" t="s">
        <v>1873</v>
      </c>
      <c r="D28" s="1673"/>
      <c r="E28" s="1669"/>
      <c r="F28" s="1524">
        <v>132782062026</v>
      </c>
      <c r="G28" s="1524"/>
      <c r="H28" s="1524"/>
      <c r="I28" s="1524">
        <v>124035791247</v>
      </c>
    </row>
    <row r="29" spans="1:9" s="197" customFormat="1" ht="21" customHeight="1" x14ac:dyDescent="0.45">
      <c r="A29" s="974"/>
      <c r="B29" s="1650">
        <v>1503002173</v>
      </c>
      <c r="C29" s="1679" t="s">
        <v>2212</v>
      </c>
      <c r="D29" s="1519"/>
      <c r="E29" s="1519"/>
      <c r="F29" s="1519">
        <v>132258954037</v>
      </c>
      <c r="G29" s="1519"/>
      <c r="H29" s="1519"/>
      <c r="I29" s="1519">
        <v>46601840968</v>
      </c>
    </row>
    <row r="30" spans="1:9" s="197" customFormat="1" ht="21" customHeight="1" x14ac:dyDescent="0.45">
      <c r="A30" s="974"/>
      <c r="B30" s="654" t="s">
        <v>346</v>
      </c>
      <c r="C30" s="1678" t="s">
        <v>1872</v>
      </c>
      <c r="D30" s="1673"/>
      <c r="E30" s="1669"/>
      <c r="F30" s="1524">
        <v>131178106434</v>
      </c>
      <c r="G30" s="1524"/>
      <c r="H30" s="1524"/>
      <c r="I30" s="1524">
        <v>128680010877</v>
      </c>
    </row>
    <row r="31" spans="1:9" s="197" customFormat="1" ht="21" customHeight="1" x14ac:dyDescent="0.45">
      <c r="A31" s="974"/>
      <c r="B31" s="1674">
        <v>1503002046</v>
      </c>
      <c r="C31" s="1680" t="s">
        <v>1877</v>
      </c>
      <c r="D31" s="1519"/>
      <c r="E31" s="1519"/>
      <c r="F31" s="1524">
        <v>115182123450</v>
      </c>
      <c r="G31" s="1519"/>
      <c r="H31" s="1519"/>
      <c r="I31" s="1524">
        <v>85570002912</v>
      </c>
    </row>
    <row r="32" spans="1:9" s="197" customFormat="1" ht="21" customHeight="1" x14ac:dyDescent="0.45">
      <c r="A32" s="974"/>
      <c r="B32" s="1520">
        <v>1503003006</v>
      </c>
      <c r="C32" s="1680" t="s">
        <v>1875</v>
      </c>
      <c r="D32" s="1519"/>
      <c r="E32" s="1519"/>
      <c r="F32" s="1524">
        <v>106514849641</v>
      </c>
      <c r="G32" s="1519"/>
      <c r="H32" s="1519"/>
      <c r="I32" s="1524">
        <v>89932325175</v>
      </c>
    </row>
    <row r="33" spans="1:9" s="197" customFormat="1" ht="21" customHeight="1" x14ac:dyDescent="0.45">
      <c r="A33" s="974"/>
      <c r="B33" s="1650">
        <v>1307002080</v>
      </c>
      <c r="C33" s="1679" t="s">
        <v>2213</v>
      </c>
      <c r="D33" s="1519"/>
      <c r="E33" s="1519"/>
      <c r="F33" s="1519">
        <v>99776408159</v>
      </c>
      <c r="G33" s="1519"/>
      <c r="H33" s="1519"/>
      <c r="I33" s="1519">
        <v>14752182700</v>
      </c>
    </row>
    <row r="34" spans="1:9" s="197" customFormat="1" ht="21" customHeight="1" x14ac:dyDescent="0.45">
      <c r="A34" s="974"/>
      <c r="B34" s="1650">
        <v>1307006001</v>
      </c>
      <c r="C34" s="1679" t="s">
        <v>2214</v>
      </c>
      <c r="D34" s="1519"/>
      <c r="E34" s="1519"/>
      <c r="F34" s="1519">
        <v>97684299725</v>
      </c>
      <c r="G34" s="1519"/>
      <c r="H34" s="1519"/>
      <c r="I34" s="1519">
        <v>21163737852</v>
      </c>
    </row>
    <row r="35" spans="1:9" s="197" customFormat="1" ht="21" customHeight="1" x14ac:dyDescent="0.45">
      <c r="A35" s="974"/>
      <c r="B35" s="1519" t="s">
        <v>2056</v>
      </c>
      <c r="C35" s="1679" t="s">
        <v>2215</v>
      </c>
      <c r="D35" s="1519"/>
      <c r="E35" s="1519"/>
      <c r="F35" s="1519">
        <v>85347098694</v>
      </c>
      <c r="G35" s="1519"/>
      <c r="H35" s="1519"/>
      <c r="I35" s="1519"/>
    </row>
    <row r="36" spans="1:9" s="197" customFormat="1" ht="21" customHeight="1" x14ac:dyDescent="0.45">
      <c r="A36" s="1523"/>
      <c r="B36" s="1520" t="s">
        <v>609</v>
      </c>
      <c r="C36" s="1678" t="s">
        <v>1880</v>
      </c>
      <c r="D36" s="1673"/>
      <c r="E36" s="1669"/>
      <c r="F36" s="1524">
        <v>91662620825</v>
      </c>
      <c r="G36" s="1524"/>
      <c r="H36" s="1524"/>
      <c r="I36" s="1524">
        <v>55237921356</v>
      </c>
    </row>
    <row r="37" spans="1:9" s="197" customFormat="1" ht="21" customHeight="1" x14ac:dyDescent="0.45">
      <c r="A37" s="1523"/>
      <c r="B37" s="1650">
        <v>1501001020</v>
      </c>
      <c r="C37" s="1679" t="s">
        <v>2216</v>
      </c>
      <c r="D37" s="1519"/>
      <c r="E37" s="1519"/>
      <c r="F37" s="1519">
        <v>84353432392</v>
      </c>
      <c r="G37" s="1519"/>
      <c r="H37" s="1519"/>
      <c r="I37" s="1519">
        <v>14232689696</v>
      </c>
    </row>
    <row r="38" spans="1:9" s="197" customFormat="1" ht="21" customHeight="1" x14ac:dyDescent="0.2">
      <c r="A38" s="1523"/>
      <c r="B38" s="3834" t="s">
        <v>2202</v>
      </c>
      <c r="C38" s="3834"/>
      <c r="D38" s="1675"/>
      <c r="E38" s="1676"/>
      <c r="F38" s="1524">
        <f>F47</f>
        <v>2809605254702</v>
      </c>
      <c r="G38" s="1362">
        <v>0</v>
      </c>
      <c r="H38" s="1362">
        <v>0</v>
      </c>
      <c r="I38" s="1524">
        <f>I47</f>
        <v>3875343768128</v>
      </c>
    </row>
    <row r="39" spans="1:9" s="197" customFormat="1" ht="21" customHeight="1" x14ac:dyDescent="0.2">
      <c r="A39" s="1523"/>
      <c r="B39" s="3836" t="s">
        <v>386</v>
      </c>
      <c r="C39" s="3837"/>
      <c r="D39" s="1664">
        <f>SUM(D13:D38)</f>
        <v>0</v>
      </c>
      <c r="E39" s="1525">
        <f>SUM(E13:E38)</f>
        <v>0</v>
      </c>
      <c r="F39" s="1525">
        <v>9209470626955</v>
      </c>
      <c r="G39" s="1666">
        <f>SUM(G13:G38)</f>
        <v>0</v>
      </c>
      <c r="H39" s="1667">
        <f>SUM(H13:H38)</f>
        <v>0</v>
      </c>
      <c r="I39" s="1667">
        <f>'يادداشت 1-1-10 حسابهاي پرداخخخ '!E212</f>
        <v>7803686942326</v>
      </c>
    </row>
    <row r="40" spans="1:9" ht="18" x14ac:dyDescent="0.2">
      <c r="B40" s="3833" t="s">
        <v>2276</v>
      </c>
      <c r="C40" s="3833"/>
      <c r="D40" s="3833"/>
      <c r="E40" s="3833"/>
      <c r="F40" s="3833"/>
      <c r="G40" s="3833"/>
      <c r="H40" s="3833"/>
      <c r="I40" s="3833"/>
    </row>
    <row r="42" spans="1:9" x14ac:dyDescent="0.2">
      <c r="F42" s="501">
        <v>40051838690919</v>
      </c>
    </row>
    <row r="43" spans="1:9" x14ac:dyDescent="0.2">
      <c r="C43" s="71" t="s">
        <v>2206</v>
      </c>
      <c r="F43" s="501">
        <v>1570236251323</v>
      </c>
    </row>
    <row r="44" spans="1:9" x14ac:dyDescent="0.2">
      <c r="C44" s="71" t="s">
        <v>2205</v>
      </c>
      <c r="F44" s="501">
        <v>32412604315287</v>
      </c>
    </row>
    <row r="45" spans="1:9" x14ac:dyDescent="0.2">
      <c r="F45" s="501">
        <f>F42+F43-F44</f>
        <v>9209470626955</v>
      </c>
    </row>
    <row r="46" spans="1:9" x14ac:dyDescent="0.2">
      <c r="F46" s="501">
        <f>SUM(F8:F37)</f>
        <v>6399865372253</v>
      </c>
      <c r="G46" s="501">
        <f>SUM(G8:G37)</f>
        <v>0</v>
      </c>
      <c r="H46" s="501">
        <f>SUM(H8:H37)</f>
        <v>0</v>
      </c>
      <c r="I46" s="501">
        <f>SUM(I8:I37)</f>
        <v>3928343174198</v>
      </c>
    </row>
    <row r="47" spans="1:9" x14ac:dyDescent="0.2">
      <c r="F47" s="501">
        <f>F39-F46</f>
        <v>2809605254702</v>
      </c>
      <c r="G47" s="501">
        <f>G39-G46</f>
        <v>0</v>
      </c>
      <c r="H47" s="501">
        <f>H39-H46</f>
        <v>0</v>
      </c>
      <c r="I47" s="501">
        <f>I39-I46</f>
        <v>3875343768128</v>
      </c>
    </row>
    <row r="48" spans="1:9" x14ac:dyDescent="0.2">
      <c r="F48" s="501">
        <f>SUM(F8:F38)</f>
        <v>9209470626955</v>
      </c>
      <c r="G48" s="501">
        <f t="shared" ref="G48:I48" si="0">SUM(G8:G38)</f>
        <v>0</v>
      </c>
      <c r="H48" s="501">
        <f t="shared" si="0"/>
        <v>0</v>
      </c>
      <c r="I48" s="501">
        <f t="shared" si="0"/>
        <v>7803686942326</v>
      </c>
    </row>
  </sheetData>
  <mergeCells count="8">
    <mergeCell ref="B40:I40"/>
    <mergeCell ref="B38:C38"/>
    <mergeCell ref="A1:J1"/>
    <mergeCell ref="A2:J2"/>
    <mergeCell ref="A3:J3"/>
    <mergeCell ref="A4:J4"/>
    <mergeCell ref="B6:F6"/>
    <mergeCell ref="B39:C39"/>
  </mergeCells>
  <phoneticPr fontId="123" type="noConversion"/>
  <pageMargins left="0.39370078740157499" right="0.70866141732283505" top="0.31496062992126" bottom="0" header="0.31496062992126" footer="0.31496062992126"/>
  <pageSetup scale="96" fitToWidth="0" fitToHeight="0"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2060"/>
  </sheetPr>
  <dimension ref="A1:AQ206"/>
  <sheetViews>
    <sheetView rightToLeft="1" view="pageBreakPreview" topLeftCell="A33" zoomScale="70" zoomScaleNormal="106" zoomScaleSheetLayoutView="70" workbookViewId="0">
      <selection activeCell="B88" sqref="B88"/>
    </sheetView>
  </sheetViews>
  <sheetFormatPr defaultColWidth="9.140625" defaultRowHeight="15" x14ac:dyDescent="0.35"/>
  <cols>
    <col min="1" max="1" width="3" style="1526" customWidth="1"/>
    <col min="2" max="2" width="9.7109375" style="1526" customWidth="1"/>
    <col min="3" max="3" width="32.140625" style="2509" customWidth="1"/>
    <col min="4" max="4" width="11.7109375" style="2510" customWidth="1"/>
    <col min="5" max="5" width="10.7109375" style="2510" customWidth="1"/>
    <col min="6" max="6" width="10.85546875" style="2510" customWidth="1"/>
    <col min="7" max="7" width="9.28515625" style="2510" hidden="1" customWidth="1"/>
    <col min="8" max="8" width="11.7109375" style="1526" customWidth="1"/>
    <col min="9" max="9" width="0.140625" style="1526" hidden="1" customWidth="1"/>
    <col min="10" max="10" width="0.42578125" style="1526" customWidth="1"/>
    <col min="11" max="16" width="9.140625" style="1526" hidden="1" customWidth="1"/>
    <col min="17" max="31" width="0" style="1526" hidden="1" customWidth="1"/>
    <col min="32" max="32" width="1" style="1526" customWidth="1"/>
    <col min="33" max="33" width="9.140625" style="1526"/>
    <col min="34" max="34" width="9.28515625" style="1526" bestFit="1" customWidth="1"/>
    <col min="35" max="35" width="14.140625" style="446" bestFit="1" customWidth="1"/>
    <col min="36" max="36" width="13.7109375" style="446" bestFit="1" customWidth="1"/>
    <col min="37" max="16384" width="9.140625" style="1526"/>
  </cols>
  <sheetData>
    <row r="1" spans="1:36" ht="18" customHeight="1" x14ac:dyDescent="0.45">
      <c r="A1" s="1526" t="s">
        <v>336</v>
      </c>
      <c r="B1" s="3838" t="s">
        <v>32</v>
      </c>
      <c r="C1" s="3838"/>
      <c r="D1" s="3838"/>
      <c r="E1" s="3838"/>
      <c r="F1" s="3838"/>
      <c r="G1" s="3838"/>
      <c r="H1" s="3838"/>
      <c r="I1" s="2496"/>
      <c r="J1" s="2496"/>
    </row>
    <row r="2" spans="1:36" ht="18" customHeight="1" x14ac:dyDescent="0.45">
      <c r="B2" s="3838" t="s">
        <v>45</v>
      </c>
      <c r="C2" s="3838"/>
      <c r="D2" s="3838"/>
      <c r="E2" s="3838"/>
      <c r="F2" s="3838"/>
      <c r="G2" s="3838"/>
      <c r="H2" s="3838"/>
      <c r="I2" s="2496"/>
      <c r="J2" s="2496"/>
    </row>
    <row r="3" spans="1:36" ht="18" customHeight="1" x14ac:dyDescent="0.45">
      <c r="B3" s="3838" t="s">
        <v>46</v>
      </c>
      <c r="C3" s="3838"/>
      <c r="D3" s="3838"/>
      <c r="E3" s="3838"/>
      <c r="F3" s="3838"/>
      <c r="G3" s="3838"/>
      <c r="H3" s="3838"/>
      <c r="I3" s="2496"/>
      <c r="J3" s="2496"/>
    </row>
    <row r="4" spans="1:36" ht="18" customHeight="1" x14ac:dyDescent="0.35">
      <c r="B4" s="3685" t="s">
        <v>1988</v>
      </c>
      <c r="C4" s="3685"/>
      <c r="D4" s="3685"/>
      <c r="E4" s="3685"/>
      <c r="F4" s="3685"/>
      <c r="G4" s="3685"/>
      <c r="H4" s="3685"/>
      <c r="I4" s="1721"/>
      <c r="J4" s="1721"/>
    </row>
    <row r="5" spans="1:36" ht="10.5" customHeight="1" x14ac:dyDescent="0.35">
      <c r="B5" s="2240"/>
      <c r="C5" s="2240"/>
      <c r="D5" s="2240"/>
      <c r="E5" s="2240"/>
      <c r="F5" s="2240"/>
      <c r="G5" s="2240"/>
      <c r="H5" s="2240"/>
      <c r="I5" s="1721"/>
      <c r="J5" s="1721"/>
    </row>
    <row r="6" spans="1:36" ht="18" x14ac:dyDescent="0.4">
      <c r="B6" s="3850" t="s">
        <v>1833</v>
      </c>
      <c r="C6" s="3850"/>
      <c r="D6" s="3850"/>
      <c r="E6" s="3850"/>
      <c r="F6" s="3850"/>
      <c r="G6" s="2497"/>
      <c r="H6" s="2498" t="s">
        <v>194</v>
      </c>
      <c r="I6" s="2463" t="s">
        <v>194</v>
      </c>
    </row>
    <row r="7" spans="1:36" ht="19.149999999999999" customHeight="1" x14ac:dyDescent="0.35">
      <c r="B7" s="3801" t="s">
        <v>53</v>
      </c>
      <c r="C7" s="3841" t="s">
        <v>54</v>
      </c>
      <c r="D7" s="3839" t="s">
        <v>1395</v>
      </c>
      <c r="E7" s="3844" t="s">
        <v>906</v>
      </c>
      <c r="F7" s="3844" t="s">
        <v>1255</v>
      </c>
      <c r="G7" s="3847"/>
      <c r="H7" s="3804" t="s">
        <v>1995</v>
      </c>
      <c r="I7" s="2499"/>
    </row>
    <row r="8" spans="1:36" ht="46.5" customHeight="1" x14ac:dyDescent="0.35">
      <c r="B8" s="3801"/>
      <c r="C8" s="3841"/>
      <c r="D8" s="3840"/>
      <c r="E8" s="3845"/>
      <c r="F8" s="3845"/>
      <c r="G8" s="3848"/>
      <c r="H8" s="3805"/>
      <c r="I8" s="2500"/>
    </row>
    <row r="9" spans="1:36" ht="15.75" hidden="1" customHeight="1" x14ac:dyDescent="0.35">
      <c r="B9" s="3801"/>
      <c r="C9" s="3841"/>
      <c r="D9" s="1531" t="s">
        <v>383</v>
      </c>
      <c r="E9" s="1531"/>
      <c r="F9" s="1531" t="s">
        <v>383</v>
      </c>
      <c r="G9" s="2463"/>
      <c r="I9" s="1531" t="s">
        <v>27</v>
      </c>
    </row>
    <row r="10" spans="1:36" ht="15.75" customHeight="1" x14ac:dyDescent="0.4">
      <c r="B10" s="1595">
        <v>1307002080</v>
      </c>
      <c r="C10" s="2434" t="s">
        <v>323</v>
      </c>
      <c r="D10" s="2501">
        <v>443728919031</v>
      </c>
      <c r="E10" s="1823">
        <v>681560925589</v>
      </c>
      <c r="F10" s="2502">
        <v>-434106497148</v>
      </c>
      <c r="G10" s="1090"/>
      <c r="H10" s="1530">
        <f t="shared" ref="H10:H35" si="0">SUM(D10:F10)</f>
        <v>691183347472</v>
      </c>
      <c r="I10" s="1531"/>
    </row>
    <row r="11" spans="1:36" ht="19.899999999999999" customHeight="1" x14ac:dyDescent="0.35">
      <c r="B11" s="1595" t="s">
        <v>1101</v>
      </c>
      <c r="C11" s="2437" t="s">
        <v>1145</v>
      </c>
      <c r="D11" s="1530">
        <v>282323318964</v>
      </c>
      <c r="E11" s="1823">
        <f>258887468199-21149985288</f>
        <v>237737482911</v>
      </c>
      <c r="F11" s="1897">
        <f>-188270254771+21149985288</f>
        <v>-167120269483</v>
      </c>
      <c r="G11" s="1581"/>
      <c r="H11" s="1530">
        <f t="shared" si="0"/>
        <v>352940532392</v>
      </c>
      <c r="I11" s="1531"/>
      <c r="AH11" s="2116"/>
    </row>
    <row r="12" spans="1:36" ht="19.899999999999999" customHeight="1" x14ac:dyDescent="0.4">
      <c r="B12" s="2426">
        <v>1307002010</v>
      </c>
      <c r="C12" s="2427" t="s">
        <v>224</v>
      </c>
      <c r="D12" s="2501">
        <v>144227065525</v>
      </c>
      <c r="E12" s="1823">
        <v>114709135123</v>
      </c>
      <c r="F12" s="2502">
        <v>-171066883765</v>
      </c>
      <c r="G12" s="2503"/>
      <c r="H12" s="1530">
        <f t="shared" si="0"/>
        <v>87869316883</v>
      </c>
      <c r="I12" s="1531"/>
      <c r="AI12" s="446">
        <v>245271205838</v>
      </c>
      <c r="AJ12" s="446">
        <v>-61050449171</v>
      </c>
    </row>
    <row r="13" spans="1:36" ht="19.899999999999999" customHeight="1" x14ac:dyDescent="0.4">
      <c r="B13" s="2184" t="s">
        <v>2041</v>
      </c>
      <c r="C13" s="1802" t="s">
        <v>2040</v>
      </c>
      <c r="D13" s="2504"/>
      <c r="E13" s="2504">
        <v>84408595843</v>
      </c>
      <c r="F13" s="2504">
        <v>-4169883905</v>
      </c>
      <c r="G13" s="2504"/>
      <c r="H13" s="1823">
        <f t="shared" si="0"/>
        <v>80238711938</v>
      </c>
      <c r="I13" s="1531"/>
    </row>
    <row r="14" spans="1:36" ht="19.899999999999999" customHeight="1" x14ac:dyDescent="0.4">
      <c r="B14" s="2426" t="s">
        <v>2049</v>
      </c>
      <c r="C14" s="2427" t="s">
        <v>607</v>
      </c>
      <c r="D14" s="2501">
        <v>73377038379</v>
      </c>
      <c r="E14" s="1823">
        <f>7134154031+45584385855</f>
        <v>52718539886</v>
      </c>
      <c r="F14" s="2502">
        <v>-47439029760</v>
      </c>
      <c r="G14" s="2503"/>
      <c r="H14" s="1530">
        <f t="shared" si="0"/>
        <v>78656548505</v>
      </c>
      <c r="I14" s="1531"/>
    </row>
    <row r="15" spans="1:36" ht="19.899999999999999" customHeight="1" x14ac:dyDescent="0.35">
      <c r="B15" s="1763" t="s">
        <v>2050</v>
      </c>
      <c r="C15" s="2069" t="s">
        <v>620</v>
      </c>
      <c r="D15" s="2501">
        <v>32132338711</v>
      </c>
      <c r="E15" s="1823">
        <f>7924200661+62986306970</f>
        <v>70910507631</v>
      </c>
      <c r="F15" s="1897">
        <v>-27928651685</v>
      </c>
      <c r="G15" s="1581"/>
      <c r="H15" s="1530">
        <f t="shared" si="0"/>
        <v>75114194657</v>
      </c>
      <c r="I15" s="1531"/>
    </row>
    <row r="16" spans="1:36" ht="19.899999999999999" customHeight="1" x14ac:dyDescent="0.4">
      <c r="B16" s="2505" t="s">
        <v>1155</v>
      </c>
      <c r="C16" s="2506" t="s">
        <v>317</v>
      </c>
      <c r="D16" s="2501">
        <v>70926370187</v>
      </c>
      <c r="E16" s="1823">
        <v>3769061432</v>
      </c>
      <c r="F16" s="2502">
        <v>-14357803674</v>
      </c>
      <c r="G16" s="2503"/>
      <c r="H16" s="1530">
        <f t="shared" si="0"/>
        <v>60337627945</v>
      </c>
      <c r="I16" s="1531"/>
    </row>
    <row r="17" spans="2:9" ht="19.899999999999999" customHeight="1" x14ac:dyDescent="0.4">
      <c r="B17" s="2426" t="s">
        <v>1156</v>
      </c>
      <c r="C17" s="2427" t="s">
        <v>223</v>
      </c>
      <c r="D17" s="2501">
        <v>26981296760</v>
      </c>
      <c r="E17" s="1823">
        <v>29973823065</v>
      </c>
      <c r="F17" s="2502">
        <v>-20297076333</v>
      </c>
      <c r="G17" s="2503"/>
      <c r="H17" s="1530">
        <f t="shared" si="0"/>
        <v>36658043492</v>
      </c>
      <c r="I17" s="1531"/>
    </row>
    <row r="18" spans="2:9" ht="19.899999999999999" customHeight="1" x14ac:dyDescent="0.4">
      <c r="B18" s="2426" t="s">
        <v>677</v>
      </c>
      <c r="C18" s="2427" t="s">
        <v>676</v>
      </c>
      <c r="D18" s="2501">
        <v>15812910734</v>
      </c>
      <c r="E18" s="1823">
        <v>31637634531</v>
      </c>
      <c r="F18" s="2502">
        <v>-15381414825</v>
      </c>
      <c r="G18" s="2503"/>
      <c r="H18" s="1530">
        <f t="shared" si="0"/>
        <v>32069130440</v>
      </c>
      <c r="I18" s="1531"/>
    </row>
    <row r="19" spans="2:9" ht="19.899999999999999" customHeight="1" x14ac:dyDescent="0.4">
      <c r="B19" s="1595" t="s">
        <v>540</v>
      </c>
      <c r="C19" s="2507" t="s">
        <v>1099</v>
      </c>
      <c r="D19" s="1530">
        <v>20752035331</v>
      </c>
      <c r="E19" s="1823">
        <v>20627882504</v>
      </c>
      <c r="F19" s="1897">
        <v>-17808238838</v>
      </c>
      <c r="G19" s="1581"/>
      <c r="H19" s="1530">
        <f t="shared" si="0"/>
        <v>23571678997</v>
      </c>
      <c r="I19" s="1531"/>
    </row>
    <row r="20" spans="2:9" ht="19.899999999999999" customHeight="1" x14ac:dyDescent="0.4">
      <c r="B20" s="1595" t="s">
        <v>643</v>
      </c>
      <c r="C20" s="2507" t="s">
        <v>632</v>
      </c>
      <c r="D20" s="2501">
        <v>6368796143</v>
      </c>
      <c r="E20" s="1823">
        <v>27053402998</v>
      </c>
      <c r="F20" s="2501">
        <v>-10778132884</v>
      </c>
      <c r="G20" s="1780"/>
      <c r="H20" s="1530">
        <f t="shared" si="0"/>
        <v>22644066257</v>
      </c>
      <c r="I20" s="1531"/>
    </row>
    <row r="21" spans="2:9" ht="19.899999999999999" customHeight="1" x14ac:dyDescent="0.35">
      <c r="B21" s="1763" t="s">
        <v>2052</v>
      </c>
      <c r="C21" s="2069" t="s">
        <v>601</v>
      </c>
      <c r="D21" s="2501">
        <v>20391184490</v>
      </c>
      <c r="E21" s="1823">
        <f>2883119191+14115112818</f>
        <v>16998232009</v>
      </c>
      <c r="F21" s="1897">
        <v>-13474553634</v>
      </c>
      <c r="G21" s="1581"/>
      <c r="H21" s="1530">
        <f t="shared" si="0"/>
        <v>23914862865</v>
      </c>
      <c r="I21" s="1531"/>
    </row>
    <row r="22" spans="2:9" ht="19.899999999999999" customHeight="1" x14ac:dyDescent="0.35">
      <c r="B22" s="1763" t="s">
        <v>2158</v>
      </c>
      <c r="C22" s="2069" t="s">
        <v>631</v>
      </c>
      <c r="D22" s="2501">
        <v>18950412425</v>
      </c>
      <c r="E22" s="1823">
        <f>4654944667+14582418025</f>
        <v>19237362692</v>
      </c>
      <c r="F22" s="1897">
        <v>-13779642588</v>
      </c>
      <c r="G22" s="1581"/>
      <c r="H22" s="1530">
        <f t="shared" si="0"/>
        <v>24408132529</v>
      </c>
      <c r="I22" s="1531"/>
    </row>
    <row r="23" spans="2:9" ht="19.899999999999999" customHeight="1" x14ac:dyDescent="0.4">
      <c r="B23" s="2430">
        <v>1307006001</v>
      </c>
      <c r="C23" s="2431" t="s">
        <v>87</v>
      </c>
      <c r="D23" s="2501">
        <v>6976749865</v>
      </c>
      <c r="E23" s="1823">
        <v>20118746654</v>
      </c>
      <c r="F23" s="2502">
        <v>-8338111258</v>
      </c>
      <c r="G23" s="2503"/>
      <c r="H23" s="1530">
        <f t="shared" si="0"/>
        <v>18757385261</v>
      </c>
      <c r="I23" s="1531"/>
    </row>
    <row r="24" spans="2:9" ht="19.899999999999999" customHeight="1" x14ac:dyDescent="0.35">
      <c r="B24" s="1784" t="s">
        <v>1083</v>
      </c>
      <c r="C24" s="2001" t="s">
        <v>1082</v>
      </c>
      <c r="D24" s="1780">
        <v>4885625872</v>
      </c>
      <c r="E24" s="2503">
        <v>25658415512</v>
      </c>
      <c r="F24" s="1780">
        <v>-14773335775</v>
      </c>
      <c r="G24" s="1780"/>
      <c r="H24" s="1823">
        <f t="shared" si="0"/>
        <v>15770705609</v>
      </c>
      <c r="I24" s="1531"/>
    </row>
    <row r="25" spans="2:9" ht="19.899999999999999" customHeight="1" x14ac:dyDescent="0.4">
      <c r="B25" s="1595" t="s">
        <v>546</v>
      </c>
      <c r="C25" s="2507" t="s">
        <v>545</v>
      </c>
      <c r="D25" s="2501">
        <v>13285188794</v>
      </c>
      <c r="E25" s="1823">
        <v>5388708483</v>
      </c>
      <c r="F25" s="1897">
        <v>-3647261743</v>
      </c>
      <c r="G25" s="1581"/>
      <c r="H25" s="1530">
        <f t="shared" si="0"/>
        <v>15026635534</v>
      </c>
      <c r="I25" s="1531"/>
    </row>
    <row r="26" spans="2:9" ht="19.899999999999999" customHeight="1" x14ac:dyDescent="0.35">
      <c r="B26" s="2426" t="s">
        <v>1157</v>
      </c>
      <c r="C26" s="2427" t="s">
        <v>230</v>
      </c>
      <c r="D26" s="2501">
        <v>13791615042</v>
      </c>
      <c r="E26" s="1823">
        <v>1497504320</v>
      </c>
      <c r="F26" s="1897">
        <v>-1082847875</v>
      </c>
      <c r="G26" s="1581"/>
      <c r="H26" s="1530">
        <f t="shared" si="0"/>
        <v>14206271487</v>
      </c>
      <c r="I26" s="1531"/>
    </row>
    <row r="27" spans="2:9" ht="19.899999999999999" customHeight="1" x14ac:dyDescent="0.35">
      <c r="B27" s="1763" t="s">
        <v>2058</v>
      </c>
      <c r="C27" s="2070" t="s">
        <v>598</v>
      </c>
      <c r="D27" s="1823">
        <v>18466702937</v>
      </c>
      <c r="E27" s="1823">
        <f>4185395650+7984730555</f>
        <v>12170126205</v>
      </c>
      <c r="F27" s="1897">
        <v>-12254486980</v>
      </c>
      <c r="G27" s="1581"/>
      <c r="H27" s="1530">
        <f t="shared" si="0"/>
        <v>18382342162</v>
      </c>
      <c r="I27" s="1531"/>
    </row>
    <row r="28" spans="2:9" ht="19.899999999999999" customHeight="1" x14ac:dyDescent="0.4">
      <c r="B28" s="1310" t="s">
        <v>1080</v>
      </c>
      <c r="C28" s="2434" t="s">
        <v>1256</v>
      </c>
      <c r="D28" s="1823">
        <v>12973440684</v>
      </c>
      <c r="E28" s="1823">
        <v>4826412876</v>
      </c>
      <c r="F28" s="2502">
        <v>-4787644966</v>
      </c>
      <c r="G28" s="2503"/>
      <c r="H28" s="1530">
        <f t="shared" si="0"/>
        <v>13012208594</v>
      </c>
      <c r="I28" s="1531"/>
    </row>
    <row r="29" spans="2:9" ht="19.899999999999999" customHeight="1" x14ac:dyDescent="0.4">
      <c r="B29" s="1762" t="s">
        <v>542</v>
      </c>
      <c r="C29" s="2194" t="s">
        <v>1100</v>
      </c>
      <c r="D29" s="1823">
        <v>13430280364</v>
      </c>
      <c r="E29" s="2503">
        <v>1731144140</v>
      </c>
      <c r="F29" s="2503">
        <v>-2195266538</v>
      </c>
      <c r="G29" s="2503"/>
      <c r="H29" s="1823">
        <f t="shared" si="0"/>
        <v>12966157966</v>
      </c>
      <c r="I29" s="1531"/>
    </row>
    <row r="30" spans="2:9" ht="19.899999999999999" customHeight="1" x14ac:dyDescent="0.35">
      <c r="B30" s="1762" t="s">
        <v>2061</v>
      </c>
      <c r="C30" s="1993" t="s">
        <v>600</v>
      </c>
      <c r="D30" s="1823">
        <v>15963969414</v>
      </c>
      <c r="E30" s="2503">
        <f>21720159315+2390862808</f>
        <v>24111022123</v>
      </c>
      <c r="F30" s="1530">
        <f>-14328805-24779135368</f>
        <v>-24793464173</v>
      </c>
      <c r="G30" s="1531"/>
      <c r="H30" s="1823">
        <f t="shared" si="0"/>
        <v>15281527364</v>
      </c>
      <c r="I30" s="1531"/>
    </row>
    <row r="31" spans="2:9" ht="19.899999999999999" customHeight="1" x14ac:dyDescent="0.4">
      <c r="B31" s="1802" t="s">
        <v>2150</v>
      </c>
      <c r="C31" s="1803" t="s">
        <v>2149</v>
      </c>
      <c r="D31" s="1823"/>
      <c r="E31" s="2503">
        <v>15967003903</v>
      </c>
      <c r="F31" s="2503">
        <v>-3729336031</v>
      </c>
      <c r="G31" s="2503"/>
      <c r="H31" s="1823">
        <f t="shared" si="0"/>
        <v>12237667872</v>
      </c>
      <c r="I31" s="1531"/>
    </row>
    <row r="32" spans="2:9" ht="19.899999999999999" customHeight="1" x14ac:dyDescent="0.4">
      <c r="B32" s="1802" t="s">
        <v>2057</v>
      </c>
      <c r="C32" s="1803" t="s">
        <v>2034</v>
      </c>
      <c r="D32" s="1823"/>
      <c r="E32" s="2503">
        <v>10708676716</v>
      </c>
      <c r="F32" s="2503">
        <v>-200000000</v>
      </c>
      <c r="G32" s="2503"/>
      <c r="H32" s="1823">
        <f t="shared" si="0"/>
        <v>10508676716</v>
      </c>
      <c r="I32" s="1531"/>
    </row>
    <row r="33" spans="2:43" ht="19.899999999999999" customHeight="1" x14ac:dyDescent="0.4">
      <c r="B33" s="1763" t="s">
        <v>2053</v>
      </c>
      <c r="C33" s="2069" t="s">
        <v>605</v>
      </c>
      <c r="D33" s="1823">
        <v>10210663785</v>
      </c>
      <c r="E33" s="1823">
        <f>1770000000+3017064856</f>
        <v>4787064856</v>
      </c>
      <c r="F33" s="2502">
        <v>-2873535258</v>
      </c>
      <c r="G33" s="2503"/>
      <c r="H33" s="1530">
        <f t="shared" si="0"/>
        <v>12124193383</v>
      </c>
      <c r="I33" s="1531"/>
    </row>
    <row r="34" spans="2:43" ht="19.899999999999999" customHeight="1" x14ac:dyDescent="0.4">
      <c r="B34" s="2010" t="s">
        <v>2153</v>
      </c>
      <c r="C34" s="2009" t="s">
        <v>2036</v>
      </c>
      <c r="D34" s="1823"/>
      <c r="E34" s="2503">
        <v>9349982853</v>
      </c>
      <c r="F34" s="2503">
        <v>-649889908</v>
      </c>
      <c r="G34" s="2503"/>
      <c r="H34" s="1530">
        <f t="shared" si="0"/>
        <v>8700092945</v>
      </c>
      <c r="I34" s="1531"/>
    </row>
    <row r="35" spans="2:43" ht="19.899999999999999" customHeight="1" x14ac:dyDescent="0.35">
      <c r="B35" s="1595" t="s">
        <v>1158</v>
      </c>
      <c r="C35" s="2434" t="s">
        <v>316</v>
      </c>
      <c r="D35" s="1823">
        <v>8380955301</v>
      </c>
      <c r="E35" s="1823"/>
      <c r="F35" s="1897"/>
      <c r="G35" s="2461"/>
      <c r="H35" s="1530">
        <f t="shared" si="0"/>
        <v>8380955301</v>
      </c>
      <c r="I35" s="1531"/>
    </row>
    <row r="36" spans="2:43" ht="19.899999999999999" customHeight="1" x14ac:dyDescent="0.4">
      <c r="B36" s="2010" t="s">
        <v>2067</v>
      </c>
      <c r="C36" s="1803" t="s">
        <v>2045</v>
      </c>
      <c r="D36" s="2508"/>
      <c r="E36" s="2503">
        <v>8274446295</v>
      </c>
      <c r="F36" s="2508"/>
      <c r="G36" s="2508"/>
      <c r="H36" s="1530">
        <f t="shared" ref="H36:H38" si="1">SUM(D36:F36)</f>
        <v>8274446295</v>
      </c>
      <c r="I36" s="1531"/>
    </row>
    <row r="37" spans="2:43" ht="19.899999999999999" customHeight="1" x14ac:dyDescent="0.35">
      <c r="B37" s="1763" t="s">
        <v>2054</v>
      </c>
      <c r="C37" s="2069" t="s">
        <v>602</v>
      </c>
      <c r="D37" s="1530">
        <v>4396309976</v>
      </c>
      <c r="E37" s="1823">
        <f>4703773455+83753286</f>
        <v>4787526741</v>
      </c>
      <c r="F37" s="1897">
        <v>-1510000000</v>
      </c>
      <c r="G37" s="1581"/>
      <c r="H37" s="1530">
        <f>SUM(D37:F37)</f>
        <v>7673836717</v>
      </c>
      <c r="I37" s="1531"/>
      <c r="AG37" s="1526">
        <v>83753286</v>
      </c>
      <c r="AH37" s="1526">
        <v>7590083431</v>
      </c>
      <c r="AI37" s="446">
        <f>SUM(AG37:AH37)</f>
        <v>7673836717</v>
      </c>
    </row>
    <row r="38" spans="2:43" ht="19.899999999999999" customHeight="1" x14ac:dyDescent="0.35">
      <c r="B38" s="1527" t="s">
        <v>555</v>
      </c>
      <c r="C38" s="1528" t="s">
        <v>545</v>
      </c>
      <c r="D38" s="1529"/>
      <c r="E38" s="1823">
        <v>16251091241</v>
      </c>
      <c r="F38" s="1897">
        <v>-8693295199</v>
      </c>
      <c r="G38" s="1529"/>
      <c r="H38" s="1530">
        <f t="shared" si="1"/>
        <v>7557796042</v>
      </c>
      <c r="I38" s="1531"/>
    </row>
    <row r="39" spans="2:43" ht="19.899999999999999" customHeight="1" x14ac:dyDescent="0.35">
      <c r="B39" s="1784" t="s">
        <v>623</v>
      </c>
      <c r="C39" s="2001" t="s">
        <v>599</v>
      </c>
      <c r="D39" s="1780">
        <v>6242208564</v>
      </c>
      <c r="E39" s="2503">
        <v>2253754947</v>
      </c>
      <c r="F39" s="2503">
        <v>-1027055829</v>
      </c>
      <c r="G39" s="2503"/>
      <c r="H39" s="1823">
        <f>SUM(D39:F39)</f>
        <v>7468907682</v>
      </c>
      <c r="I39" s="1531"/>
    </row>
    <row r="40" spans="2:43" ht="19.899999999999999" customHeight="1" x14ac:dyDescent="0.35">
      <c r="B40" s="2426" t="s">
        <v>610</v>
      </c>
      <c r="C40" s="2427" t="s">
        <v>596</v>
      </c>
      <c r="D40" s="2501">
        <v>14492395319</v>
      </c>
      <c r="E40" s="1823">
        <v>3346040907</v>
      </c>
      <c r="F40" s="1897">
        <v>-10768559247</v>
      </c>
      <c r="G40" s="1581"/>
      <c r="H40" s="1530">
        <f>SUM(D40:F40)</f>
        <v>7069876979</v>
      </c>
      <c r="I40" s="1531"/>
      <c r="AK40" s="1526" t="s">
        <v>548</v>
      </c>
      <c r="AL40" s="1526" t="s">
        <v>545</v>
      </c>
      <c r="AN40" s="1526">
        <v>467694801</v>
      </c>
      <c r="AO40" s="1526">
        <v>3655777498</v>
      </c>
      <c r="AP40" s="1526">
        <v>-175438598</v>
      </c>
      <c r="AQ40" s="1526">
        <v>3948033701</v>
      </c>
    </row>
    <row r="41" spans="2:43" ht="19.899999999999999" customHeight="1" x14ac:dyDescent="0.35">
      <c r="B41" s="3842" t="s">
        <v>94</v>
      </c>
      <c r="C41" s="3843"/>
      <c r="D41" s="1580">
        <f>SUM(D10:D40)</f>
        <v>1299467792597</v>
      </c>
      <c r="E41" s="1580">
        <f t="shared" ref="E41:H41" si="2">SUM(E10:E40)</f>
        <v>1562570254986</v>
      </c>
      <c r="F41" s="1580">
        <f t="shared" si="2"/>
        <v>-1059032169302</v>
      </c>
      <c r="G41" s="1580">
        <f t="shared" si="2"/>
        <v>0</v>
      </c>
      <c r="H41" s="1580">
        <f t="shared" si="2"/>
        <v>1803005878281</v>
      </c>
      <c r="I41" s="1531"/>
      <c r="AK41" s="1526" t="s">
        <v>109</v>
      </c>
      <c r="AL41" s="1526" t="s">
        <v>110</v>
      </c>
      <c r="AN41" s="1526">
        <v>4025485333</v>
      </c>
      <c r="AO41" s="1526">
        <v>631578947</v>
      </c>
      <c r="AP41" s="1526">
        <v>-34736187</v>
      </c>
      <c r="AQ41" s="1526">
        <v>4622328093</v>
      </c>
    </row>
    <row r="42" spans="2:43" ht="21" customHeight="1" x14ac:dyDescent="0.35">
      <c r="B42" s="3855" t="s">
        <v>2277</v>
      </c>
      <c r="C42" s="3855"/>
      <c r="D42" s="3855"/>
      <c r="E42" s="3855"/>
      <c r="F42" s="3855"/>
      <c r="G42" s="3855"/>
      <c r="H42" s="3855"/>
      <c r="I42" s="1789"/>
    </row>
    <row r="43" spans="2:43" ht="17.45" customHeight="1" x14ac:dyDescent="0.45">
      <c r="B43" s="3838" t="s">
        <v>32</v>
      </c>
      <c r="C43" s="3838"/>
      <c r="D43" s="3838"/>
      <c r="E43" s="3838"/>
      <c r="F43" s="3838"/>
      <c r="G43" s="3838"/>
      <c r="H43" s="3838"/>
      <c r="I43" s="2496"/>
      <c r="J43" s="2496"/>
      <c r="AI43" s="1091"/>
      <c r="AJ43" s="1091"/>
    </row>
    <row r="44" spans="2:43" ht="20.45" customHeight="1" x14ac:dyDescent="0.45">
      <c r="B44" s="3838" t="s">
        <v>45</v>
      </c>
      <c r="C44" s="3838"/>
      <c r="D44" s="3838"/>
      <c r="E44" s="3838"/>
      <c r="F44" s="3838"/>
      <c r="G44" s="3838"/>
      <c r="H44" s="3838"/>
      <c r="I44" s="2496"/>
      <c r="J44" s="2496"/>
    </row>
    <row r="45" spans="2:43" ht="20.45" customHeight="1" x14ac:dyDescent="0.45">
      <c r="B45" s="3838" t="s">
        <v>46</v>
      </c>
      <c r="C45" s="3838"/>
      <c r="D45" s="3838"/>
      <c r="E45" s="3838"/>
      <c r="F45" s="3838"/>
      <c r="G45" s="3838"/>
      <c r="H45" s="3838"/>
      <c r="I45" s="2496"/>
      <c r="J45" s="2496"/>
    </row>
    <row r="46" spans="2:43" ht="20.45" customHeight="1" x14ac:dyDescent="0.35">
      <c r="B46" s="3685" t="s">
        <v>1988</v>
      </c>
      <c r="C46" s="3685"/>
      <c r="D46" s="3685"/>
      <c r="E46" s="3685"/>
      <c r="F46" s="3685"/>
      <c r="G46" s="3685"/>
      <c r="H46" s="3685"/>
      <c r="I46" s="1721"/>
      <c r="J46" s="1721"/>
    </row>
    <row r="47" spans="2:43" ht="5.25" customHeight="1" x14ac:dyDescent="0.35">
      <c r="B47" s="2240"/>
      <c r="C47" s="2240"/>
      <c r="D47" s="2240"/>
      <c r="E47" s="2240"/>
      <c r="F47" s="2240"/>
      <c r="G47" s="2240"/>
      <c r="H47" s="2240"/>
      <c r="I47" s="1721"/>
      <c r="J47" s="1721"/>
    </row>
    <row r="48" spans="2:43" ht="5.25" customHeight="1" x14ac:dyDescent="0.35">
      <c r="B48" s="2240"/>
      <c r="C48" s="2240"/>
      <c r="D48" s="2240"/>
      <c r="E48" s="2240"/>
      <c r="F48" s="2240"/>
      <c r="G48" s="2240"/>
      <c r="H48" s="2240"/>
      <c r="I48" s="1721"/>
      <c r="J48" s="1721"/>
    </row>
    <row r="49" spans="2:40" ht="5.25" customHeight="1" x14ac:dyDescent="0.35">
      <c r="B49" s="2240"/>
      <c r="C49" s="2240"/>
      <c r="D49" s="2240"/>
      <c r="E49" s="2240"/>
      <c r="F49" s="2240"/>
      <c r="G49" s="2240"/>
      <c r="H49" s="2240"/>
      <c r="I49" s="1721"/>
      <c r="J49" s="1721"/>
    </row>
    <row r="50" spans="2:40" ht="5.25" customHeight="1" x14ac:dyDescent="0.35"/>
    <row r="51" spans="2:40" ht="17.45" customHeight="1" x14ac:dyDescent="0.4">
      <c r="B51" s="3850" t="s">
        <v>1834</v>
      </c>
      <c r="C51" s="3850"/>
      <c r="D51" s="3850"/>
      <c r="E51" s="3850"/>
      <c r="F51" s="3850"/>
      <c r="G51" s="2497"/>
      <c r="H51" s="2498" t="s">
        <v>194</v>
      </c>
      <c r="I51" s="2463" t="s">
        <v>194</v>
      </c>
    </row>
    <row r="52" spans="2:40" ht="22.15" customHeight="1" x14ac:dyDescent="0.35">
      <c r="B52" s="3853" t="s">
        <v>53</v>
      </c>
      <c r="C52" s="3856" t="s">
        <v>54</v>
      </c>
      <c r="D52" s="3839" t="s">
        <v>1395</v>
      </c>
      <c r="E52" s="3844" t="s">
        <v>906</v>
      </c>
      <c r="F52" s="3844" t="s">
        <v>1255</v>
      </c>
      <c r="G52" s="2511"/>
      <c r="H52" s="3839" t="s">
        <v>1995</v>
      </c>
      <c r="I52" s="2499"/>
    </row>
    <row r="53" spans="2:40" ht="32.450000000000003" customHeight="1" x14ac:dyDescent="0.35">
      <c r="B53" s="3854"/>
      <c r="C53" s="3857"/>
      <c r="D53" s="3840"/>
      <c r="E53" s="3845"/>
      <c r="F53" s="3845"/>
      <c r="G53" s="2512"/>
      <c r="H53" s="3840"/>
      <c r="I53" s="2500"/>
    </row>
    <row r="54" spans="2:40" ht="19.149999999999999" customHeight="1" x14ac:dyDescent="0.35">
      <c r="B54" s="3858" t="s">
        <v>1150</v>
      </c>
      <c r="C54" s="3859"/>
      <c r="D54" s="1531">
        <f>D41</f>
        <v>1299467792597</v>
      </c>
      <c r="E54" s="1531">
        <f>E41</f>
        <v>1562570254986</v>
      </c>
      <c r="F54" s="1531">
        <f>F41</f>
        <v>-1059032169302</v>
      </c>
      <c r="G54" s="1531"/>
      <c r="H54" s="1531">
        <f>H41</f>
        <v>1803005878281</v>
      </c>
      <c r="I54" s="2500"/>
    </row>
    <row r="55" spans="2:40" ht="21" customHeight="1" x14ac:dyDescent="0.4">
      <c r="B55" s="2010" t="s">
        <v>2152</v>
      </c>
      <c r="C55" s="1803" t="s">
        <v>2029</v>
      </c>
      <c r="D55" s="1823"/>
      <c r="E55" s="1823">
        <v>6986164096</v>
      </c>
      <c r="F55" s="1823">
        <v>-116607523</v>
      </c>
      <c r="G55" s="1779"/>
      <c r="H55" s="1530">
        <f>SUM(D55:F55)</f>
        <v>6869556573</v>
      </c>
      <c r="I55" s="1779"/>
    </row>
    <row r="56" spans="2:40" ht="21" customHeight="1" x14ac:dyDescent="0.4">
      <c r="B56" s="2010" t="s">
        <v>2154</v>
      </c>
      <c r="C56" s="1803" t="s">
        <v>2037</v>
      </c>
      <c r="D56" s="1526"/>
      <c r="E56" s="1823">
        <v>7430676261</v>
      </c>
      <c r="F56" s="1823">
        <v>-780000000</v>
      </c>
      <c r="G56" s="1779"/>
      <c r="H56" s="1530">
        <f t="shared" ref="H56" si="3">SUM(D56:F56)</f>
        <v>6650676261</v>
      </c>
      <c r="I56" s="1779"/>
    </row>
    <row r="57" spans="2:40" ht="21" customHeight="1" x14ac:dyDescent="0.4">
      <c r="B57" s="1914" t="s">
        <v>641</v>
      </c>
      <c r="C57" s="2194" t="s">
        <v>640</v>
      </c>
      <c r="D57" s="1823">
        <v>6853600550</v>
      </c>
      <c r="E57" s="2503">
        <v>11506943489</v>
      </c>
      <c r="F57" s="2503">
        <v>-12188132939</v>
      </c>
      <c r="G57" s="2503"/>
      <c r="H57" s="1823">
        <f t="shared" ref="H57:H62" si="4">SUM(D57:F57)</f>
        <v>6172411100</v>
      </c>
      <c r="I57" s="1779"/>
    </row>
    <row r="58" spans="2:40" ht="21" customHeight="1" x14ac:dyDescent="0.35">
      <c r="B58" s="1763" t="s">
        <v>2063</v>
      </c>
      <c r="C58" s="2069" t="s">
        <v>603</v>
      </c>
      <c r="D58" s="1779">
        <v>5937686670</v>
      </c>
      <c r="E58" s="2503">
        <f>940000000+4531581068</f>
        <v>5471581068</v>
      </c>
      <c r="F58" s="2461">
        <v>-5618949848</v>
      </c>
      <c r="G58" s="2513"/>
      <c r="H58" s="1823">
        <f t="shared" si="4"/>
        <v>5790317890</v>
      </c>
      <c r="I58" s="1779"/>
    </row>
    <row r="59" spans="2:40" ht="18.600000000000001" customHeight="1" x14ac:dyDescent="0.4">
      <c r="B59" s="2426" t="s">
        <v>1159</v>
      </c>
      <c r="C59" s="2427" t="s">
        <v>318</v>
      </c>
      <c r="D59" s="2501">
        <v>5773321456</v>
      </c>
      <c r="E59" s="1823">
        <v>868941</v>
      </c>
      <c r="F59" s="2502">
        <v>-84138485</v>
      </c>
      <c r="G59" s="2503"/>
      <c r="H59" s="1530">
        <f t="shared" si="4"/>
        <v>5690051912</v>
      </c>
      <c r="I59" s="1779"/>
    </row>
    <row r="60" spans="2:40" ht="18.600000000000001" customHeight="1" x14ac:dyDescent="0.4">
      <c r="B60" s="603" t="s">
        <v>1330</v>
      </c>
      <c r="C60" s="2514" t="s">
        <v>1329</v>
      </c>
      <c r="D60" s="2501">
        <v>5653479282</v>
      </c>
      <c r="E60" s="1823"/>
      <c r="F60" s="2502"/>
      <c r="G60" s="2503"/>
      <c r="H60" s="1530">
        <f t="shared" si="4"/>
        <v>5653479282</v>
      </c>
      <c r="I60" s="1779"/>
    </row>
    <row r="61" spans="2:40" ht="18.600000000000001" customHeight="1" x14ac:dyDescent="0.4">
      <c r="B61" s="1595" t="s">
        <v>611</v>
      </c>
      <c r="C61" s="2507" t="s">
        <v>597</v>
      </c>
      <c r="D61" s="2501">
        <v>5181756963</v>
      </c>
      <c r="E61" s="1823"/>
      <c r="F61" s="1897">
        <v>-122115150</v>
      </c>
      <c r="G61" s="1581"/>
      <c r="H61" s="1530">
        <f t="shared" si="4"/>
        <v>5059641813</v>
      </c>
      <c r="I61" s="1779"/>
    </row>
    <row r="62" spans="2:40" ht="18.600000000000001" customHeight="1" x14ac:dyDescent="0.4">
      <c r="B62" s="1762" t="s">
        <v>2066</v>
      </c>
      <c r="C62" s="2011" t="s">
        <v>2044</v>
      </c>
      <c r="D62" s="2501">
        <v>300000000</v>
      </c>
      <c r="E62" s="1823">
        <f>1162320000+2382700242</f>
        <v>3545020242</v>
      </c>
      <c r="F62" s="2502">
        <v>-256200000</v>
      </c>
      <c r="G62" s="2503"/>
      <c r="H62" s="1530">
        <f t="shared" si="4"/>
        <v>3588820242</v>
      </c>
      <c r="I62" s="1779"/>
    </row>
    <row r="63" spans="2:40" ht="18.600000000000001" customHeight="1" x14ac:dyDescent="0.4">
      <c r="B63" s="2010" t="s">
        <v>2151</v>
      </c>
      <c r="C63" s="1803" t="s">
        <v>2144</v>
      </c>
      <c r="D63" s="2501"/>
      <c r="E63" s="1823">
        <v>3730247421</v>
      </c>
      <c r="F63" s="2502">
        <v>-175180447</v>
      </c>
      <c r="G63" s="2515"/>
      <c r="H63" s="1530">
        <f t="shared" ref="H63" si="5">SUM(D63:F63)</f>
        <v>3555066974</v>
      </c>
      <c r="I63" s="1779"/>
    </row>
    <row r="64" spans="2:40" ht="18.600000000000001" customHeight="1" x14ac:dyDescent="0.4">
      <c r="B64" s="1812" t="s">
        <v>2068</v>
      </c>
      <c r="C64" s="2305" t="s">
        <v>2070</v>
      </c>
      <c r="D64" s="1530">
        <v>12754390277</v>
      </c>
      <c r="E64" s="1823">
        <v>14353099805</v>
      </c>
      <c r="F64" s="1897">
        <v>-23674182090</v>
      </c>
      <c r="G64" s="2516"/>
      <c r="H64" s="1530">
        <f>SUM(D64:F64)</f>
        <v>3433307992</v>
      </c>
      <c r="I64" s="1779"/>
      <c r="AI64" s="1526"/>
      <c r="AJ64" s="2018"/>
      <c r="AK64" s="2018"/>
      <c r="AL64" s="2018"/>
      <c r="AM64" s="2018"/>
      <c r="AN64" s="2019"/>
    </row>
    <row r="65" spans="2:41" ht="18.600000000000001" customHeight="1" x14ac:dyDescent="0.4">
      <c r="B65" s="2426" t="s">
        <v>206</v>
      </c>
      <c r="C65" s="2514" t="s">
        <v>328</v>
      </c>
      <c r="D65" s="1823">
        <v>2545125568</v>
      </c>
      <c r="E65" s="1823"/>
      <c r="F65" s="1823">
        <v>-29504197</v>
      </c>
      <c r="G65" s="1779"/>
      <c r="H65" s="1530">
        <f>SUM(D65:F65)</f>
        <v>2515621371</v>
      </c>
      <c r="I65" s="1779"/>
    </row>
    <row r="66" spans="2:41" ht="18.600000000000001" customHeight="1" x14ac:dyDescent="0.4">
      <c r="B66" s="1595" t="s">
        <v>68</v>
      </c>
      <c r="C66" s="2507" t="s">
        <v>333</v>
      </c>
      <c r="D66" s="2501">
        <v>2712517658</v>
      </c>
      <c r="E66" s="1823"/>
      <c r="F66" s="2502">
        <v>-230902405</v>
      </c>
      <c r="G66" s="2503"/>
      <c r="H66" s="1530">
        <f>SUM(D66:F66)</f>
        <v>2481615253</v>
      </c>
      <c r="I66" s="1779"/>
    </row>
    <row r="67" spans="2:41" ht="18.600000000000001" customHeight="1" x14ac:dyDescent="0.4">
      <c r="B67" s="1902" t="s">
        <v>1078</v>
      </c>
      <c r="C67" s="2517" t="s">
        <v>1077</v>
      </c>
      <c r="D67" s="1530">
        <v>3035177367</v>
      </c>
      <c r="E67" s="1823">
        <v>108000000</v>
      </c>
      <c r="F67" s="1897">
        <v>-720402715</v>
      </c>
      <c r="G67" s="1581"/>
      <c r="H67" s="1530">
        <f>SUM(D67:F67)</f>
        <v>2422774652</v>
      </c>
      <c r="I67" s="1779"/>
    </row>
    <row r="68" spans="2:41" ht="18.600000000000001" customHeight="1" x14ac:dyDescent="0.4">
      <c r="B68" s="1784" t="s">
        <v>1160</v>
      </c>
      <c r="C68" s="2001" t="s">
        <v>910</v>
      </c>
      <c r="D68" s="1780">
        <v>2178071227</v>
      </c>
      <c r="E68" s="2503"/>
      <c r="F68" s="2503"/>
      <c r="G68" s="2503"/>
      <c r="H68" s="1823">
        <f>SUM(D68:F68)</f>
        <v>2178071227</v>
      </c>
      <c r="I68" s="1779"/>
      <c r="AI68" s="1526"/>
      <c r="AJ68" s="1526"/>
      <c r="AK68" s="2018"/>
      <c r="AL68" s="2018"/>
      <c r="AM68" s="2018"/>
      <c r="AN68" s="2018"/>
      <c r="AO68" s="2019"/>
    </row>
    <row r="69" spans="2:41" ht="18.600000000000001" customHeight="1" x14ac:dyDescent="0.4">
      <c r="B69" s="2008" t="s">
        <v>2143</v>
      </c>
      <c r="C69" s="2009" t="s">
        <v>2142</v>
      </c>
      <c r="D69" s="2501"/>
      <c r="E69" s="1823">
        <v>9952439387</v>
      </c>
      <c r="F69" s="2502">
        <v>-7842389462</v>
      </c>
      <c r="G69" s="2503"/>
      <c r="H69" s="1823">
        <f t="shared" ref="H69" si="6">SUM(D69:F69)</f>
        <v>2110049925</v>
      </c>
      <c r="I69" s="1779"/>
    </row>
    <row r="70" spans="2:41" ht="18.600000000000001" customHeight="1" x14ac:dyDescent="0.4">
      <c r="B70" s="1595" t="s">
        <v>550</v>
      </c>
      <c r="C70" s="2432" t="s">
        <v>556</v>
      </c>
      <c r="D70" s="2501">
        <v>1449235714</v>
      </c>
      <c r="E70" s="1823">
        <v>500360876</v>
      </c>
      <c r="F70" s="2502">
        <v>-500360876</v>
      </c>
      <c r="G70" s="2503"/>
      <c r="H70" s="1530">
        <f>SUM(D70:F70)</f>
        <v>1449235714</v>
      </c>
      <c r="I70" s="1779"/>
    </row>
    <row r="71" spans="2:41" ht="18.600000000000001" customHeight="1" x14ac:dyDescent="0.4">
      <c r="B71" s="1806" t="s">
        <v>2071</v>
      </c>
      <c r="C71" s="2307" t="s">
        <v>2048</v>
      </c>
      <c r="D71" s="2501"/>
      <c r="E71" s="1823">
        <v>1362666666</v>
      </c>
      <c r="F71" s="2502"/>
      <c r="G71" s="2503"/>
      <c r="H71" s="1530">
        <f t="shared" ref="H71" si="7">SUM(D71:F71)</f>
        <v>1362666666</v>
      </c>
      <c r="I71" s="1779"/>
    </row>
    <row r="72" spans="2:41" ht="18.600000000000001" customHeight="1" x14ac:dyDescent="0.35">
      <c r="B72" s="1784" t="s">
        <v>104</v>
      </c>
      <c r="C72" s="2001" t="s">
        <v>331</v>
      </c>
      <c r="D72" s="1779">
        <v>1112456158</v>
      </c>
      <c r="E72" s="2503"/>
      <c r="F72" s="2461"/>
      <c r="G72" s="2461"/>
      <c r="H72" s="1823">
        <f>SUM(D72:F72)</f>
        <v>1112456158</v>
      </c>
      <c r="I72" s="1779"/>
    </row>
    <row r="73" spans="2:41" ht="18.600000000000001" customHeight="1" x14ac:dyDescent="0.35">
      <c r="B73" s="1762" t="s">
        <v>544</v>
      </c>
      <c r="C73" s="1951" t="s">
        <v>543</v>
      </c>
      <c r="D73" s="1780">
        <v>1255797118</v>
      </c>
      <c r="E73" s="2503"/>
      <c r="F73" s="2503">
        <v>-400000000</v>
      </c>
      <c r="G73" s="2503"/>
      <c r="H73" s="1823">
        <f>SUM(D73:F73)</f>
        <v>855797118</v>
      </c>
      <c r="I73" s="1779"/>
    </row>
    <row r="74" spans="2:41" ht="18.600000000000001" customHeight="1" x14ac:dyDescent="0.35">
      <c r="B74" s="1762" t="s">
        <v>292</v>
      </c>
      <c r="C74" s="1951" t="s">
        <v>1152</v>
      </c>
      <c r="D74" s="1779">
        <v>773828755</v>
      </c>
      <c r="E74" s="2503"/>
      <c r="F74" s="2503"/>
      <c r="G74" s="2503"/>
      <c r="H74" s="1823">
        <f>SUM(D74:F74)</f>
        <v>773828755</v>
      </c>
      <c r="I74" s="1779"/>
    </row>
    <row r="75" spans="2:41" ht="23.45" customHeight="1" x14ac:dyDescent="0.35">
      <c r="B75" s="272" t="s">
        <v>213</v>
      </c>
      <c r="C75" s="1993" t="s">
        <v>322</v>
      </c>
      <c r="D75" s="1779">
        <v>742128047</v>
      </c>
      <c r="E75" s="2503"/>
      <c r="F75" s="2503"/>
      <c r="G75" s="2503"/>
      <c r="H75" s="1823">
        <f>SUM(D75:F75)</f>
        <v>742128047</v>
      </c>
      <c r="I75" s="1779"/>
    </row>
    <row r="76" spans="2:41" ht="18.600000000000001" customHeight="1" x14ac:dyDescent="0.4">
      <c r="B76" s="2442" t="s">
        <v>1402</v>
      </c>
      <c r="C76" s="2443" t="s">
        <v>1403</v>
      </c>
      <c r="D76" s="2501">
        <v>491333334</v>
      </c>
      <c r="E76" s="1823">
        <v>223666667</v>
      </c>
      <c r="F76" s="2502"/>
      <c r="G76" s="2503"/>
      <c r="H76" s="1530">
        <f t="shared" ref="H76" si="8">SUM(D76:F76)</f>
        <v>715000001</v>
      </c>
      <c r="I76" s="1779"/>
    </row>
    <row r="77" spans="2:41" ht="18.600000000000001" customHeight="1" x14ac:dyDescent="0.35">
      <c r="B77" s="1762" t="s">
        <v>89</v>
      </c>
      <c r="C77" s="1951" t="s">
        <v>951</v>
      </c>
      <c r="D77" s="2518">
        <v>1229521330</v>
      </c>
      <c r="E77" s="2503"/>
      <c r="F77" s="2503">
        <v>-520934438</v>
      </c>
      <c r="G77" s="2503"/>
      <c r="H77" s="1823">
        <f t="shared" ref="H77:H84" si="9">SUM(D77:F77)</f>
        <v>708586892</v>
      </c>
      <c r="I77" s="1779"/>
    </row>
    <row r="78" spans="2:41" ht="18.600000000000001" customHeight="1" x14ac:dyDescent="0.35">
      <c r="B78" s="1784" t="s">
        <v>158</v>
      </c>
      <c r="C78" s="2001" t="s">
        <v>939</v>
      </c>
      <c r="D78" s="2518">
        <v>468191346</v>
      </c>
      <c r="E78" s="2503"/>
      <c r="F78" s="2503"/>
      <c r="G78" s="2503"/>
      <c r="H78" s="1823">
        <f t="shared" si="9"/>
        <v>468191346</v>
      </c>
      <c r="I78" s="1779"/>
    </row>
    <row r="79" spans="2:41" ht="18.600000000000001" customHeight="1" x14ac:dyDescent="0.35">
      <c r="B79" s="1784" t="s">
        <v>66</v>
      </c>
      <c r="C79" s="2001" t="s">
        <v>940</v>
      </c>
      <c r="D79" s="1780">
        <v>444020423</v>
      </c>
      <c r="E79" s="2503"/>
      <c r="F79" s="2503"/>
      <c r="G79" s="2503"/>
      <c r="H79" s="1823">
        <f t="shared" si="9"/>
        <v>444020423</v>
      </c>
      <c r="I79" s="1779"/>
    </row>
    <row r="80" spans="2:41" ht="18.600000000000001" customHeight="1" x14ac:dyDescent="0.4">
      <c r="B80" s="2519" t="s">
        <v>372</v>
      </c>
      <c r="C80" s="2520" t="s">
        <v>1153</v>
      </c>
      <c r="D80" s="1780">
        <v>414076045</v>
      </c>
      <c r="E80" s="2503"/>
      <c r="F80" s="2503"/>
      <c r="G80" s="2503"/>
      <c r="H80" s="1823">
        <f t="shared" si="9"/>
        <v>414076045</v>
      </c>
      <c r="I80" s="1779"/>
    </row>
    <row r="81" spans="2:35" ht="18.600000000000001" customHeight="1" x14ac:dyDescent="0.35">
      <c r="B81" s="1784" t="s">
        <v>98</v>
      </c>
      <c r="C81" s="2001" t="s">
        <v>326</v>
      </c>
      <c r="D81" s="1779">
        <v>400968695</v>
      </c>
      <c r="E81" s="2503"/>
      <c r="F81" s="2503"/>
      <c r="G81" s="2503"/>
      <c r="H81" s="1823">
        <f t="shared" si="9"/>
        <v>400968695</v>
      </c>
      <c r="I81" s="1779"/>
    </row>
    <row r="82" spans="2:35" ht="18.600000000000001" customHeight="1" x14ac:dyDescent="0.35">
      <c r="B82" s="1784" t="s">
        <v>234</v>
      </c>
      <c r="C82" s="2001" t="s">
        <v>947</v>
      </c>
      <c r="D82" s="1779">
        <v>386330896</v>
      </c>
      <c r="E82" s="2503"/>
      <c r="F82" s="2503"/>
      <c r="G82" s="2503"/>
      <c r="H82" s="1823">
        <f t="shared" si="9"/>
        <v>386330896</v>
      </c>
      <c r="I82" s="1779"/>
    </row>
    <row r="83" spans="2:35" ht="18.600000000000001" customHeight="1" x14ac:dyDescent="0.4">
      <c r="B83" s="1762" t="s">
        <v>105</v>
      </c>
      <c r="C83" s="2194" t="s">
        <v>1154</v>
      </c>
      <c r="D83" s="1779">
        <v>384815471</v>
      </c>
      <c r="E83" s="2503"/>
      <c r="F83" s="2503"/>
      <c r="G83" s="2503"/>
      <c r="H83" s="1823">
        <f t="shared" si="9"/>
        <v>384815471</v>
      </c>
      <c r="I83" s="1779"/>
    </row>
    <row r="84" spans="2:35" ht="18.600000000000001" customHeight="1" x14ac:dyDescent="0.35">
      <c r="B84" s="1762" t="s">
        <v>1161</v>
      </c>
      <c r="C84" s="2521" t="s">
        <v>227</v>
      </c>
      <c r="D84" s="1779">
        <v>356005334</v>
      </c>
      <c r="E84" s="2503"/>
      <c r="F84" s="2503"/>
      <c r="G84" s="2503"/>
      <c r="H84" s="1823">
        <f t="shared" si="9"/>
        <v>356005334</v>
      </c>
      <c r="I84" s="1779"/>
    </row>
    <row r="85" spans="2:35" ht="18.600000000000001" customHeight="1" x14ac:dyDescent="0.4">
      <c r="B85" s="3343" t="s">
        <v>1162</v>
      </c>
      <c r="C85" s="3343"/>
      <c r="D85" s="1779">
        <v>4985011817</v>
      </c>
      <c r="E85" s="2503">
        <v>288204637</v>
      </c>
      <c r="F85" s="2503">
        <v>-670692855</v>
      </c>
      <c r="G85" s="2503"/>
      <c r="H85" s="2522">
        <v>4601523599</v>
      </c>
      <c r="I85" s="1779"/>
      <c r="AH85" s="2523"/>
    </row>
    <row r="86" spans="2:35" ht="17.45" customHeight="1" thickBot="1" x14ac:dyDescent="0.4">
      <c r="B86" s="3851" t="s">
        <v>386</v>
      </c>
      <c r="C86" s="3852"/>
      <c r="D86" s="1092">
        <v>1367286640098</v>
      </c>
      <c r="E86" s="2524">
        <f>SUM(E54:E85)</f>
        <v>1628030194542</v>
      </c>
      <c r="F86" s="2524">
        <f>SUM(F54:F85)</f>
        <v>-1112962862732</v>
      </c>
      <c r="G86" s="2525"/>
      <c r="H86" s="1093">
        <v>1882352971908</v>
      </c>
      <c r="I86" s="2278" t="e">
        <f>15410792509+#REF!+#REF!</f>
        <v>#REF!</v>
      </c>
      <c r="AH86" s="2116"/>
    </row>
    <row r="87" spans="2:35" ht="17.45" customHeight="1" thickTop="1" thickBot="1" x14ac:dyDescent="0.45">
      <c r="B87" s="3849">
        <v>75</v>
      </c>
      <c r="C87" s="3849"/>
      <c r="D87" s="3849"/>
      <c r="E87" s="3849"/>
      <c r="F87" s="3849"/>
      <c r="G87" s="3849"/>
      <c r="H87" s="3849"/>
      <c r="I87" s="1094">
        <v>370767265791</v>
      </c>
      <c r="L87" s="2116"/>
    </row>
    <row r="88" spans="2:35" ht="17.45" customHeight="1" thickTop="1" x14ac:dyDescent="0.4">
      <c r="B88" s="2526"/>
      <c r="C88" s="2527"/>
      <c r="D88" s="2526"/>
      <c r="E88" s="2526"/>
      <c r="F88" s="1789">
        <v>-1112962862732</v>
      </c>
      <c r="G88" s="2526"/>
      <c r="H88" s="2526" t="s">
        <v>2169</v>
      </c>
      <c r="I88" s="1084"/>
      <c r="L88" s="2116"/>
      <c r="AH88" s="2523">
        <f>F88-F86</f>
        <v>0</v>
      </c>
    </row>
    <row r="89" spans="2:35" ht="17.45" customHeight="1" x14ac:dyDescent="0.4">
      <c r="B89" s="2526"/>
      <c r="C89" s="2527"/>
      <c r="D89" s="2526"/>
      <c r="E89" s="2528"/>
      <c r="F89" s="2522"/>
      <c r="G89" s="2526"/>
      <c r="H89" s="2526"/>
      <c r="I89" s="1084"/>
      <c r="L89" s="2116"/>
      <c r="AH89" s="1526">
        <v>21149985288</v>
      </c>
    </row>
    <row r="90" spans="2:35" ht="17.45" customHeight="1" x14ac:dyDescent="0.4">
      <c r="B90" s="2526"/>
      <c r="C90" s="2527"/>
      <c r="D90" s="2522">
        <f>SUM(D54:D84)</f>
        <v>1362301628281</v>
      </c>
      <c r="E90" s="2522">
        <f>SUM(E54:E84)</f>
        <v>1627741989905</v>
      </c>
      <c r="F90" s="2522">
        <f>SUM(F54:F84)</f>
        <v>-1112292169877</v>
      </c>
      <c r="G90" s="2522">
        <f>SUM(G54:G84)</f>
        <v>0</v>
      </c>
      <c r="H90" s="2522">
        <f>SUM(H54:H84)</f>
        <v>1877751448309</v>
      </c>
      <c r="I90" s="1084"/>
      <c r="L90" s="2116"/>
    </row>
    <row r="91" spans="2:35" ht="17.45" customHeight="1" x14ac:dyDescent="0.4">
      <c r="B91" s="2526"/>
      <c r="C91" s="2527"/>
      <c r="D91" s="2522">
        <f>SUM(D54:D85)</f>
        <v>1367286640098</v>
      </c>
      <c r="E91" s="2522">
        <f>SUM(E54:E85)</f>
        <v>1628030194542</v>
      </c>
      <c r="F91" s="2522">
        <f>SUM(F54:F85)</f>
        <v>-1112962862732</v>
      </c>
      <c r="G91" s="2522">
        <f>SUM(G54:G85)</f>
        <v>0</v>
      </c>
      <c r="H91" s="2522">
        <f>SUM(H54:H85)</f>
        <v>1882352971908</v>
      </c>
      <c r="I91" s="2522">
        <f>SUM(I54:I84)</f>
        <v>0</v>
      </c>
      <c r="L91" s="2116"/>
    </row>
    <row r="92" spans="2:35" ht="17.45" customHeight="1" x14ac:dyDescent="0.4">
      <c r="B92" s="2526"/>
      <c r="C92" s="1090"/>
      <c r="D92" s="2522">
        <f>D86-D91</f>
        <v>0</v>
      </c>
      <c r="E92" s="2522">
        <f>E91-E90</f>
        <v>288204637</v>
      </c>
      <c r="F92" s="2522">
        <f>F91-F90</f>
        <v>-670692855</v>
      </c>
      <c r="G92" s="2522">
        <f>G91-G90</f>
        <v>0</v>
      </c>
      <c r="H92" s="2522">
        <f>H86-H90</f>
        <v>4601523599</v>
      </c>
      <c r="I92" s="1084"/>
      <c r="L92" s="2116"/>
      <c r="AI92" s="446" t="s">
        <v>1759</v>
      </c>
    </row>
    <row r="93" spans="2:35" ht="17.45" customHeight="1" x14ac:dyDescent="0.4">
      <c r="B93" s="2526"/>
      <c r="D93" s="2526"/>
      <c r="E93" s="2528"/>
      <c r="F93" s="2528"/>
      <c r="G93" s="2528"/>
      <c r="H93" s="2522"/>
      <c r="I93" s="1084"/>
      <c r="L93" s="2116"/>
    </row>
    <row r="94" spans="2:35" ht="17.45" customHeight="1" x14ac:dyDescent="0.4">
      <c r="B94" s="2526"/>
      <c r="D94" s="2526"/>
      <c r="E94" s="2526">
        <v>1649180179830</v>
      </c>
      <c r="F94" s="2528">
        <v>1134112848020</v>
      </c>
      <c r="G94" s="2528"/>
      <c r="H94" s="2526"/>
      <c r="I94" s="1084"/>
      <c r="L94" s="2116"/>
    </row>
    <row r="95" spans="2:35" ht="17.45" customHeight="1" x14ac:dyDescent="0.4">
      <c r="B95" s="2526"/>
      <c r="C95" s="2529"/>
      <c r="D95" s="2526"/>
      <c r="E95" s="2528">
        <f>E94-E86</f>
        <v>21149985288</v>
      </c>
      <c r="F95" s="2528">
        <v>238000000</v>
      </c>
      <c r="G95" s="2528"/>
      <c r="H95" s="2526"/>
      <c r="I95" s="1084"/>
      <c r="L95" s="2116"/>
    </row>
    <row r="96" spans="2:35" ht="17.45" customHeight="1" x14ac:dyDescent="0.4">
      <c r="B96" s="2526"/>
      <c r="C96" s="2529"/>
      <c r="D96" s="2526"/>
      <c r="E96" s="2526">
        <v>4780528</v>
      </c>
      <c r="F96" s="2528">
        <v>46792953</v>
      </c>
      <c r="G96" s="2528"/>
      <c r="H96" s="2526"/>
      <c r="I96" s="1084"/>
      <c r="L96" s="2116"/>
    </row>
    <row r="97" spans="1:12" ht="17.45" customHeight="1" x14ac:dyDescent="0.4">
      <c r="B97" s="2526"/>
      <c r="C97" s="2530"/>
      <c r="D97" s="2526"/>
      <c r="E97" s="2526">
        <v>283424109</v>
      </c>
      <c r="F97" s="2528">
        <v>22027666</v>
      </c>
      <c r="G97" s="2528"/>
      <c r="H97" s="2526"/>
      <c r="I97" s="1084"/>
      <c r="L97" s="2116"/>
    </row>
    <row r="98" spans="1:12" x14ac:dyDescent="0.35">
      <c r="C98" s="2531"/>
      <c r="D98" s="2532"/>
      <c r="E98" s="2510">
        <f>SUM(E96:E97)</f>
        <v>288204637</v>
      </c>
      <c r="F98" s="2510">
        <v>32784598</v>
      </c>
    </row>
    <row r="99" spans="1:12" x14ac:dyDescent="0.35">
      <c r="C99" s="2533"/>
      <c r="F99" s="2510">
        <v>146699995</v>
      </c>
    </row>
    <row r="100" spans="1:12" x14ac:dyDescent="0.35">
      <c r="C100" s="2533"/>
      <c r="F100" s="2510">
        <v>184387643</v>
      </c>
      <c r="H100" s="2523"/>
    </row>
    <row r="101" spans="1:12" x14ac:dyDescent="0.35">
      <c r="C101" s="2533"/>
      <c r="F101" s="2532">
        <f>SUM(F95:F100)</f>
        <v>670692855</v>
      </c>
      <c r="H101" s="2523"/>
    </row>
    <row r="102" spans="1:12" x14ac:dyDescent="0.35">
      <c r="C102" s="2533"/>
      <c r="F102" s="2532">
        <f>F101-F86</f>
        <v>1113633555587</v>
      </c>
      <c r="H102" s="2523"/>
    </row>
    <row r="103" spans="1:12" x14ac:dyDescent="0.35">
      <c r="C103" s="2533"/>
      <c r="H103" s="2523"/>
    </row>
    <row r="104" spans="1:12" x14ac:dyDescent="0.35">
      <c r="C104" s="2533"/>
      <c r="H104" s="2523"/>
    </row>
    <row r="105" spans="1:12" x14ac:dyDescent="0.35">
      <c r="C105" s="2533"/>
      <c r="H105" s="2523"/>
    </row>
    <row r="106" spans="1:12" x14ac:dyDescent="0.35">
      <c r="C106" s="2533"/>
      <c r="H106" s="2523"/>
    </row>
    <row r="107" spans="1:12" x14ac:dyDescent="0.35">
      <c r="C107" s="2533"/>
      <c r="H107" s="2523"/>
    </row>
    <row r="108" spans="1:12" x14ac:dyDescent="0.35">
      <c r="C108" s="2533"/>
      <c r="H108" s="2523"/>
    </row>
    <row r="109" spans="1:12" ht="17.25" x14ac:dyDescent="0.4">
      <c r="A109" s="3846" t="s">
        <v>1700</v>
      </c>
      <c r="B109" s="3846"/>
      <c r="C109" s="3846"/>
      <c r="D109" s="3846"/>
      <c r="E109" s="3846"/>
      <c r="F109" s="1526" t="s">
        <v>1720</v>
      </c>
      <c r="G109" s="1526"/>
    </row>
    <row r="110" spans="1:12" ht="17.25" x14ac:dyDescent="0.4">
      <c r="A110" s="2534">
        <v>594</v>
      </c>
      <c r="B110" s="2535" t="s">
        <v>1701</v>
      </c>
      <c r="C110" s="2534" t="s">
        <v>1702</v>
      </c>
      <c r="D110" s="1095">
        <v>149698980</v>
      </c>
      <c r="E110" s="1095">
        <v>0</v>
      </c>
      <c r="F110" s="1526"/>
      <c r="G110" s="1526"/>
    </row>
    <row r="111" spans="1:12" ht="17.25" x14ac:dyDescent="0.4">
      <c r="A111" s="2534">
        <v>594</v>
      </c>
      <c r="B111" s="2535" t="s">
        <v>1701</v>
      </c>
      <c r="C111" s="2534" t="s">
        <v>1702</v>
      </c>
      <c r="D111" s="1095">
        <v>17612028</v>
      </c>
      <c r="E111" s="1095">
        <v>0</v>
      </c>
      <c r="F111" s="1526"/>
      <c r="G111" s="1526"/>
    </row>
    <row r="112" spans="1:12" ht="17.25" x14ac:dyDescent="0.4">
      <c r="A112" s="2534">
        <v>1209</v>
      </c>
      <c r="B112" s="2535" t="s">
        <v>1703</v>
      </c>
      <c r="C112" s="2534" t="s">
        <v>1704</v>
      </c>
      <c r="D112" s="1095">
        <v>55071479</v>
      </c>
      <c r="E112" s="1095">
        <v>0</v>
      </c>
      <c r="F112" s="1526"/>
      <c r="G112" s="1526"/>
    </row>
    <row r="113" spans="1:7" ht="17.25" x14ac:dyDescent="0.4">
      <c r="A113" s="2534">
        <v>2655</v>
      </c>
      <c r="B113" s="2535" t="s">
        <v>1705</v>
      </c>
      <c r="C113" s="2534" t="s">
        <v>1706</v>
      </c>
      <c r="D113" s="1095">
        <v>308728200</v>
      </c>
      <c r="E113" s="1095">
        <v>0</v>
      </c>
      <c r="F113" s="1526"/>
      <c r="G113" s="1526"/>
    </row>
    <row r="114" spans="1:7" ht="17.25" x14ac:dyDescent="0.4">
      <c r="A114" s="2534">
        <v>2657</v>
      </c>
      <c r="B114" s="2535" t="s">
        <v>1707</v>
      </c>
      <c r="C114" s="2534" t="s">
        <v>1708</v>
      </c>
      <c r="D114" s="1095">
        <v>9961098025</v>
      </c>
      <c r="E114" s="1095">
        <v>0</v>
      </c>
      <c r="F114" s="1526"/>
      <c r="G114" s="1526"/>
    </row>
    <row r="115" spans="1:7" ht="17.25" x14ac:dyDescent="0.4">
      <c r="A115" s="2534">
        <v>2865</v>
      </c>
      <c r="B115" s="2535" t="s">
        <v>1707</v>
      </c>
      <c r="C115" s="2534" t="s">
        <v>1709</v>
      </c>
      <c r="D115" s="1095">
        <v>257911748</v>
      </c>
      <c r="E115" s="1095">
        <v>0</v>
      </c>
      <c r="F115" s="1526"/>
      <c r="G115" s="1526"/>
    </row>
    <row r="116" spans="1:7" ht="17.25" x14ac:dyDescent="0.4">
      <c r="A116" s="2534">
        <v>4480</v>
      </c>
      <c r="B116" s="2535" t="s">
        <v>1707</v>
      </c>
      <c r="C116" s="2534" t="s">
        <v>1710</v>
      </c>
      <c r="D116" s="1095">
        <v>0</v>
      </c>
      <c r="E116" s="1095">
        <v>67103852180</v>
      </c>
      <c r="F116" s="1526"/>
      <c r="G116" s="1526"/>
    </row>
    <row r="117" spans="1:7" ht="17.25" x14ac:dyDescent="0.4">
      <c r="A117" s="2534">
        <v>4489</v>
      </c>
      <c r="B117" s="2535" t="s">
        <v>1707</v>
      </c>
      <c r="C117" s="2534" t="s">
        <v>1711</v>
      </c>
      <c r="D117" s="1095">
        <v>47121791</v>
      </c>
      <c r="E117" s="1095">
        <v>0</v>
      </c>
      <c r="F117" s="1526"/>
      <c r="G117" s="1526"/>
    </row>
    <row r="118" spans="1:7" ht="17.25" x14ac:dyDescent="0.4">
      <c r="A118" s="2534">
        <v>4490</v>
      </c>
      <c r="B118" s="2535" t="s">
        <v>1707</v>
      </c>
      <c r="C118" s="2534" t="s">
        <v>1712</v>
      </c>
      <c r="D118" s="1095">
        <v>383175052</v>
      </c>
      <c r="E118" s="1095">
        <v>0</v>
      </c>
      <c r="F118" s="1526"/>
      <c r="G118" s="1526"/>
    </row>
    <row r="119" spans="1:7" ht="17.25" x14ac:dyDescent="0.4">
      <c r="A119" s="2534">
        <v>4491</v>
      </c>
      <c r="B119" s="2535" t="s">
        <v>1707</v>
      </c>
      <c r="C119" s="2534" t="s">
        <v>1713</v>
      </c>
      <c r="D119" s="1095">
        <v>10301080</v>
      </c>
      <c r="E119" s="1095">
        <v>0</v>
      </c>
      <c r="F119" s="1526"/>
      <c r="G119" s="1526"/>
    </row>
    <row r="120" spans="1:7" ht="17.25" x14ac:dyDescent="0.4">
      <c r="A120" s="2534">
        <v>4492</v>
      </c>
      <c r="B120" s="2535" t="s">
        <v>1707</v>
      </c>
      <c r="C120" s="2534" t="s">
        <v>1713</v>
      </c>
      <c r="D120" s="1095">
        <v>187186950</v>
      </c>
      <c r="E120" s="1095">
        <v>0</v>
      </c>
      <c r="F120" s="1526"/>
      <c r="G120" s="1526"/>
    </row>
    <row r="121" spans="1:7" ht="17.25" x14ac:dyDescent="0.4">
      <c r="A121" s="2534">
        <v>4493</v>
      </c>
      <c r="B121" s="2535" t="s">
        <v>1707</v>
      </c>
      <c r="C121" s="2534" t="s">
        <v>1714</v>
      </c>
      <c r="D121" s="1095">
        <v>567136595</v>
      </c>
      <c r="E121" s="1095">
        <v>0</v>
      </c>
      <c r="F121" s="1526"/>
      <c r="G121" s="1526"/>
    </row>
    <row r="122" spans="1:7" ht="17.25" x14ac:dyDescent="0.4">
      <c r="A122" s="2534">
        <v>4494</v>
      </c>
      <c r="B122" s="2535" t="s">
        <v>1707</v>
      </c>
      <c r="C122" s="2534" t="s">
        <v>1713</v>
      </c>
      <c r="D122" s="1095">
        <v>465494182</v>
      </c>
      <c r="E122" s="1095">
        <v>0</v>
      </c>
      <c r="F122" s="1526"/>
      <c r="G122" s="1526"/>
    </row>
    <row r="123" spans="1:7" ht="17.25" x14ac:dyDescent="0.4">
      <c r="A123" s="2534">
        <v>4495</v>
      </c>
      <c r="B123" s="2535" t="s">
        <v>1707</v>
      </c>
      <c r="C123" s="2534" t="s">
        <v>1715</v>
      </c>
      <c r="D123" s="1095">
        <v>21952234</v>
      </c>
      <c r="E123" s="1095">
        <v>0</v>
      </c>
      <c r="F123" s="1526"/>
      <c r="G123" s="1526"/>
    </row>
    <row r="124" spans="1:7" ht="17.25" x14ac:dyDescent="0.4">
      <c r="A124" s="2534">
        <v>4496</v>
      </c>
      <c r="B124" s="2535" t="s">
        <v>1707</v>
      </c>
      <c r="C124" s="2534" t="s">
        <v>1716</v>
      </c>
      <c r="D124" s="1095">
        <v>210871132</v>
      </c>
      <c r="E124" s="1095">
        <v>0</v>
      </c>
      <c r="F124" s="1526"/>
      <c r="G124" s="1526"/>
    </row>
    <row r="125" spans="1:7" ht="17.25" x14ac:dyDescent="0.4">
      <c r="A125" s="2534">
        <v>4497</v>
      </c>
      <c r="B125" s="2535" t="s">
        <v>1707</v>
      </c>
      <c r="C125" s="2534" t="s">
        <v>1717</v>
      </c>
      <c r="D125" s="1095">
        <v>730704531</v>
      </c>
      <c r="E125" s="1095">
        <v>0</v>
      </c>
      <c r="F125" s="1526"/>
      <c r="G125" s="1526"/>
    </row>
    <row r="126" spans="1:7" ht="17.25" x14ac:dyDescent="0.4">
      <c r="A126" s="2534">
        <v>4498</v>
      </c>
      <c r="B126" s="2535" t="s">
        <v>1707</v>
      </c>
      <c r="C126" s="2534" t="s">
        <v>1718</v>
      </c>
      <c r="D126" s="1095">
        <v>51333333</v>
      </c>
      <c r="E126" s="1095">
        <v>0</v>
      </c>
      <c r="F126" s="1526"/>
      <c r="G126" s="1526"/>
    </row>
    <row r="127" spans="1:7" ht="17.25" x14ac:dyDescent="0.4">
      <c r="A127" s="2534">
        <v>4498</v>
      </c>
      <c r="B127" s="2535" t="s">
        <v>1707</v>
      </c>
      <c r="C127" s="2534" t="s">
        <v>1718</v>
      </c>
      <c r="D127" s="1095">
        <v>128333335</v>
      </c>
      <c r="E127" s="1095">
        <v>0</v>
      </c>
      <c r="F127" s="1526"/>
      <c r="G127" s="1526"/>
    </row>
    <row r="128" spans="1:7" ht="17.25" x14ac:dyDescent="0.4">
      <c r="A128" s="2534">
        <v>4500</v>
      </c>
      <c r="B128" s="2535" t="s">
        <v>1707</v>
      </c>
      <c r="C128" s="2534" t="s">
        <v>1719</v>
      </c>
      <c r="D128" s="1095">
        <v>77353020</v>
      </c>
      <c r="E128" s="1095">
        <v>0</v>
      </c>
      <c r="F128" s="1526"/>
      <c r="G128" s="1526"/>
    </row>
    <row r="129" spans="1:7" ht="17.25" x14ac:dyDescent="0.4">
      <c r="A129" s="2534">
        <v>4500</v>
      </c>
      <c r="B129" s="2535" t="s">
        <v>1707</v>
      </c>
      <c r="C129" s="2534" t="s">
        <v>1719</v>
      </c>
      <c r="D129" s="1095">
        <v>27210526</v>
      </c>
      <c r="E129" s="1095">
        <v>0</v>
      </c>
      <c r="F129" s="1526"/>
      <c r="G129" s="1526"/>
    </row>
    <row r="130" spans="1:7" ht="17.25" x14ac:dyDescent="0.4">
      <c r="A130" s="2534">
        <v>4500</v>
      </c>
      <c r="B130" s="2535" t="s">
        <v>1707</v>
      </c>
      <c r="C130" s="2534" t="s">
        <v>1719</v>
      </c>
      <c r="D130" s="1095">
        <v>3632709</v>
      </c>
      <c r="E130" s="1095">
        <v>0</v>
      </c>
      <c r="F130" s="1526"/>
      <c r="G130" s="1526"/>
    </row>
    <row r="131" spans="1:7" ht="17.25" x14ac:dyDescent="0.4">
      <c r="A131" s="2534">
        <v>4500</v>
      </c>
      <c r="B131" s="2535" t="s">
        <v>1707</v>
      </c>
      <c r="C131" s="2534" t="s">
        <v>1719</v>
      </c>
      <c r="D131" s="1095">
        <v>1124336</v>
      </c>
      <c r="E131" s="1095">
        <v>0</v>
      </c>
      <c r="F131" s="1526"/>
      <c r="G131" s="1526"/>
    </row>
    <row r="132" spans="1:7" ht="17.25" x14ac:dyDescent="0.4">
      <c r="A132" s="2534"/>
      <c r="B132" s="2534"/>
      <c r="C132" s="2534"/>
      <c r="D132" s="1095">
        <v>13663051266</v>
      </c>
      <c r="E132" s="2534"/>
      <c r="F132" s="2536">
        <f>SUM(D110:D131)</f>
        <v>13663051266</v>
      </c>
      <c r="G132" s="1526"/>
    </row>
    <row r="133" spans="1:7" ht="17.25" x14ac:dyDescent="0.4">
      <c r="A133" s="2534">
        <v>3159</v>
      </c>
      <c r="B133" s="2534"/>
      <c r="C133" s="2534"/>
      <c r="D133" s="1095">
        <v>38836023750</v>
      </c>
      <c r="E133" s="2534"/>
      <c r="F133" s="2536">
        <f>SUM(D132:D134)</f>
        <v>52730075016</v>
      </c>
      <c r="G133" s="1526"/>
    </row>
    <row r="134" spans="1:7" ht="17.25" x14ac:dyDescent="0.4">
      <c r="A134" s="2534">
        <v>4758</v>
      </c>
      <c r="B134" s="2534"/>
      <c r="C134" s="2534" t="s">
        <v>1758</v>
      </c>
      <c r="D134" s="1095">
        <v>231000000</v>
      </c>
      <c r="E134" s="2534"/>
      <c r="F134" s="2536"/>
      <c r="G134" s="1526"/>
    </row>
    <row r="135" spans="1:7" ht="17.25" x14ac:dyDescent="0.4">
      <c r="A135" s="2534"/>
      <c r="B135" s="2534"/>
      <c r="C135" s="2534"/>
      <c r="D135" s="1095">
        <f>D132+D133+D134</f>
        <v>52730075016</v>
      </c>
      <c r="E135" s="2534"/>
      <c r="F135" s="1526"/>
      <c r="G135" s="1526"/>
    </row>
    <row r="136" spans="1:7" x14ac:dyDescent="0.35">
      <c r="D136" s="2537"/>
    </row>
    <row r="137" spans="1:7" x14ac:dyDescent="0.35">
      <c r="A137" s="2115"/>
      <c r="B137" s="2115"/>
      <c r="D137" s="2538"/>
      <c r="E137" s="2538"/>
    </row>
    <row r="138" spans="1:7" ht="17.25" x14ac:dyDescent="0.4">
      <c r="A138" s="2534">
        <v>4500</v>
      </c>
      <c r="B138" s="2535" t="s">
        <v>1707</v>
      </c>
      <c r="C138" s="2534" t="s">
        <v>1719</v>
      </c>
      <c r="D138" s="1095">
        <v>0</v>
      </c>
      <c r="E138" s="1095">
        <v>77353020</v>
      </c>
    </row>
    <row r="139" spans="1:7" ht="17.25" x14ac:dyDescent="0.4">
      <c r="A139" s="2534">
        <v>4500</v>
      </c>
      <c r="B139" s="2535" t="s">
        <v>1707</v>
      </c>
      <c r="C139" s="2534" t="s">
        <v>1719</v>
      </c>
      <c r="D139" s="1095">
        <v>0</v>
      </c>
      <c r="E139" s="1095">
        <v>27210526</v>
      </c>
    </row>
    <row r="140" spans="1:7" ht="17.25" x14ac:dyDescent="0.4">
      <c r="A140" s="2534">
        <v>4500</v>
      </c>
      <c r="B140" s="2535" t="s">
        <v>1707</v>
      </c>
      <c r="C140" s="2534" t="s">
        <v>1719</v>
      </c>
      <c r="D140" s="1095">
        <v>0</v>
      </c>
      <c r="E140" s="1095">
        <v>3632709</v>
      </c>
    </row>
    <row r="141" spans="1:7" ht="17.25" x14ac:dyDescent="0.4">
      <c r="A141" s="2534">
        <v>4500</v>
      </c>
      <c r="B141" s="2535" t="s">
        <v>1707</v>
      </c>
      <c r="C141" s="2534" t="s">
        <v>1719</v>
      </c>
      <c r="D141" s="1095">
        <v>0</v>
      </c>
      <c r="E141" s="1095">
        <v>1124336</v>
      </c>
    </row>
    <row r="142" spans="1:7" ht="17.25" x14ac:dyDescent="0.4">
      <c r="A142" s="2534">
        <v>3238</v>
      </c>
      <c r="B142" s="2535" t="s">
        <v>1721</v>
      </c>
      <c r="C142" s="2534" t="s">
        <v>1719</v>
      </c>
      <c r="D142" s="1095">
        <v>1637312347</v>
      </c>
      <c r="E142" s="1095">
        <v>0</v>
      </c>
    </row>
    <row r="143" spans="1:7" ht="17.25" x14ac:dyDescent="0.4">
      <c r="A143" s="2534">
        <v>3238</v>
      </c>
      <c r="B143" s="2535" t="s">
        <v>1721</v>
      </c>
      <c r="C143" s="2534" t="s">
        <v>1719</v>
      </c>
      <c r="D143" s="1095">
        <v>0</v>
      </c>
      <c r="E143" s="1095">
        <v>1637312347</v>
      </c>
    </row>
    <row r="144" spans="1:7" ht="17.25" x14ac:dyDescent="0.4">
      <c r="A144" s="2534">
        <v>3236</v>
      </c>
      <c r="B144" s="2535" t="s">
        <v>1721</v>
      </c>
      <c r="C144" s="2534" t="s">
        <v>1719</v>
      </c>
      <c r="D144" s="1095">
        <v>355000000</v>
      </c>
      <c r="E144" s="1095">
        <v>0</v>
      </c>
    </row>
    <row r="145" spans="1:5" ht="17.25" x14ac:dyDescent="0.4">
      <c r="A145" s="2534">
        <v>3236</v>
      </c>
      <c r="B145" s="2535" t="s">
        <v>1721</v>
      </c>
      <c r="C145" s="2534" t="s">
        <v>1719</v>
      </c>
      <c r="D145" s="1095">
        <v>0</v>
      </c>
      <c r="E145" s="1095">
        <v>355000000</v>
      </c>
    </row>
    <row r="146" spans="1:5" ht="17.25" x14ac:dyDescent="0.4">
      <c r="A146" s="2534">
        <v>3236</v>
      </c>
      <c r="B146" s="2535" t="s">
        <v>1721</v>
      </c>
      <c r="C146" s="2534" t="s">
        <v>1719</v>
      </c>
      <c r="D146" s="1095">
        <v>566057240</v>
      </c>
      <c r="E146" s="1095">
        <v>0</v>
      </c>
    </row>
    <row r="147" spans="1:5" ht="17.25" x14ac:dyDescent="0.4">
      <c r="A147" s="2534">
        <v>3236</v>
      </c>
      <c r="B147" s="2535" t="s">
        <v>1721</v>
      </c>
      <c r="C147" s="2534" t="s">
        <v>1719</v>
      </c>
      <c r="D147" s="1095">
        <v>0</v>
      </c>
      <c r="E147" s="1095">
        <v>566057240</v>
      </c>
    </row>
    <row r="148" spans="1:5" ht="17.25" x14ac:dyDescent="0.4">
      <c r="A148" s="2534">
        <v>3236</v>
      </c>
      <c r="B148" s="2535" t="s">
        <v>1721</v>
      </c>
      <c r="C148" s="2534" t="s">
        <v>1719</v>
      </c>
      <c r="D148" s="1095">
        <v>7386813</v>
      </c>
      <c r="E148" s="1095">
        <v>0</v>
      </c>
    </row>
    <row r="149" spans="1:5" ht="17.25" x14ac:dyDescent="0.4">
      <c r="A149" s="2534">
        <v>3236</v>
      </c>
      <c r="B149" s="2535" t="s">
        <v>1721</v>
      </c>
      <c r="C149" s="2534" t="s">
        <v>1719</v>
      </c>
      <c r="D149" s="1095">
        <v>0</v>
      </c>
      <c r="E149" s="1095">
        <v>7386813</v>
      </c>
    </row>
    <row r="150" spans="1:5" ht="17.25" x14ac:dyDescent="0.4">
      <c r="A150" s="2534">
        <v>3236</v>
      </c>
      <c r="B150" s="2535" t="s">
        <v>1721</v>
      </c>
      <c r="C150" s="2534" t="s">
        <v>1719</v>
      </c>
      <c r="D150" s="1095">
        <v>491613187</v>
      </c>
      <c r="E150" s="1095">
        <v>0</v>
      </c>
    </row>
    <row r="151" spans="1:5" ht="17.25" x14ac:dyDescent="0.4">
      <c r="A151" s="2534">
        <v>3236</v>
      </c>
      <c r="B151" s="2535" t="s">
        <v>1721</v>
      </c>
      <c r="C151" s="2534" t="s">
        <v>1719</v>
      </c>
      <c r="D151" s="1095">
        <v>0</v>
      </c>
      <c r="E151" s="1095">
        <v>491613187</v>
      </c>
    </row>
    <row r="152" spans="1:5" ht="17.25" x14ac:dyDescent="0.4">
      <c r="A152" s="2534">
        <v>3921</v>
      </c>
      <c r="B152" s="2535" t="s">
        <v>1722</v>
      </c>
      <c r="C152" s="2534" t="s">
        <v>1719</v>
      </c>
      <c r="D152" s="1095">
        <v>0</v>
      </c>
      <c r="E152" s="1095">
        <v>251898185</v>
      </c>
    </row>
    <row r="153" spans="1:5" ht="17.25" x14ac:dyDescent="0.4">
      <c r="A153" s="2534">
        <v>4319</v>
      </c>
      <c r="B153" s="2535" t="s">
        <v>1723</v>
      </c>
      <c r="C153" s="2534" t="s">
        <v>1724</v>
      </c>
      <c r="D153" s="1095">
        <v>0</v>
      </c>
      <c r="E153" s="1095">
        <v>310834022</v>
      </c>
    </row>
    <row r="154" spans="1:5" ht="17.25" x14ac:dyDescent="0.4">
      <c r="A154" s="2534">
        <v>1126</v>
      </c>
      <c r="B154" s="2535" t="s">
        <v>1725</v>
      </c>
      <c r="C154" s="2534" t="s">
        <v>1726</v>
      </c>
      <c r="D154" s="1095">
        <v>438000000</v>
      </c>
      <c r="E154" s="1095">
        <v>0</v>
      </c>
    </row>
    <row r="155" spans="1:5" ht="17.25" x14ac:dyDescent="0.4">
      <c r="A155" s="2534">
        <v>1126</v>
      </c>
      <c r="B155" s="2535" t="s">
        <v>1725</v>
      </c>
      <c r="C155" s="2534" t="s">
        <v>1726</v>
      </c>
      <c r="D155" s="1095">
        <v>0</v>
      </c>
      <c r="E155" s="1095">
        <v>438000000</v>
      </c>
    </row>
    <row r="156" spans="1:5" ht="17.25" x14ac:dyDescent="0.4">
      <c r="A156" s="2534">
        <v>1126</v>
      </c>
      <c r="B156" s="2535" t="s">
        <v>1725</v>
      </c>
      <c r="C156" s="2534" t="s">
        <v>1726</v>
      </c>
      <c r="D156" s="1095">
        <v>255000000</v>
      </c>
      <c r="E156" s="1095">
        <v>0</v>
      </c>
    </row>
    <row r="157" spans="1:5" ht="17.25" x14ac:dyDescent="0.4">
      <c r="A157" s="2534">
        <v>1126</v>
      </c>
      <c r="B157" s="2535" t="s">
        <v>1725</v>
      </c>
      <c r="C157" s="2534" t="s">
        <v>1726</v>
      </c>
      <c r="D157" s="1095">
        <v>0</v>
      </c>
      <c r="E157" s="1095">
        <v>255000000</v>
      </c>
    </row>
    <row r="158" spans="1:5" ht="17.25" x14ac:dyDescent="0.4">
      <c r="A158" s="2534">
        <v>1126</v>
      </c>
      <c r="B158" s="2535" t="s">
        <v>1725</v>
      </c>
      <c r="C158" s="2534" t="s">
        <v>1726</v>
      </c>
      <c r="D158" s="1095">
        <v>344242</v>
      </c>
      <c r="E158" s="1095">
        <v>0</v>
      </c>
    </row>
    <row r="159" spans="1:5" ht="17.25" x14ac:dyDescent="0.4">
      <c r="A159" s="2534">
        <v>1126</v>
      </c>
      <c r="B159" s="2535" t="s">
        <v>1725</v>
      </c>
      <c r="C159" s="2534" t="s">
        <v>1726</v>
      </c>
      <c r="D159" s="1095">
        <v>0</v>
      </c>
      <c r="E159" s="1095">
        <v>344242</v>
      </c>
    </row>
    <row r="160" spans="1:5" ht="17.25" x14ac:dyDescent="0.4">
      <c r="A160" s="2534">
        <v>2790</v>
      </c>
      <c r="B160" s="2535" t="s">
        <v>1727</v>
      </c>
      <c r="C160" s="2534" t="s">
        <v>1728</v>
      </c>
      <c r="D160" s="1095">
        <v>200000000</v>
      </c>
      <c r="E160" s="1095">
        <v>0</v>
      </c>
    </row>
    <row r="161" spans="1:5" ht="17.25" x14ac:dyDescent="0.4">
      <c r="A161" s="2534">
        <v>2790</v>
      </c>
      <c r="B161" s="2535" t="s">
        <v>1727</v>
      </c>
      <c r="C161" s="2534" t="s">
        <v>1728</v>
      </c>
      <c r="D161" s="1095">
        <v>0</v>
      </c>
      <c r="E161" s="1095">
        <v>200000000</v>
      </c>
    </row>
    <row r="162" spans="1:5" ht="17.25" x14ac:dyDescent="0.4">
      <c r="A162" s="2534">
        <v>1219</v>
      </c>
      <c r="B162" s="2535" t="s">
        <v>1729</v>
      </c>
      <c r="C162" s="2534" t="s">
        <v>1730</v>
      </c>
      <c r="D162" s="1095">
        <v>67728707</v>
      </c>
      <c r="E162" s="1095">
        <v>0</v>
      </c>
    </row>
    <row r="163" spans="1:5" ht="17.25" x14ac:dyDescent="0.4">
      <c r="A163" s="2534">
        <v>3414</v>
      </c>
      <c r="B163" s="2535" t="s">
        <v>1731</v>
      </c>
      <c r="C163" s="2534" t="s">
        <v>1732</v>
      </c>
      <c r="D163" s="1095">
        <v>365002050</v>
      </c>
      <c r="E163" s="1095">
        <v>0</v>
      </c>
    </row>
    <row r="164" spans="1:5" ht="17.25" x14ac:dyDescent="0.4">
      <c r="A164" s="2534">
        <v>297</v>
      </c>
      <c r="B164" s="2535" t="s">
        <v>1733</v>
      </c>
      <c r="C164" s="2534" t="s">
        <v>1734</v>
      </c>
      <c r="D164" s="1095">
        <v>0</v>
      </c>
      <c r="E164" s="1095">
        <v>156869928</v>
      </c>
    </row>
    <row r="165" spans="1:5" ht="17.25" x14ac:dyDescent="0.4">
      <c r="A165" s="2534">
        <v>297</v>
      </c>
      <c r="B165" s="2535" t="s">
        <v>1733</v>
      </c>
      <c r="C165" s="2534" t="s">
        <v>1734</v>
      </c>
      <c r="D165" s="1095">
        <v>156869928</v>
      </c>
      <c r="E165" s="1095">
        <v>0</v>
      </c>
    </row>
    <row r="166" spans="1:5" ht="17.25" x14ac:dyDescent="0.4">
      <c r="A166" s="2534">
        <v>1249</v>
      </c>
      <c r="B166" s="2535" t="s">
        <v>1735</v>
      </c>
      <c r="C166" s="2534" t="s">
        <v>1736</v>
      </c>
      <c r="D166" s="1095">
        <v>68491990</v>
      </c>
      <c r="E166" s="1095">
        <v>0</v>
      </c>
    </row>
    <row r="167" spans="1:5" ht="17.25" x14ac:dyDescent="0.4">
      <c r="A167" s="2534">
        <v>1249</v>
      </c>
      <c r="B167" s="2535" t="s">
        <v>1735</v>
      </c>
      <c r="C167" s="2534" t="s">
        <v>1736</v>
      </c>
      <c r="D167" s="1095">
        <v>0</v>
      </c>
      <c r="E167" s="1095">
        <v>68491990</v>
      </c>
    </row>
    <row r="168" spans="1:5" ht="17.25" x14ac:dyDescent="0.4">
      <c r="A168" s="2534">
        <v>3941</v>
      </c>
      <c r="B168" s="2535" t="s">
        <v>1722</v>
      </c>
      <c r="C168" s="2534" t="s">
        <v>1737</v>
      </c>
      <c r="D168" s="1095">
        <v>13045515</v>
      </c>
      <c r="E168" s="1095">
        <v>0</v>
      </c>
    </row>
    <row r="169" spans="1:5" ht="17.25" x14ac:dyDescent="0.4">
      <c r="A169" s="2534">
        <v>3941</v>
      </c>
      <c r="B169" s="2535" t="s">
        <v>1722</v>
      </c>
      <c r="C169" s="2534" t="s">
        <v>1737</v>
      </c>
      <c r="D169" s="1095">
        <v>0</v>
      </c>
      <c r="E169" s="1095">
        <v>13045515</v>
      </c>
    </row>
    <row r="170" spans="1:5" ht="17.25" x14ac:dyDescent="0.4">
      <c r="A170" s="2534">
        <v>1352</v>
      </c>
      <c r="B170" s="2535" t="s">
        <v>1738</v>
      </c>
      <c r="C170" s="2534" t="s">
        <v>1739</v>
      </c>
      <c r="D170" s="1095">
        <v>14768874</v>
      </c>
      <c r="E170" s="1095">
        <v>0</v>
      </c>
    </row>
    <row r="171" spans="1:5" ht="17.25" x14ac:dyDescent="0.4">
      <c r="A171" s="2534">
        <v>1352</v>
      </c>
      <c r="B171" s="2535" t="s">
        <v>1738</v>
      </c>
      <c r="C171" s="2534" t="s">
        <v>1739</v>
      </c>
      <c r="D171" s="1095">
        <v>0</v>
      </c>
      <c r="E171" s="1095">
        <v>14768874</v>
      </c>
    </row>
    <row r="172" spans="1:5" ht="17.25" x14ac:dyDescent="0.4">
      <c r="A172" s="2534">
        <v>1349</v>
      </c>
      <c r="B172" s="2535" t="s">
        <v>1738</v>
      </c>
      <c r="C172" s="2534" t="s">
        <v>1740</v>
      </c>
      <c r="D172" s="1095">
        <v>8399791</v>
      </c>
      <c r="E172" s="1095">
        <v>0</v>
      </c>
    </row>
    <row r="173" spans="1:5" ht="17.25" x14ac:dyDescent="0.4">
      <c r="A173" s="2534">
        <v>1349</v>
      </c>
      <c r="B173" s="2535" t="s">
        <v>1738</v>
      </c>
      <c r="C173" s="2534" t="s">
        <v>1740</v>
      </c>
      <c r="D173" s="1095">
        <v>0</v>
      </c>
      <c r="E173" s="1095">
        <v>8399791</v>
      </c>
    </row>
    <row r="174" spans="1:5" ht="17.25" x14ac:dyDescent="0.4">
      <c r="A174" s="2534">
        <v>1349</v>
      </c>
      <c r="B174" s="2535" t="s">
        <v>1738</v>
      </c>
      <c r="C174" s="2534" t="s">
        <v>1740</v>
      </c>
      <c r="D174" s="1095">
        <v>49747873</v>
      </c>
      <c r="E174" s="1095">
        <v>0</v>
      </c>
    </row>
    <row r="175" spans="1:5" ht="17.25" x14ac:dyDescent="0.4">
      <c r="A175" s="2534">
        <v>1349</v>
      </c>
      <c r="B175" s="2535" t="s">
        <v>1738</v>
      </c>
      <c r="C175" s="2534" t="s">
        <v>1740</v>
      </c>
      <c r="D175" s="1095">
        <v>0</v>
      </c>
      <c r="E175" s="1095">
        <v>49747873</v>
      </c>
    </row>
    <row r="176" spans="1:5" ht="17.25" x14ac:dyDescent="0.4">
      <c r="A176" s="2534">
        <v>1349</v>
      </c>
      <c r="B176" s="2535" t="s">
        <v>1738</v>
      </c>
      <c r="C176" s="2534" t="s">
        <v>1740</v>
      </c>
      <c r="D176" s="1095">
        <v>13878109</v>
      </c>
      <c r="E176" s="1095">
        <v>0</v>
      </c>
    </row>
    <row r="177" spans="1:5" ht="17.25" x14ac:dyDescent="0.4">
      <c r="A177" s="2534">
        <v>1349</v>
      </c>
      <c r="B177" s="2535" t="s">
        <v>1738</v>
      </c>
      <c r="C177" s="2534" t="s">
        <v>1740</v>
      </c>
      <c r="D177" s="1095">
        <v>0</v>
      </c>
      <c r="E177" s="1095">
        <v>13878109</v>
      </c>
    </row>
    <row r="178" spans="1:5" ht="17.25" x14ac:dyDescent="0.4">
      <c r="A178" s="2534">
        <v>1349</v>
      </c>
      <c r="B178" s="2535" t="s">
        <v>1738</v>
      </c>
      <c r="C178" s="2534" t="s">
        <v>1741</v>
      </c>
      <c r="D178" s="1095">
        <v>9002387</v>
      </c>
      <c r="E178" s="1095">
        <v>0</v>
      </c>
    </row>
    <row r="179" spans="1:5" ht="17.25" x14ac:dyDescent="0.4">
      <c r="A179" s="2534">
        <v>1406</v>
      </c>
      <c r="B179" s="2535" t="s">
        <v>1742</v>
      </c>
      <c r="C179" s="2534" t="s">
        <v>1743</v>
      </c>
      <c r="D179" s="1095">
        <v>1239669422</v>
      </c>
      <c r="E179" s="1095">
        <v>0</v>
      </c>
    </row>
    <row r="180" spans="1:5" ht="17.25" x14ac:dyDescent="0.4">
      <c r="A180" s="2534">
        <v>1406</v>
      </c>
      <c r="B180" s="2535" t="s">
        <v>1742</v>
      </c>
      <c r="C180" s="2534" t="s">
        <v>1743</v>
      </c>
      <c r="D180" s="1095">
        <v>0</v>
      </c>
      <c r="E180" s="1095">
        <v>776121242</v>
      </c>
    </row>
    <row r="181" spans="1:5" ht="17.25" x14ac:dyDescent="0.4">
      <c r="A181" s="2534">
        <v>1406</v>
      </c>
      <c r="B181" s="2535" t="s">
        <v>1742</v>
      </c>
      <c r="C181" s="2534" t="s">
        <v>1743</v>
      </c>
      <c r="D181" s="1095">
        <v>0</v>
      </c>
      <c r="E181" s="1095">
        <v>463548180</v>
      </c>
    </row>
    <row r="182" spans="1:5" ht="17.25" x14ac:dyDescent="0.4">
      <c r="A182" s="2534">
        <v>1406</v>
      </c>
      <c r="B182" s="2535" t="s">
        <v>1742</v>
      </c>
      <c r="C182" s="2534" t="s">
        <v>1743</v>
      </c>
      <c r="D182" s="1095">
        <v>61961974</v>
      </c>
      <c r="E182" s="1095">
        <v>0</v>
      </c>
    </row>
    <row r="183" spans="1:5" ht="17.25" x14ac:dyDescent="0.4">
      <c r="A183" s="2534">
        <v>1406</v>
      </c>
      <c r="B183" s="2535" t="s">
        <v>1742</v>
      </c>
      <c r="C183" s="2534" t="s">
        <v>1743</v>
      </c>
      <c r="D183" s="1095">
        <v>0</v>
      </c>
      <c r="E183" s="1095">
        <v>22022561</v>
      </c>
    </row>
    <row r="184" spans="1:5" ht="17.25" x14ac:dyDescent="0.4">
      <c r="A184" s="2534">
        <v>1406</v>
      </c>
      <c r="B184" s="2535" t="s">
        <v>1742</v>
      </c>
      <c r="C184" s="2534" t="s">
        <v>1743</v>
      </c>
      <c r="D184" s="1095">
        <v>0</v>
      </c>
      <c r="E184" s="1095">
        <v>39939413</v>
      </c>
    </row>
    <row r="185" spans="1:5" ht="17.25" x14ac:dyDescent="0.4">
      <c r="A185" s="2534">
        <v>1325</v>
      </c>
      <c r="B185" s="2535" t="s">
        <v>1744</v>
      </c>
      <c r="C185" s="2534" t="s">
        <v>1745</v>
      </c>
      <c r="D185" s="1095">
        <v>34008140</v>
      </c>
      <c r="E185" s="1095">
        <v>0</v>
      </c>
    </row>
    <row r="186" spans="1:5" ht="17.25" x14ac:dyDescent="0.4">
      <c r="A186" s="2534">
        <v>1325</v>
      </c>
      <c r="B186" s="2535" t="s">
        <v>1744</v>
      </c>
      <c r="C186" s="2534" t="s">
        <v>1745</v>
      </c>
      <c r="D186" s="1095">
        <v>0</v>
      </c>
      <c r="E186" s="1095">
        <v>34008140</v>
      </c>
    </row>
    <row r="187" spans="1:5" ht="17.25" x14ac:dyDescent="0.4">
      <c r="A187" s="2534">
        <v>1333</v>
      </c>
      <c r="B187" s="2535" t="s">
        <v>1744</v>
      </c>
      <c r="C187" s="2534" t="s">
        <v>1746</v>
      </c>
      <c r="D187" s="1095">
        <v>290000000</v>
      </c>
      <c r="E187" s="1095">
        <v>0</v>
      </c>
    </row>
    <row r="188" spans="1:5" ht="17.25" x14ac:dyDescent="0.4">
      <c r="A188" s="2534">
        <v>1333</v>
      </c>
      <c r="B188" s="2535" t="s">
        <v>1744</v>
      </c>
      <c r="C188" s="2534" t="s">
        <v>1746</v>
      </c>
      <c r="D188" s="1095">
        <v>0</v>
      </c>
      <c r="E188" s="1095">
        <v>417487517</v>
      </c>
    </row>
    <row r="189" spans="1:5" ht="17.25" x14ac:dyDescent="0.4">
      <c r="A189" s="2534">
        <v>1333</v>
      </c>
      <c r="B189" s="2535" t="s">
        <v>1744</v>
      </c>
      <c r="C189" s="2534" t="s">
        <v>1746</v>
      </c>
      <c r="D189" s="1095">
        <v>572259408</v>
      </c>
      <c r="E189" s="1095">
        <v>0</v>
      </c>
    </row>
    <row r="190" spans="1:5" ht="17.25" x14ac:dyDescent="0.4">
      <c r="A190" s="2534">
        <v>1333</v>
      </c>
      <c r="B190" s="2535" t="s">
        <v>1744</v>
      </c>
      <c r="C190" s="2534" t="s">
        <v>1746</v>
      </c>
      <c r="D190" s="1095">
        <v>0</v>
      </c>
      <c r="E190" s="1095">
        <v>854801244</v>
      </c>
    </row>
    <row r="191" spans="1:5" ht="17.25" x14ac:dyDescent="0.4">
      <c r="A191" s="2534">
        <v>1333</v>
      </c>
      <c r="B191" s="2535" t="s">
        <v>1744</v>
      </c>
      <c r="C191" s="2534" t="s">
        <v>1746</v>
      </c>
      <c r="D191" s="1095">
        <v>127487517</v>
      </c>
      <c r="E191" s="1095">
        <v>0</v>
      </c>
    </row>
    <row r="192" spans="1:5" ht="17.25" x14ac:dyDescent="0.4">
      <c r="A192" s="2534">
        <v>1333</v>
      </c>
      <c r="B192" s="2535" t="s">
        <v>1744</v>
      </c>
      <c r="C192" s="2534" t="s">
        <v>1746</v>
      </c>
      <c r="D192" s="1095">
        <v>282541836</v>
      </c>
      <c r="E192" s="1095">
        <v>0</v>
      </c>
    </row>
    <row r="193" spans="1:5" ht="17.25" x14ac:dyDescent="0.4">
      <c r="A193" s="2534">
        <v>2226</v>
      </c>
      <c r="B193" s="2535" t="s">
        <v>1747</v>
      </c>
      <c r="C193" s="2534" t="s">
        <v>1748</v>
      </c>
      <c r="D193" s="1095">
        <v>171000000</v>
      </c>
      <c r="E193" s="1095">
        <v>0</v>
      </c>
    </row>
    <row r="194" spans="1:5" ht="17.25" x14ac:dyDescent="0.4">
      <c r="A194" s="2534">
        <v>767</v>
      </c>
      <c r="B194" s="2535" t="s">
        <v>1749</v>
      </c>
      <c r="C194" s="2534" t="s">
        <v>1750</v>
      </c>
      <c r="D194" s="1095">
        <v>263157895</v>
      </c>
      <c r="E194" s="1095">
        <v>0</v>
      </c>
    </row>
    <row r="195" spans="1:5" ht="17.25" x14ac:dyDescent="0.4">
      <c r="A195" s="2534">
        <v>528</v>
      </c>
      <c r="B195" s="2535" t="s">
        <v>1751</v>
      </c>
      <c r="C195" s="2534" t="s">
        <v>1752</v>
      </c>
      <c r="D195" s="1095">
        <v>0</v>
      </c>
      <c r="E195" s="1095">
        <v>34559289</v>
      </c>
    </row>
    <row r="196" spans="1:5" ht="17.25" x14ac:dyDescent="0.4">
      <c r="A196" s="2534">
        <v>336</v>
      </c>
      <c r="B196" s="2535" t="s">
        <v>1753</v>
      </c>
      <c r="C196" s="2534" t="s">
        <v>1752</v>
      </c>
      <c r="D196" s="1095">
        <v>0</v>
      </c>
      <c r="E196" s="1095">
        <v>10743930</v>
      </c>
    </row>
    <row r="197" spans="1:5" ht="17.25" x14ac:dyDescent="0.4">
      <c r="A197" s="2534">
        <v>4201</v>
      </c>
      <c r="B197" s="2535" t="s">
        <v>1754</v>
      </c>
      <c r="C197" s="2534" t="s">
        <v>1755</v>
      </c>
      <c r="D197" s="1095">
        <v>0</v>
      </c>
      <c r="E197" s="1095">
        <v>628701202</v>
      </c>
    </row>
    <row r="198" spans="1:5" ht="17.25" x14ac:dyDescent="0.4">
      <c r="A198" s="2534">
        <v>4201</v>
      </c>
      <c r="B198" s="2535" t="s">
        <v>1754</v>
      </c>
      <c r="C198" s="2534" t="s">
        <v>1756</v>
      </c>
      <c r="D198" s="1095">
        <v>0</v>
      </c>
      <c r="E198" s="1095">
        <v>1340310424</v>
      </c>
    </row>
    <row r="199" spans="1:5" ht="17.25" x14ac:dyDescent="0.4">
      <c r="A199" s="2534">
        <v>4165</v>
      </c>
      <c r="B199" s="2535" t="s">
        <v>1754</v>
      </c>
      <c r="C199" s="2534" t="s">
        <v>1757</v>
      </c>
      <c r="D199" s="1095">
        <v>0</v>
      </c>
      <c r="E199" s="1095">
        <v>44501537</v>
      </c>
    </row>
    <row r="200" spans="1:5" ht="17.25" x14ac:dyDescent="0.4">
      <c r="A200" s="2534">
        <v>4165</v>
      </c>
      <c r="B200" s="2535" t="s">
        <v>1754</v>
      </c>
      <c r="C200" s="2534" t="s">
        <v>1757</v>
      </c>
      <c r="D200" s="1095">
        <v>0</v>
      </c>
      <c r="E200" s="1095">
        <v>195541</v>
      </c>
    </row>
    <row r="201" spans="1:5" ht="17.25" x14ac:dyDescent="0.4">
      <c r="A201" s="2534"/>
      <c r="B201" s="2534"/>
      <c r="C201" s="2534"/>
      <c r="D201" s="1095">
        <f>SUM(D138:D200)</f>
        <v>7759735245</v>
      </c>
      <c r="E201" s="1095">
        <f>SUM(E138:E200)</f>
        <v>9614908927</v>
      </c>
    </row>
    <row r="202" spans="1:5" ht="17.25" x14ac:dyDescent="0.4">
      <c r="A202" s="2115"/>
      <c r="B202" s="2115"/>
      <c r="D202" s="1095">
        <f>D201-D194-D178-D163-D162</f>
        <v>7054844206</v>
      </c>
      <c r="E202" s="2538"/>
    </row>
    <row r="203" spans="1:5" x14ac:dyDescent="0.35">
      <c r="D203" s="2537">
        <f>D201+D135</f>
        <v>60489810261</v>
      </c>
    </row>
    <row r="204" spans="1:5" ht="15.75" x14ac:dyDescent="0.4">
      <c r="D204" s="1090">
        <v>1875190435938</v>
      </c>
    </row>
    <row r="205" spans="1:5" ht="15.75" x14ac:dyDescent="0.4">
      <c r="D205" s="2530">
        <f>D204+F86</f>
        <v>762227573206</v>
      </c>
    </row>
    <row r="206" spans="1:5" x14ac:dyDescent="0.35">
      <c r="D206" s="2537">
        <f>D205-D203</f>
        <v>701737762945</v>
      </c>
    </row>
  </sheetData>
  <mergeCells count="30">
    <mergeCell ref="A109:E109"/>
    <mergeCell ref="G7:G8"/>
    <mergeCell ref="B87:H87"/>
    <mergeCell ref="B6:F6"/>
    <mergeCell ref="B85:C85"/>
    <mergeCell ref="B86:C86"/>
    <mergeCell ref="B52:B53"/>
    <mergeCell ref="H52:H53"/>
    <mergeCell ref="B42:H42"/>
    <mergeCell ref="B46:H46"/>
    <mergeCell ref="C52:C53"/>
    <mergeCell ref="B54:C54"/>
    <mergeCell ref="D52:D53"/>
    <mergeCell ref="B51:F51"/>
    <mergeCell ref="E52:E53"/>
    <mergeCell ref="F52:F53"/>
    <mergeCell ref="B1:H1"/>
    <mergeCell ref="B43:H43"/>
    <mergeCell ref="B44:H44"/>
    <mergeCell ref="B45:H45"/>
    <mergeCell ref="B4:H4"/>
    <mergeCell ref="B3:H3"/>
    <mergeCell ref="B7:B9"/>
    <mergeCell ref="B2:H2"/>
    <mergeCell ref="D7:D8"/>
    <mergeCell ref="H7:H8"/>
    <mergeCell ref="C7:C9"/>
    <mergeCell ref="B41:C41"/>
    <mergeCell ref="E7:E8"/>
    <mergeCell ref="F7:F8"/>
  </mergeCells>
  <printOptions horizontalCentered="1" verticalCentered="1"/>
  <pageMargins left="0.70866141732283505" right="0.70866141732283505" top="0.55118110236220497" bottom="0" header="0.31496062992126" footer="0.31496062992126"/>
  <pageSetup scale="93" fitToWidth="0" fitToHeight="0" orientation="portrait" r:id="rId1"/>
  <rowBreaks count="1" manualBreakCount="1">
    <brk id="42" max="6"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2060"/>
  </sheetPr>
  <dimension ref="B1:N84"/>
  <sheetViews>
    <sheetView rightToLeft="1" view="pageBreakPreview" zoomScale="71" zoomScaleNormal="112" zoomScaleSheetLayoutView="71" workbookViewId="0">
      <selection activeCell="B65" sqref="B65"/>
    </sheetView>
  </sheetViews>
  <sheetFormatPr defaultColWidth="9.140625" defaultRowHeight="18" x14ac:dyDescent="0.4"/>
  <cols>
    <col min="1" max="1" width="1.7109375" style="97" customWidth="1"/>
    <col min="2" max="2" width="34.5703125" style="515" customWidth="1"/>
    <col min="3" max="3" width="10.7109375" style="515" customWidth="1"/>
    <col min="4" max="4" width="13.28515625" style="515" customWidth="1"/>
    <col min="5" max="5" width="12.7109375" style="515" customWidth="1"/>
    <col min="6" max="6" width="13.5703125" style="517" customWidth="1"/>
    <col min="7" max="7" width="6.5703125" style="517" customWidth="1"/>
    <col min="8" max="8" width="14.42578125" style="97" customWidth="1"/>
    <col min="9" max="10" width="9.140625" style="97"/>
    <col min="11" max="11" width="17.42578125" style="97" customWidth="1"/>
    <col min="12" max="16384" width="9.140625" style="97"/>
  </cols>
  <sheetData>
    <row r="1" spans="2:9" ht="13.9" customHeight="1" x14ac:dyDescent="0.45">
      <c r="B1" s="3863" t="s">
        <v>32</v>
      </c>
      <c r="C1" s="3863"/>
      <c r="D1" s="3863"/>
      <c r="E1" s="3863"/>
      <c r="F1" s="3863"/>
      <c r="G1" s="978"/>
    </row>
    <row r="2" spans="2:9" ht="13.9" customHeight="1" x14ac:dyDescent="0.45">
      <c r="B2" s="3863" t="s">
        <v>45</v>
      </c>
      <c r="C2" s="3863"/>
      <c r="D2" s="3863"/>
      <c r="E2" s="3863"/>
      <c r="F2" s="3863"/>
      <c r="G2" s="978"/>
    </row>
    <row r="3" spans="2:9" ht="13.9" customHeight="1" x14ac:dyDescent="0.45">
      <c r="B3" s="3863" t="s">
        <v>46</v>
      </c>
      <c r="C3" s="3863"/>
      <c r="D3" s="3863"/>
      <c r="E3" s="3863"/>
      <c r="F3" s="3863"/>
      <c r="G3" s="978"/>
    </row>
    <row r="4" spans="2:9" ht="13.9" customHeight="1" x14ac:dyDescent="0.4">
      <c r="B4" s="3057" t="s">
        <v>1998</v>
      </c>
      <c r="C4" s="3057"/>
      <c r="D4" s="3057"/>
      <c r="E4" s="3057"/>
      <c r="F4" s="3057"/>
      <c r="G4" s="937"/>
    </row>
    <row r="5" spans="2:9" ht="9.75" customHeight="1" x14ac:dyDescent="0.4">
      <c r="B5" s="937"/>
      <c r="C5" s="937"/>
      <c r="D5" s="937"/>
      <c r="E5" s="937"/>
      <c r="F5" s="937"/>
      <c r="G5" s="937"/>
    </row>
    <row r="6" spans="2:9" ht="18.75" x14ac:dyDescent="0.4">
      <c r="B6" s="3864" t="s">
        <v>1835</v>
      </c>
      <c r="C6" s="3864"/>
      <c r="D6" s="3864"/>
      <c r="E6" s="3864"/>
      <c r="F6" s="3864"/>
      <c r="G6" s="975"/>
    </row>
    <row r="7" spans="2:9" ht="9" customHeight="1" x14ac:dyDescent="0.4">
      <c r="B7" s="3861" t="s">
        <v>1122</v>
      </c>
      <c r="C7" s="3862" t="s">
        <v>1397</v>
      </c>
      <c r="D7" s="3865" t="s">
        <v>906</v>
      </c>
      <c r="E7" s="3865" t="s">
        <v>907</v>
      </c>
      <c r="F7" s="3862" t="s">
        <v>1986</v>
      </c>
      <c r="G7" s="499"/>
    </row>
    <row r="8" spans="2:9" ht="21.75" customHeight="1" x14ac:dyDescent="0.4">
      <c r="B8" s="3861"/>
      <c r="C8" s="3862"/>
      <c r="D8" s="3866"/>
      <c r="E8" s="3866"/>
      <c r="F8" s="3862"/>
      <c r="G8" s="499"/>
    </row>
    <row r="9" spans="2:9" ht="12" customHeight="1" x14ac:dyDescent="0.4">
      <c r="B9" s="1363" t="s">
        <v>398</v>
      </c>
      <c r="C9" s="1364">
        <v>72744447098</v>
      </c>
      <c r="D9" s="1364">
        <v>238586922425</v>
      </c>
      <c r="E9" s="1364">
        <v>-45024046808</v>
      </c>
      <c r="F9" s="1365">
        <v>266307322715</v>
      </c>
      <c r="G9" s="321"/>
      <c r="H9" s="518">
        <f t="shared" ref="H9:H48" si="0">SUM(C9:E9)</f>
        <v>266307322715</v>
      </c>
      <c r="I9" s="518">
        <f>F9-H9</f>
        <v>0</v>
      </c>
    </row>
    <row r="10" spans="2:9" ht="12" customHeight="1" x14ac:dyDescent="0.4">
      <c r="B10" s="1363" t="s">
        <v>1549</v>
      </c>
      <c r="C10" s="1364">
        <v>127162243686</v>
      </c>
      <c r="D10" s="1364">
        <v>102043724391</v>
      </c>
      <c r="E10" s="1364">
        <v>-21664243395</v>
      </c>
      <c r="F10" s="1365">
        <v>207541724682</v>
      </c>
      <c r="G10" s="321"/>
      <c r="H10" s="518">
        <f t="shared" si="0"/>
        <v>207541724682</v>
      </c>
      <c r="I10" s="518">
        <f t="shared" ref="I10:I51" si="1">F10-H10</f>
        <v>0</v>
      </c>
    </row>
    <row r="11" spans="2:9" ht="12" customHeight="1" x14ac:dyDescent="0.4">
      <c r="B11" s="1363" t="s">
        <v>388</v>
      </c>
      <c r="C11" s="1364">
        <v>40106330481</v>
      </c>
      <c r="D11" s="1364">
        <v>95924843770</v>
      </c>
      <c r="E11" s="1364">
        <v>-31542988589</v>
      </c>
      <c r="F11" s="1365">
        <v>104488185662</v>
      </c>
      <c r="G11" s="321"/>
      <c r="H11" s="518">
        <f t="shared" si="0"/>
        <v>104488185662</v>
      </c>
      <c r="I11" s="518">
        <f t="shared" si="1"/>
        <v>0</v>
      </c>
    </row>
    <row r="12" spans="2:9" ht="12" customHeight="1" x14ac:dyDescent="0.4">
      <c r="B12" s="1363" t="s">
        <v>1092</v>
      </c>
      <c r="C12" s="1364">
        <v>43953890024</v>
      </c>
      <c r="D12" s="1364">
        <v>25223342048</v>
      </c>
      <c r="E12" s="1364">
        <v>0</v>
      </c>
      <c r="F12" s="1365">
        <v>69177232072</v>
      </c>
      <c r="G12" s="321"/>
      <c r="H12" s="518">
        <f t="shared" si="0"/>
        <v>69177232072</v>
      </c>
      <c r="I12" s="518">
        <f t="shared" si="1"/>
        <v>0</v>
      </c>
    </row>
    <row r="13" spans="2:9" ht="12" customHeight="1" x14ac:dyDescent="0.4">
      <c r="B13" s="1363" t="s">
        <v>1166</v>
      </c>
      <c r="C13" s="1364">
        <v>75235456103</v>
      </c>
      <c r="D13" s="1364">
        <v>108320082696</v>
      </c>
      <c r="E13" s="1364">
        <v>-117226629349</v>
      </c>
      <c r="F13" s="1365">
        <v>66328909450</v>
      </c>
      <c r="G13" s="321"/>
      <c r="H13" s="518">
        <f t="shared" si="0"/>
        <v>66328909450</v>
      </c>
      <c r="I13" s="518">
        <f t="shared" si="1"/>
        <v>0</v>
      </c>
    </row>
    <row r="14" spans="2:9" ht="12" customHeight="1" x14ac:dyDescent="0.4">
      <c r="B14" s="1363" t="s">
        <v>1411</v>
      </c>
      <c r="C14" s="1364">
        <v>6640000000</v>
      </c>
      <c r="D14" s="1364">
        <v>43421390811</v>
      </c>
      <c r="E14" s="1364">
        <v>-2640000000</v>
      </c>
      <c r="F14" s="1365">
        <v>47421390811</v>
      </c>
      <c r="G14" s="321"/>
      <c r="H14" s="518">
        <f t="shared" si="0"/>
        <v>47421390811</v>
      </c>
      <c r="I14" s="518">
        <f t="shared" si="1"/>
        <v>0</v>
      </c>
    </row>
    <row r="15" spans="2:9" ht="12" customHeight="1" x14ac:dyDescent="0.4">
      <c r="B15" s="1363" t="s">
        <v>1427</v>
      </c>
      <c r="C15" s="1364">
        <v>8401939480</v>
      </c>
      <c r="D15" s="1364">
        <v>30770057693</v>
      </c>
      <c r="E15" s="1364">
        <v>0</v>
      </c>
      <c r="F15" s="1365">
        <v>39171997173</v>
      </c>
      <c r="G15" s="321"/>
      <c r="H15" s="518">
        <f t="shared" si="0"/>
        <v>39171997173</v>
      </c>
      <c r="I15" s="518">
        <f t="shared" si="1"/>
        <v>0</v>
      </c>
    </row>
    <row r="16" spans="2:9" ht="12" customHeight="1" x14ac:dyDescent="0.4">
      <c r="B16" s="1363" t="s">
        <v>654</v>
      </c>
      <c r="C16" s="1364">
        <v>24088368618</v>
      </c>
      <c r="D16" s="1364">
        <v>18310024468</v>
      </c>
      <c r="E16" s="1364">
        <v>-3390000000</v>
      </c>
      <c r="F16" s="1365">
        <v>39008393086</v>
      </c>
      <c r="G16" s="321"/>
      <c r="H16" s="518">
        <f t="shared" si="0"/>
        <v>39008393086</v>
      </c>
      <c r="I16" s="518">
        <f t="shared" si="1"/>
        <v>0</v>
      </c>
    </row>
    <row r="17" spans="2:9" ht="12" customHeight="1" x14ac:dyDescent="0.4">
      <c r="B17" s="1363" t="s">
        <v>407</v>
      </c>
      <c r="C17" s="1364">
        <v>35965200192</v>
      </c>
      <c r="D17" s="1364">
        <v>0</v>
      </c>
      <c r="E17" s="1364">
        <v>0</v>
      </c>
      <c r="F17" s="1365">
        <v>35965200192</v>
      </c>
      <c r="G17" s="321"/>
      <c r="H17" s="518">
        <f t="shared" si="0"/>
        <v>35965200192</v>
      </c>
      <c r="I17" s="518">
        <f t="shared" si="1"/>
        <v>0</v>
      </c>
    </row>
    <row r="18" spans="2:9" ht="12" customHeight="1" x14ac:dyDescent="0.4">
      <c r="B18" s="1363" t="s">
        <v>1164</v>
      </c>
      <c r="C18" s="1364">
        <v>28828077011</v>
      </c>
      <c r="D18" s="1364">
        <v>94433739130</v>
      </c>
      <c r="E18" s="1364">
        <v>-90129034906</v>
      </c>
      <c r="F18" s="1365">
        <v>33132781235</v>
      </c>
      <c r="G18" s="321"/>
      <c r="H18" s="518">
        <f t="shared" si="0"/>
        <v>33132781235</v>
      </c>
      <c r="I18" s="518">
        <f t="shared" si="1"/>
        <v>0</v>
      </c>
    </row>
    <row r="19" spans="2:9" ht="12" customHeight="1" x14ac:dyDescent="0.4">
      <c r="B19" s="1363" t="s">
        <v>1163</v>
      </c>
      <c r="C19" s="1364">
        <v>18438900107</v>
      </c>
      <c r="D19" s="1364">
        <v>16051732393</v>
      </c>
      <c r="E19" s="1364">
        <v>-2000000000</v>
      </c>
      <c r="F19" s="1365">
        <v>32490632500</v>
      </c>
      <c r="G19" s="321"/>
      <c r="H19" s="518">
        <f t="shared" si="0"/>
        <v>32490632500</v>
      </c>
      <c r="I19" s="518">
        <f t="shared" si="1"/>
        <v>0</v>
      </c>
    </row>
    <row r="20" spans="2:9" ht="12" customHeight="1" x14ac:dyDescent="0.4">
      <c r="B20" s="1363" t="s">
        <v>657</v>
      </c>
      <c r="C20" s="1364">
        <v>16350542989</v>
      </c>
      <c r="D20" s="1364">
        <v>16307782618</v>
      </c>
      <c r="E20" s="1364">
        <v>-891930316</v>
      </c>
      <c r="F20" s="1365">
        <v>31766395291</v>
      </c>
      <c r="G20" s="321"/>
      <c r="H20" s="518">
        <f t="shared" si="0"/>
        <v>31766395291</v>
      </c>
      <c r="I20" s="518">
        <f t="shared" si="1"/>
        <v>0</v>
      </c>
    </row>
    <row r="21" spans="2:9" ht="12" customHeight="1" x14ac:dyDescent="0.4">
      <c r="B21" s="1363" t="s">
        <v>1094</v>
      </c>
      <c r="C21" s="1364">
        <v>14774516056</v>
      </c>
      <c r="D21" s="1364">
        <v>19463925946</v>
      </c>
      <c r="E21" s="1364">
        <v>-3050499092</v>
      </c>
      <c r="F21" s="1365">
        <v>31187942910</v>
      </c>
      <c r="G21" s="321"/>
      <c r="H21" s="518">
        <f t="shared" si="0"/>
        <v>31187942910</v>
      </c>
      <c r="I21" s="518">
        <f t="shared" si="1"/>
        <v>0</v>
      </c>
    </row>
    <row r="22" spans="2:9" ht="12" customHeight="1" x14ac:dyDescent="0.4">
      <c r="B22" s="1363" t="s">
        <v>390</v>
      </c>
      <c r="C22" s="1364">
        <v>24042196843</v>
      </c>
      <c r="D22" s="1364">
        <v>3526447301</v>
      </c>
      <c r="E22" s="1364">
        <v>0</v>
      </c>
      <c r="F22" s="1365">
        <v>27568644144</v>
      </c>
      <c r="G22" s="321"/>
      <c r="H22" s="518">
        <f t="shared" si="0"/>
        <v>27568644144</v>
      </c>
      <c r="I22" s="518">
        <f t="shared" si="1"/>
        <v>0</v>
      </c>
    </row>
    <row r="23" spans="2:9" ht="12" customHeight="1" x14ac:dyDescent="0.4">
      <c r="B23" s="1363" t="s">
        <v>1165</v>
      </c>
      <c r="C23" s="1364">
        <v>26029579202</v>
      </c>
      <c r="D23" s="1364">
        <v>28435131920</v>
      </c>
      <c r="E23" s="1364">
        <v>-32382156351</v>
      </c>
      <c r="F23" s="1365">
        <v>22082554771</v>
      </c>
      <c r="G23" s="321"/>
      <c r="H23" s="518">
        <f t="shared" si="0"/>
        <v>22082554771</v>
      </c>
      <c r="I23" s="518">
        <f t="shared" si="1"/>
        <v>0</v>
      </c>
    </row>
    <row r="24" spans="2:9" ht="12" customHeight="1" x14ac:dyDescent="0.4">
      <c r="B24" s="1363" t="s">
        <v>396</v>
      </c>
      <c r="C24" s="1364">
        <v>18262281465</v>
      </c>
      <c r="D24" s="1364">
        <v>4223570111</v>
      </c>
      <c r="E24" s="1364">
        <v>-649889908</v>
      </c>
      <c r="F24" s="1365">
        <v>21835961668</v>
      </c>
      <c r="G24" s="321"/>
      <c r="H24" s="518">
        <f t="shared" si="0"/>
        <v>21835961668</v>
      </c>
      <c r="I24" s="518">
        <f t="shared" si="1"/>
        <v>0</v>
      </c>
    </row>
    <row r="25" spans="2:9" ht="12" customHeight="1" x14ac:dyDescent="0.4">
      <c r="B25" s="1363" t="s">
        <v>648</v>
      </c>
      <c r="C25" s="1364">
        <v>17855600460</v>
      </c>
      <c r="D25" s="1364">
        <v>2392359762</v>
      </c>
      <c r="E25" s="1364">
        <v>0</v>
      </c>
      <c r="F25" s="1365">
        <v>20247960222</v>
      </c>
      <c r="G25" s="321"/>
      <c r="H25" s="518">
        <f t="shared" si="0"/>
        <v>20247960222</v>
      </c>
      <c r="I25" s="518">
        <f t="shared" si="1"/>
        <v>0</v>
      </c>
    </row>
    <row r="26" spans="2:9" ht="12" customHeight="1" x14ac:dyDescent="0.4">
      <c r="B26" s="1363" t="s">
        <v>2165</v>
      </c>
      <c r="C26" s="1364">
        <v>0</v>
      </c>
      <c r="D26" s="1364">
        <v>20190435090</v>
      </c>
      <c r="E26" s="1364">
        <v>0</v>
      </c>
      <c r="F26" s="1365">
        <v>20190435090</v>
      </c>
      <c r="G26" s="321"/>
      <c r="H26" s="518">
        <f t="shared" si="0"/>
        <v>20190435090</v>
      </c>
      <c r="I26" s="518">
        <f t="shared" si="1"/>
        <v>0</v>
      </c>
    </row>
    <row r="27" spans="2:9" ht="12" customHeight="1" x14ac:dyDescent="0.4">
      <c r="B27" s="1363" t="s">
        <v>593</v>
      </c>
      <c r="C27" s="1364">
        <v>16062566578</v>
      </c>
      <c r="D27" s="1364">
        <v>4298670335</v>
      </c>
      <c r="E27" s="1364">
        <v>-214362198</v>
      </c>
      <c r="F27" s="1365">
        <v>20146874715</v>
      </c>
      <c r="G27" s="321"/>
      <c r="H27" s="518">
        <f t="shared" si="0"/>
        <v>20146874715</v>
      </c>
      <c r="I27" s="518">
        <f t="shared" si="1"/>
        <v>0</v>
      </c>
    </row>
    <row r="28" spans="2:9" ht="12" customHeight="1" x14ac:dyDescent="0.4">
      <c r="B28" s="1363" t="s">
        <v>1413</v>
      </c>
      <c r="C28" s="1364">
        <v>6957874798</v>
      </c>
      <c r="D28" s="1364">
        <v>11294712260</v>
      </c>
      <c r="E28" s="1364">
        <v>-837034721</v>
      </c>
      <c r="F28" s="1365">
        <v>17415552337</v>
      </c>
      <c r="G28" s="321"/>
      <c r="H28" s="518">
        <f t="shared" si="0"/>
        <v>17415552337</v>
      </c>
      <c r="I28" s="518">
        <f t="shared" si="1"/>
        <v>0</v>
      </c>
    </row>
    <row r="29" spans="2:9" ht="12" customHeight="1" x14ac:dyDescent="0.4">
      <c r="B29" s="1363" t="s">
        <v>1469</v>
      </c>
      <c r="C29" s="1364">
        <v>8822704853</v>
      </c>
      <c r="D29" s="1364">
        <v>9829064639</v>
      </c>
      <c r="E29" s="1364">
        <v>-1337977592</v>
      </c>
      <c r="F29" s="1365">
        <v>17313791900</v>
      </c>
      <c r="G29" s="321"/>
      <c r="H29" s="518">
        <f t="shared" si="0"/>
        <v>17313791900</v>
      </c>
      <c r="I29" s="518">
        <f t="shared" si="1"/>
        <v>0</v>
      </c>
    </row>
    <row r="30" spans="2:9" ht="12" customHeight="1" x14ac:dyDescent="0.4">
      <c r="B30" s="1363" t="s">
        <v>1168</v>
      </c>
      <c r="C30" s="1364">
        <v>5858083251</v>
      </c>
      <c r="D30" s="1364">
        <v>11448630379</v>
      </c>
      <c r="E30" s="1364">
        <v>-689473684</v>
      </c>
      <c r="F30" s="1365">
        <v>16617239946</v>
      </c>
      <c r="G30" s="321"/>
      <c r="H30" s="518">
        <f t="shared" si="0"/>
        <v>16617239946</v>
      </c>
      <c r="I30" s="518">
        <f t="shared" si="1"/>
        <v>0</v>
      </c>
    </row>
    <row r="31" spans="2:9" ht="12" customHeight="1" x14ac:dyDescent="0.4">
      <c r="B31" s="1363" t="s">
        <v>649</v>
      </c>
      <c r="C31" s="1364">
        <v>11761330737</v>
      </c>
      <c r="D31" s="1364">
        <v>5117789474</v>
      </c>
      <c r="E31" s="1364">
        <v>-289473685</v>
      </c>
      <c r="F31" s="1365">
        <v>16589646526</v>
      </c>
      <c r="G31" s="321"/>
      <c r="H31" s="518">
        <f t="shared" si="0"/>
        <v>16589646526</v>
      </c>
      <c r="I31" s="518">
        <f t="shared" si="1"/>
        <v>0</v>
      </c>
    </row>
    <row r="32" spans="2:9" ht="12" customHeight="1" x14ac:dyDescent="0.4">
      <c r="B32" s="1363" t="s">
        <v>394</v>
      </c>
      <c r="C32" s="1364">
        <v>14357757256</v>
      </c>
      <c r="D32" s="1364">
        <v>7216924119</v>
      </c>
      <c r="E32" s="1364">
        <v>-5736738209</v>
      </c>
      <c r="F32" s="1365">
        <v>15837943166</v>
      </c>
      <c r="G32" s="321"/>
      <c r="H32" s="518">
        <f t="shared" si="0"/>
        <v>15837943166</v>
      </c>
      <c r="I32" s="518">
        <f t="shared" si="1"/>
        <v>0</v>
      </c>
    </row>
    <row r="33" spans="2:14" ht="12" customHeight="1" x14ac:dyDescent="0.4">
      <c r="B33" s="1363" t="s">
        <v>391</v>
      </c>
      <c r="C33" s="1364">
        <v>14115571860</v>
      </c>
      <c r="D33" s="1364">
        <v>1614172299</v>
      </c>
      <c r="E33" s="1364">
        <v>0</v>
      </c>
      <c r="F33" s="1365">
        <v>15729744159</v>
      </c>
      <c r="G33" s="321"/>
      <c r="H33" s="518">
        <f t="shared" si="0"/>
        <v>15729744159</v>
      </c>
      <c r="I33" s="518">
        <f t="shared" si="1"/>
        <v>0</v>
      </c>
    </row>
    <row r="34" spans="2:14" ht="12" customHeight="1" x14ac:dyDescent="0.4">
      <c r="B34" s="1363" t="s">
        <v>1172</v>
      </c>
      <c r="C34" s="1364">
        <v>12322928369</v>
      </c>
      <c r="D34" s="1364">
        <v>3269330500</v>
      </c>
      <c r="E34" s="1364">
        <v>-223835756</v>
      </c>
      <c r="F34" s="1365">
        <v>15368423113</v>
      </c>
      <c r="G34" s="321"/>
      <c r="H34" s="518">
        <f t="shared" si="0"/>
        <v>15368423113</v>
      </c>
      <c r="I34" s="518">
        <f t="shared" si="1"/>
        <v>0</v>
      </c>
    </row>
    <row r="35" spans="2:14" ht="12" customHeight="1" x14ac:dyDescent="0.4">
      <c r="B35" s="1363" t="s">
        <v>1174</v>
      </c>
      <c r="C35" s="1364">
        <v>11961000186</v>
      </c>
      <c r="D35" s="1364">
        <v>6978650455</v>
      </c>
      <c r="E35" s="1364">
        <v>-4230234628</v>
      </c>
      <c r="F35" s="1365">
        <v>14709416013</v>
      </c>
      <c r="G35" s="321"/>
      <c r="H35" s="518">
        <f t="shared" si="0"/>
        <v>14709416013</v>
      </c>
      <c r="I35" s="518">
        <f t="shared" si="1"/>
        <v>0</v>
      </c>
    </row>
    <row r="36" spans="2:14" ht="12" customHeight="1" x14ac:dyDescent="0.4">
      <c r="B36" s="1363" t="s">
        <v>1093</v>
      </c>
      <c r="C36" s="1364">
        <v>10519962437</v>
      </c>
      <c r="D36" s="1364">
        <v>4546000000</v>
      </c>
      <c r="E36" s="1364">
        <v>-1815978469</v>
      </c>
      <c r="F36" s="1365">
        <v>13249983968</v>
      </c>
      <c r="G36" s="321"/>
      <c r="H36" s="518">
        <f t="shared" si="0"/>
        <v>13249983968</v>
      </c>
      <c r="I36" s="518">
        <f t="shared" si="1"/>
        <v>0</v>
      </c>
    </row>
    <row r="37" spans="2:14" ht="12" customHeight="1" x14ac:dyDescent="0.4">
      <c r="B37" s="1363" t="s">
        <v>1095</v>
      </c>
      <c r="C37" s="1364">
        <v>14386594626</v>
      </c>
      <c r="D37" s="1364">
        <v>20436771398</v>
      </c>
      <c r="E37" s="1364">
        <v>-21636929568</v>
      </c>
      <c r="F37" s="1365">
        <v>13186436456</v>
      </c>
      <c r="G37" s="321"/>
      <c r="H37" s="518">
        <f t="shared" si="0"/>
        <v>13186436456</v>
      </c>
      <c r="I37" s="518">
        <f t="shared" si="1"/>
        <v>0</v>
      </c>
    </row>
    <row r="38" spans="2:14" ht="12" customHeight="1" x14ac:dyDescent="0.4">
      <c r="B38" s="1363" t="s">
        <v>393</v>
      </c>
      <c r="C38" s="1364">
        <v>10533489236</v>
      </c>
      <c r="D38" s="1364">
        <v>3077281886</v>
      </c>
      <c r="E38" s="1364">
        <v>-1564209253</v>
      </c>
      <c r="F38" s="1365">
        <v>12046561869</v>
      </c>
      <c r="G38" s="321"/>
      <c r="H38" s="518">
        <f t="shared" si="0"/>
        <v>12046561869</v>
      </c>
      <c r="I38" s="518">
        <f t="shared" si="1"/>
        <v>0</v>
      </c>
    </row>
    <row r="39" spans="2:14" ht="12" customHeight="1" x14ac:dyDescent="0.4">
      <c r="B39" s="1363" t="s">
        <v>1167</v>
      </c>
      <c r="C39" s="1364">
        <v>9263565865</v>
      </c>
      <c r="D39" s="1364">
        <v>13971303191</v>
      </c>
      <c r="E39" s="1364">
        <v>-11900756267</v>
      </c>
      <c r="F39" s="1365">
        <v>11334112789</v>
      </c>
      <c r="G39" s="321"/>
      <c r="H39" s="518">
        <f t="shared" si="0"/>
        <v>11334112789</v>
      </c>
      <c r="I39" s="518">
        <f t="shared" si="1"/>
        <v>0</v>
      </c>
    </row>
    <row r="40" spans="2:14" ht="12" customHeight="1" x14ac:dyDescent="0.4">
      <c r="B40" s="1363" t="s">
        <v>1169</v>
      </c>
      <c r="C40" s="1364">
        <v>9594877288</v>
      </c>
      <c r="D40" s="1364">
        <v>1690000000</v>
      </c>
      <c r="E40" s="1364">
        <v>0</v>
      </c>
      <c r="F40" s="1365">
        <v>11284877288</v>
      </c>
      <c r="G40" s="321"/>
      <c r="H40" s="518">
        <f t="shared" si="0"/>
        <v>11284877288</v>
      </c>
      <c r="I40" s="518">
        <f t="shared" si="1"/>
        <v>0</v>
      </c>
    </row>
    <row r="41" spans="2:14" ht="12" customHeight="1" x14ac:dyDescent="0.4">
      <c r="B41" s="1363" t="s">
        <v>1091</v>
      </c>
      <c r="C41" s="1364">
        <v>4785155645</v>
      </c>
      <c r="D41" s="1364">
        <v>6241805419</v>
      </c>
      <c r="E41" s="1364">
        <v>0</v>
      </c>
      <c r="F41" s="1365">
        <v>11026961064</v>
      </c>
      <c r="G41" s="321"/>
      <c r="H41" s="518">
        <f t="shared" si="0"/>
        <v>11026961064</v>
      </c>
      <c r="I41" s="518">
        <f t="shared" si="1"/>
        <v>0</v>
      </c>
    </row>
    <row r="42" spans="2:14" ht="12" customHeight="1" x14ac:dyDescent="0.4">
      <c r="B42" s="1363" t="s">
        <v>1464</v>
      </c>
      <c r="C42" s="1364">
        <v>5165829324</v>
      </c>
      <c r="D42" s="1364">
        <v>5631843027</v>
      </c>
      <c r="E42" s="1364">
        <v>-54257983</v>
      </c>
      <c r="F42" s="1365">
        <v>10743414368</v>
      </c>
      <c r="G42" s="321"/>
      <c r="H42" s="518">
        <f t="shared" si="0"/>
        <v>10743414368</v>
      </c>
      <c r="I42" s="518">
        <f t="shared" si="1"/>
        <v>0</v>
      </c>
    </row>
    <row r="43" spans="2:14" ht="12" customHeight="1" x14ac:dyDescent="0.4">
      <c r="B43" s="1363" t="s">
        <v>1788</v>
      </c>
      <c r="C43" s="1364">
        <v>5415267676</v>
      </c>
      <c r="D43" s="1364">
        <v>4897091411</v>
      </c>
      <c r="E43" s="1364">
        <v>0</v>
      </c>
      <c r="F43" s="1365">
        <v>10312359087</v>
      </c>
      <c r="G43" s="321"/>
      <c r="H43" s="518">
        <f t="shared" si="0"/>
        <v>10312359087</v>
      </c>
      <c r="I43" s="518">
        <f t="shared" si="1"/>
        <v>0</v>
      </c>
    </row>
    <row r="44" spans="2:14" ht="12" customHeight="1" x14ac:dyDescent="0.4">
      <c r="B44" s="1363" t="s">
        <v>402</v>
      </c>
      <c r="C44" s="1364">
        <v>17064845180</v>
      </c>
      <c r="D44" s="1364">
        <v>5438222588</v>
      </c>
      <c r="E44" s="1364">
        <v>-12593111844</v>
      </c>
      <c r="F44" s="1365">
        <v>9909955924</v>
      </c>
      <c r="G44" s="321"/>
      <c r="H44" s="518">
        <f t="shared" si="0"/>
        <v>9909955924</v>
      </c>
      <c r="I44" s="518">
        <f t="shared" si="1"/>
        <v>0</v>
      </c>
      <c r="K44" s="1364"/>
      <c r="L44" s="1364"/>
      <c r="M44" s="1364"/>
      <c r="N44" s="1365"/>
    </row>
    <row r="45" spans="2:14" ht="12" customHeight="1" x14ac:dyDescent="0.4">
      <c r="B45" s="1363" t="s">
        <v>1088</v>
      </c>
      <c r="C45" s="1364">
        <v>7372508719</v>
      </c>
      <c r="D45" s="1364">
        <v>2270000000</v>
      </c>
      <c r="E45" s="1364">
        <v>0</v>
      </c>
      <c r="F45" s="1365">
        <v>9642508719</v>
      </c>
      <c r="G45" s="321"/>
      <c r="H45" s="518">
        <f t="shared" si="0"/>
        <v>9642508719</v>
      </c>
      <c r="I45" s="518">
        <f t="shared" si="1"/>
        <v>0</v>
      </c>
    </row>
    <row r="46" spans="2:14" ht="12" customHeight="1" x14ac:dyDescent="0.4">
      <c r="B46" s="1363" t="s">
        <v>1239</v>
      </c>
      <c r="C46" s="1364">
        <v>8474862780</v>
      </c>
      <c r="D46" s="1364">
        <v>697000000</v>
      </c>
      <c r="E46" s="1364">
        <v>0</v>
      </c>
      <c r="F46" s="1365">
        <v>9171862780</v>
      </c>
      <c r="G46" s="321"/>
      <c r="H46" s="518">
        <f t="shared" si="0"/>
        <v>9171862780</v>
      </c>
      <c r="I46" s="518">
        <f t="shared" si="1"/>
        <v>0</v>
      </c>
    </row>
    <row r="47" spans="2:14" ht="12" customHeight="1" x14ac:dyDescent="0.4">
      <c r="B47" s="1363" t="s">
        <v>1489</v>
      </c>
      <c r="C47" s="1364">
        <v>8403556081</v>
      </c>
      <c r="D47" s="1364">
        <v>3232754760</v>
      </c>
      <c r="E47" s="1364">
        <v>-2636312404</v>
      </c>
      <c r="F47" s="1365">
        <v>8999998437</v>
      </c>
      <c r="G47" s="321"/>
      <c r="H47" s="518">
        <f t="shared" si="0"/>
        <v>8999998437</v>
      </c>
      <c r="I47" s="518">
        <f t="shared" si="1"/>
        <v>0</v>
      </c>
    </row>
    <row r="48" spans="2:14" ht="12" customHeight="1" x14ac:dyDescent="0.4">
      <c r="B48" s="1363" t="s">
        <v>2170</v>
      </c>
      <c r="C48" s="1364">
        <v>3656550376</v>
      </c>
      <c r="D48" s="1364">
        <v>9833764490</v>
      </c>
      <c r="E48" s="1364">
        <v>-5020627245</v>
      </c>
      <c r="F48" s="1365">
        <v>8469687621</v>
      </c>
      <c r="G48" s="321"/>
      <c r="H48" s="518">
        <f t="shared" si="0"/>
        <v>8469687621</v>
      </c>
      <c r="I48" s="518">
        <f t="shared" si="1"/>
        <v>0</v>
      </c>
    </row>
    <row r="49" spans="2:9" ht="12" customHeight="1" x14ac:dyDescent="0.4">
      <c r="B49" s="1363" t="s">
        <v>1511</v>
      </c>
      <c r="C49" s="513">
        <v>5751056940</v>
      </c>
      <c r="D49" s="513">
        <v>3543631400</v>
      </c>
      <c r="E49" s="753">
        <v>-835441110</v>
      </c>
      <c r="F49" s="513">
        <v>8459247230</v>
      </c>
      <c r="G49" s="321"/>
      <c r="H49" s="518"/>
      <c r="I49" s="518">
        <f t="shared" si="1"/>
        <v>8459247230</v>
      </c>
    </row>
    <row r="50" spans="2:9" ht="12" customHeight="1" x14ac:dyDescent="0.4">
      <c r="B50" s="1363" t="s">
        <v>1452</v>
      </c>
      <c r="C50" s="1364">
        <v>2507763301</v>
      </c>
      <c r="D50" s="1364">
        <v>19141493788</v>
      </c>
      <c r="E50" s="1364">
        <v>-13477529618</v>
      </c>
      <c r="F50" s="1365">
        <v>8171727471</v>
      </c>
      <c r="G50" s="321"/>
      <c r="H50" s="518"/>
      <c r="I50" s="518">
        <f t="shared" si="1"/>
        <v>8171727471</v>
      </c>
    </row>
    <row r="51" spans="2:9" ht="12" customHeight="1" x14ac:dyDescent="0.4">
      <c r="B51" s="219" t="s">
        <v>2171</v>
      </c>
      <c r="C51" s="513">
        <v>543291366921</v>
      </c>
      <c r="D51" s="753">
        <v>594687774151</v>
      </c>
      <c r="E51" s="513">
        <v>-677277159784</v>
      </c>
      <c r="F51" s="513">
        <v>460700981288</v>
      </c>
      <c r="G51" s="514"/>
      <c r="H51" s="518">
        <f>SUM(C51:E51)</f>
        <v>460701981288</v>
      </c>
      <c r="I51" s="518">
        <f t="shared" si="1"/>
        <v>-1000000</v>
      </c>
    </row>
    <row r="52" spans="2:9" ht="12" customHeight="1" thickBot="1" x14ac:dyDescent="0.45">
      <c r="B52" s="1366" t="s">
        <v>386</v>
      </c>
      <c r="C52" s="1367">
        <f>'يادداشت 2-10سپرداه_پرداختني_'!D86</f>
        <v>1367286640098</v>
      </c>
      <c r="D52" s="1367">
        <f>'يادداشت 2-10سپرداه_پرداختني_'!E86</f>
        <v>1628030194542</v>
      </c>
      <c r="E52" s="1367">
        <f>'يادداشت 2-10سپرداه_پرداختني_'!F86</f>
        <v>-1112962862732</v>
      </c>
      <c r="F52" s="1367">
        <f>'يادداشت 2-10سپرداه_پرداختني_'!H86</f>
        <v>1882352971908</v>
      </c>
      <c r="G52" s="321"/>
      <c r="H52" s="518">
        <f>SUM(C52:E52)</f>
        <v>1882353971908</v>
      </c>
      <c r="I52" s="518">
        <f t="shared" ref="I52" si="2">F52-H52</f>
        <v>-1000000</v>
      </c>
    </row>
    <row r="53" spans="2:9" ht="12" customHeight="1" thickTop="1" x14ac:dyDescent="0.4">
      <c r="C53" s="516"/>
      <c r="D53" s="516"/>
      <c r="E53" s="516"/>
      <c r="F53" s="516"/>
      <c r="G53" s="516"/>
    </row>
    <row r="54" spans="2:9" ht="19.149999999999999" customHeight="1" x14ac:dyDescent="0.4">
      <c r="B54" s="3864" t="s">
        <v>1971</v>
      </c>
      <c r="C54" s="3864"/>
      <c r="D54" s="3864"/>
      <c r="E54" s="3864"/>
      <c r="F54" s="3864"/>
      <c r="G54" s="516"/>
    </row>
    <row r="55" spans="2:9" ht="14.45" customHeight="1" x14ac:dyDescent="0.45">
      <c r="B55" s="97"/>
      <c r="C55" s="1181" t="s">
        <v>1973</v>
      </c>
      <c r="D55" s="1437" t="s">
        <v>1188</v>
      </c>
      <c r="E55" s="516"/>
      <c r="F55" s="516"/>
      <c r="G55" s="516"/>
    </row>
    <row r="56" spans="2:9" ht="14.45" customHeight="1" x14ac:dyDescent="0.45">
      <c r="B56" s="97"/>
      <c r="C56" s="1181">
        <v>1403</v>
      </c>
      <c r="D56" s="1437">
        <f>F52-C52</f>
        <v>515066331810</v>
      </c>
      <c r="E56" s="516"/>
      <c r="F56" s="516"/>
      <c r="G56" s="516"/>
    </row>
    <row r="57" spans="2:9" ht="14.45" customHeight="1" x14ac:dyDescent="0.4">
      <c r="B57" s="97"/>
      <c r="C57" s="846">
        <v>1402</v>
      </c>
      <c r="D57" s="753">
        <f>C52-F66</f>
        <v>470504662148</v>
      </c>
      <c r="E57" s="516"/>
      <c r="F57" s="516"/>
      <c r="G57" s="516"/>
    </row>
    <row r="58" spans="2:9" ht="14.45" customHeight="1" x14ac:dyDescent="0.4">
      <c r="B58" s="97"/>
      <c r="C58" s="846">
        <v>1401</v>
      </c>
      <c r="D58" s="753">
        <f>896781977950-355028966893</f>
        <v>541753011057</v>
      </c>
      <c r="E58" s="516"/>
      <c r="F58" s="516"/>
      <c r="G58" s="516"/>
      <c r="H58" s="516">
        <f>SUM(D57:D60)</f>
        <v>1289985714078</v>
      </c>
    </row>
    <row r="59" spans="2:9" ht="14.45" customHeight="1" x14ac:dyDescent="0.4">
      <c r="B59" s="97"/>
      <c r="C59" s="846">
        <v>1400</v>
      </c>
      <c r="D59" s="753">
        <f>355028966893-294693115712</f>
        <v>60335851181</v>
      </c>
      <c r="E59" s="516"/>
      <c r="F59" s="516"/>
      <c r="G59" s="516"/>
      <c r="H59" s="516"/>
    </row>
    <row r="60" spans="2:9" ht="14.45" customHeight="1" x14ac:dyDescent="0.4">
      <c r="B60" s="97"/>
      <c r="C60" s="846">
        <v>1399</v>
      </c>
      <c r="D60" s="753">
        <f>294693115712-77300926020</f>
        <v>217392189692</v>
      </c>
      <c r="E60" s="516"/>
      <c r="F60" s="516"/>
      <c r="G60" s="516"/>
      <c r="H60" s="516">
        <f>F52-H58</f>
        <v>592367257830</v>
      </c>
    </row>
    <row r="61" spans="2:9" ht="14.45" customHeight="1" x14ac:dyDescent="0.4">
      <c r="B61" s="97"/>
      <c r="C61" s="846" t="s">
        <v>1972</v>
      </c>
      <c r="D61" s="753">
        <v>77300926020</v>
      </c>
      <c r="E61" s="516"/>
      <c r="F61" s="516"/>
      <c r="G61" s="516"/>
    </row>
    <row r="62" spans="2:9" ht="14.45" customHeight="1" x14ac:dyDescent="0.4">
      <c r="B62" s="97"/>
      <c r="C62" s="846" t="s">
        <v>386</v>
      </c>
      <c r="D62" s="753">
        <f>SUM(D56:D61)</f>
        <v>1882352971908</v>
      </c>
      <c r="E62" s="516"/>
      <c r="F62" s="516"/>
      <c r="G62" s="516"/>
    </row>
    <row r="63" spans="2:9" ht="6.6" customHeight="1" x14ac:dyDescent="0.4">
      <c r="C63" s="516"/>
      <c r="D63" s="516"/>
      <c r="E63" s="516"/>
      <c r="F63" s="516"/>
      <c r="G63" s="516"/>
    </row>
    <row r="64" spans="2:9" ht="19.899999999999999" customHeight="1" x14ac:dyDescent="0.45">
      <c r="B64" s="3860">
        <v>76</v>
      </c>
      <c r="C64" s="3860"/>
      <c r="D64" s="3860"/>
      <c r="E64" s="3860"/>
      <c r="F64" s="3860"/>
      <c r="G64" s="3860"/>
    </row>
    <row r="65" spans="3:8" x14ac:dyDescent="0.4">
      <c r="C65" s="97"/>
      <c r="D65" s="518"/>
      <c r="E65" s="97"/>
      <c r="F65" s="97"/>
      <c r="G65" s="97"/>
    </row>
    <row r="66" spans="3:8" x14ac:dyDescent="0.4">
      <c r="C66" s="97"/>
      <c r="D66" s="511"/>
      <c r="E66" s="97"/>
      <c r="F66" s="97">
        <v>896781977950</v>
      </c>
      <c r="G66" s="97"/>
    </row>
    <row r="67" spans="3:8" x14ac:dyDescent="0.4">
      <c r="C67" s="516">
        <f>SUM(C9:C50)</f>
        <v>823995273177</v>
      </c>
      <c r="D67" s="516">
        <f t="shared" ref="D67:F67" si="3">SUM(D9:D50)</f>
        <v>1033342420391</v>
      </c>
      <c r="E67" s="516">
        <f t="shared" si="3"/>
        <v>-435685702948</v>
      </c>
      <c r="F67" s="516">
        <f t="shared" si="3"/>
        <v>1421651990620</v>
      </c>
    </row>
    <row r="68" spans="3:8" x14ac:dyDescent="0.4">
      <c r="C68" s="516">
        <f>C52-C67</f>
        <v>543291366921</v>
      </c>
      <c r="D68" s="516">
        <f>D52-D67</f>
        <v>594687774151</v>
      </c>
      <c r="E68" s="516">
        <f>E52-E67</f>
        <v>-677277159784</v>
      </c>
      <c r="F68" s="516">
        <f>F52-F67</f>
        <v>460700981288</v>
      </c>
      <c r="H68" s="579">
        <v>33456869602</v>
      </c>
    </row>
    <row r="70" spans="3:8" hidden="1" x14ac:dyDescent="0.4">
      <c r="C70" s="516" t="e">
        <f>SUM(#REF!)</f>
        <v>#REF!</v>
      </c>
      <c r="D70" s="516" t="e">
        <f>SUM(#REF!)</f>
        <v>#REF!</v>
      </c>
      <c r="E70" s="516" t="e">
        <f>SUM(#REF!)</f>
        <v>#REF!</v>
      </c>
      <c r="F70" s="516" t="e">
        <f>SUM(#REF!)</f>
        <v>#REF!</v>
      </c>
      <c r="G70" s="516"/>
    </row>
    <row r="71" spans="3:8" hidden="1" x14ac:dyDescent="0.4">
      <c r="C71" s="516" t="e">
        <f>C52-C70</f>
        <v>#REF!</v>
      </c>
      <c r="D71" s="516" t="e">
        <f>D52-D70</f>
        <v>#REF!</v>
      </c>
      <c r="E71" s="516" t="e">
        <f>E52-E70</f>
        <v>#REF!</v>
      </c>
      <c r="F71" s="516" t="e">
        <f>F52-F70</f>
        <v>#REF!</v>
      </c>
      <c r="G71" s="516"/>
    </row>
    <row r="72" spans="3:8" hidden="1" x14ac:dyDescent="0.4">
      <c r="C72" s="516">
        <f>SUM(C51:C51)</f>
        <v>543291366921</v>
      </c>
      <c r="D72" s="516">
        <f>SUM(D51:D51)</f>
        <v>594687774151</v>
      </c>
      <c r="E72" s="516">
        <f>SUM(E51:E51)</f>
        <v>-677277159784</v>
      </c>
      <c r="F72" s="516">
        <f>SUM(F51:F51)</f>
        <v>460700981288</v>
      </c>
      <c r="G72" s="516"/>
    </row>
    <row r="73" spans="3:8" hidden="1" x14ac:dyDescent="0.4"/>
    <row r="74" spans="3:8" hidden="1" x14ac:dyDescent="0.4">
      <c r="D74" s="518" t="e">
        <f>SUM(#REF!)</f>
        <v>#REF!</v>
      </c>
    </row>
    <row r="75" spans="3:8" hidden="1" x14ac:dyDescent="0.4"/>
    <row r="76" spans="3:8" hidden="1" x14ac:dyDescent="0.4"/>
    <row r="77" spans="3:8" hidden="1" x14ac:dyDescent="0.4"/>
    <row r="78" spans="3:8" hidden="1" x14ac:dyDescent="0.4"/>
    <row r="79" spans="3:8" x14ac:dyDescent="0.4">
      <c r="C79" s="511">
        <f>SUM(C9:C51)</f>
        <v>1367286640098</v>
      </c>
      <c r="D79" s="511">
        <f>SUM(D9:D51)</f>
        <v>1628030194542</v>
      </c>
      <c r="E79" s="511">
        <f>SUM(E9:E51)</f>
        <v>-1112962862732</v>
      </c>
      <c r="F79" s="511">
        <f>SUM(F9:F51)</f>
        <v>1882352971908</v>
      </c>
    </row>
    <row r="80" spans="3:8" x14ac:dyDescent="0.4">
      <c r="D80" s="516"/>
    </row>
    <row r="81" spans="3:6" x14ac:dyDescent="0.4">
      <c r="C81" s="516">
        <f>C52-C79</f>
        <v>0</v>
      </c>
      <c r="D81" s="516">
        <f t="shared" ref="D81:F81" si="4">D52-D79</f>
        <v>0</v>
      </c>
      <c r="E81" s="516">
        <f t="shared" si="4"/>
        <v>0</v>
      </c>
      <c r="F81" s="516">
        <f t="shared" si="4"/>
        <v>0</v>
      </c>
    </row>
    <row r="82" spans="3:6" x14ac:dyDescent="0.4">
      <c r="D82" s="516" t="e">
        <f>SUM(#REF!)</f>
        <v>#REF!</v>
      </c>
    </row>
    <row r="83" spans="3:6" x14ac:dyDescent="0.4">
      <c r="C83" s="516">
        <f>F52-E52-C52</f>
        <v>1628029194542</v>
      </c>
      <c r="D83" s="516" t="e">
        <f>D52-D82</f>
        <v>#REF!</v>
      </c>
    </row>
    <row r="84" spans="3:6" x14ac:dyDescent="0.4">
      <c r="D84" s="516">
        <f>SUM(D9:D51)</f>
        <v>1628030194542</v>
      </c>
    </row>
  </sheetData>
  <mergeCells count="12">
    <mergeCell ref="B64:G64"/>
    <mergeCell ref="B7:B8"/>
    <mergeCell ref="C7:C8"/>
    <mergeCell ref="F7:F8"/>
    <mergeCell ref="B1:F1"/>
    <mergeCell ref="B2:F2"/>
    <mergeCell ref="B3:F3"/>
    <mergeCell ref="B4:F4"/>
    <mergeCell ref="B6:F6"/>
    <mergeCell ref="D7:D8"/>
    <mergeCell ref="E7:E8"/>
    <mergeCell ref="B54:F54"/>
  </mergeCells>
  <pageMargins left="0.31496062992126" right="0.70866141732283505" top="0.49803149600000002" bottom="0" header="0.31496062992126" footer="0.31496062992126"/>
  <pageSetup scale="94" fitToWidth="0"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2060"/>
  </sheetPr>
  <dimension ref="A1:AD69"/>
  <sheetViews>
    <sheetView rightToLeft="1" view="pageBreakPreview" topLeftCell="A58" zoomScale="95" zoomScaleNormal="100" zoomScaleSheetLayoutView="95" workbookViewId="0">
      <selection activeCell="E70" sqref="E70"/>
    </sheetView>
  </sheetViews>
  <sheetFormatPr defaultColWidth="8.85546875" defaultRowHeight="15" x14ac:dyDescent="0.35"/>
  <cols>
    <col min="1" max="1" width="0.7109375" style="721" customWidth="1"/>
    <col min="2" max="2" width="3.7109375" style="721" customWidth="1"/>
    <col min="3" max="3" width="2.7109375" style="721" customWidth="1"/>
    <col min="4" max="4" width="12.7109375" style="739" customWidth="1"/>
    <col min="5" max="5" width="42.7109375" style="721" customWidth="1"/>
    <col min="6" max="6" width="8.42578125" style="1140" hidden="1" customWidth="1"/>
    <col min="7" max="7" width="0.28515625" style="1140" hidden="1" customWidth="1"/>
    <col min="8" max="8" width="8.5703125" style="1140" hidden="1" customWidth="1"/>
    <col min="9" max="9" width="6.5703125" style="590" customWidth="1"/>
    <col min="10" max="10" width="0.28515625" style="719" hidden="1" customWidth="1"/>
    <col min="11" max="11" width="6.28515625" style="719" hidden="1" customWidth="1"/>
    <col min="12" max="12" width="11.28515625" style="721" customWidth="1"/>
    <col min="13" max="16" width="5.7109375" style="721" customWidth="1"/>
    <col min="17" max="17" width="5.7109375" style="721" hidden="1" customWidth="1"/>
    <col min="18" max="19" width="4.42578125" style="721" hidden="1" customWidth="1"/>
    <col min="20" max="20" width="7.140625" style="721" hidden="1" customWidth="1"/>
    <col min="21" max="21" width="3.7109375" style="721" hidden="1" customWidth="1"/>
    <col min="22" max="22" width="9.5703125" style="721" customWidth="1"/>
    <col min="23" max="23" width="9.5703125" style="721" hidden="1" customWidth="1"/>
    <col min="24" max="24" width="9.5703125" style="721" customWidth="1"/>
    <col min="25" max="26" width="1.28515625" style="721" customWidth="1"/>
    <col min="27" max="28" width="7.28515625" style="721" customWidth="1"/>
    <col min="29" max="29" width="8.85546875" style="721"/>
    <col min="30" max="30" width="9.85546875" style="721" bestFit="1" customWidth="1"/>
    <col min="31" max="16384" width="8.85546875" style="721"/>
  </cols>
  <sheetData>
    <row r="1" spans="1:29" s="185" customFormat="1" ht="14.45" customHeight="1" x14ac:dyDescent="0.5">
      <c r="A1" s="3431" t="s">
        <v>32</v>
      </c>
      <c r="B1" s="3431"/>
      <c r="C1" s="3431"/>
      <c r="D1" s="3431"/>
      <c r="E1" s="3431"/>
      <c r="F1" s="3431"/>
      <c r="G1" s="3431"/>
      <c r="H1" s="3431"/>
      <c r="I1" s="3431"/>
      <c r="J1" s="3431"/>
      <c r="K1" s="3431"/>
      <c r="L1" s="3431"/>
      <c r="M1" s="3431"/>
      <c r="N1" s="3431"/>
      <c r="O1" s="3431"/>
      <c r="P1" s="3431"/>
      <c r="Q1" s="3431"/>
      <c r="R1" s="3431"/>
      <c r="S1" s="3431"/>
      <c r="T1" s="3431"/>
      <c r="U1" s="3431"/>
      <c r="V1" s="3431"/>
      <c r="W1" s="3431"/>
      <c r="X1" s="3431"/>
    </row>
    <row r="2" spans="1:29" s="185" customFormat="1" ht="14.45" customHeight="1" x14ac:dyDescent="0.5">
      <c r="A2" s="3431" t="s">
        <v>45</v>
      </c>
      <c r="B2" s="3431"/>
      <c r="C2" s="3431"/>
      <c r="D2" s="3431"/>
      <c r="E2" s="3431"/>
      <c r="F2" s="3431"/>
      <c r="G2" s="3431"/>
      <c r="H2" s="3431"/>
      <c r="I2" s="3431"/>
      <c r="J2" s="3431"/>
      <c r="K2" s="3431"/>
      <c r="L2" s="3431"/>
      <c r="M2" s="3431"/>
      <c r="N2" s="3431"/>
      <c r="O2" s="3431"/>
      <c r="P2" s="3431"/>
      <c r="Q2" s="3431"/>
      <c r="R2" s="3431"/>
      <c r="S2" s="3431"/>
      <c r="T2" s="3431"/>
      <c r="U2" s="3431"/>
      <c r="V2" s="3431"/>
      <c r="W2" s="3431"/>
      <c r="X2" s="3431"/>
    </row>
    <row r="3" spans="1:29" s="185" customFormat="1" ht="14.45" customHeight="1" x14ac:dyDescent="0.5">
      <c r="A3" s="3431" t="s">
        <v>46</v>
      </c>
      <c r="B3" s="3431"/>
      <c r="C3" s="3431"/>
      <c r="D3" s="3431"/>
      <c r="E3" s="3431"/>
      <c r="F3" s="3431"/>
      <c r="G3" s="3431"/>
      <c r="H3" s="3431"/>
      <c r="I3" s="3431"/>
      <c r="J3" s="3431"/>
      <c r="K3" s="3431"/>
      <c r="L3" s="3431"/>
      <c r="M3" s="3431"/>
      <c r="N3" s="3431"/>
      <c r="O3" s="3431"/>
      <c r="P3" s="3431"/>
      <c r="Q3" s="3431"/>
      <c r="R3" s="3431"/>
      <c r="S3" s="3431"/>
      <c r="T3" s="3431"/>
      <c r="U3" s="3431"/>
      <c r="V3" s="3431"/>
      <c r="W3" s="3431"/>
      <c r="X3" s="3431"/>
    </row>
    <row r="4" spans="1:29" s="185" customFormat="1" ht="14.45" customHeight="1" x14ac:dyDescent="0.5">
      <c r="A4" s="3057" t="s">
        <v>1990</v>
      </c>
      <c r="B4" s="3057"/>
      <c r="C4" s="3057"/>
      <c r="D4" s="3057"/>
      <c r="E4" s="3057"/>
      <c r="F4" s="3057"/>
      <c r="G4" s="3057"/>
      <c r="H4" s="3057"/>
      <c r="I4" s="3057"/>
      <c r="J4" s="3057"/>
      <c r="K4" s="3057"/>
      <c r="L4" s="3057"/>
      <c r="M4" s="3057"/>
      <c r="N4" s="3057"/>
      <c r="O4" s="3057"/>
      <c r="P4" s="3057"/>
      <c r="Q4" s="3057"/>
      <c r="R4" s="3057"/>
      <c r="S4" s="3057"/>
      <c r="T4" s="3057"/>
      <c r="U4" s="3057"/>
      <c r="V4" s="3057"/>
      <c r="W4" s="3057"/>
      <c r="X4" s="3057"/>
    </row>
    <row r="5" spans="1:29" s="185" customFormat="1" ht="10.9" customHeight="1" x14ac:dyDescent="0.5">
      <c r="A5" s="139"/>
      <c r="B5" s="139"/>
      <c r="C5" s="139"/>
      <c r="D5" s="717"/>
      <c r="E5" s="717"/>
      <c r="F5" s="1096"/>
      <c r="G5" s="1096"/>
      <c r="H5" s="1096"/>
      <c r="I5" s="588"/>
      <c r="J5" s="718"/>
      <c r="K5" s="718"/>
    </row>
    <row r="6" spans="1:29" ht="18" customHeight="1" x14ac:dyDescent="0.35">
      <c r="C6" s="3097" t="s">
        <v>1837</v>
      </c>
      <c r="D6" s="3097"/>
      <c r="E6" s="3097"/>
      <c r="F6" s="3097"/>
      <c r="G6" s="3097"/>
      <c r="H6" s="3097"/>
      <c r="I6" s="3097"/>
      <c r="J6" s="3097"/>
      <c r="K6" s="3097"/>
      <c r="L6" s="3097"/>
      <c r="M6" s="3097"/>
      <c r="N6" s="3097"/>
      <c r="O6" s="3097"/>
      <c r="P6" s="3097"/>
      <c r="Q6" s="3097"/>
      <c r="R6" s="3097"/>
      <c r="S6" s="3097"/>
      <c r="T6" s="3097"/>
      <c r="U6" s="3097"/>
      <c r="V6" s="3097"/>
      <c r="W6" s="3097"/>
      <c r="X6" s="3097"/>
    </row>
    <row r="7" spans="1:29" ht="16.149999999999999" customHeight="1" x14ac:dyDescent="0.35">
      <c r="D7" s="16"/>
      <c r="E7" s="953"/>
      <c r="F7" s="1097"/>
      <c r="G7" s="1097"/>
      <c r="H7" s="1097"/>
      <c r="I7" s="589"/>
      <c r="X7" s="994"/>
    </row>
    <row r="8" spans="1:29" ht="75.75" customHeight="1" x14ac:dyDescent="0.35">
      <c r="C8" s="3880" t="s">
        <v>419</v>
      </c>
      <c r="D8" s="3881" t="s">
        <v>53</v>
      </c>
      <c r="E8" s="3501" t="s">
        <v>54</v>
      </c>
      <c r="F8" s="1098"/>
      <c r="G8" s="1098"/>
      <c r="H8" s="1098"/>
      <c r="I8" s="3884" t="s">
        <v>1398</v>
      </c>
      <c r="J8" s="3884"/>
      <c r="K8" s="3884"/>
      <c r="L8" s="3884" t="s">
        <v>2003</v>
      </c>
      <c r="M8" s="3175" t="s">
        <v>1999</v>
      </c>
      <c r="N8" s="3175"/>
      <c r="O8" s="3175"/>
      <c r="P8" s="3175"/>
      <c r="Q8" s="3884" t="s">
        <v>2000</v>
      </c>
      <c r="R8" s="3884"/>
      <c r="S8" s="3884"/>
      <c r="T8" s="3884"/>
      <c r="U8" s="3884"/>
      <c r="V8" s="3882" t="s">
        <v>2001</v>
      </c>
      <c r="W8" s="3884" t="s">
        <v>2002</v>
      </c>
      <c r="X8" s="3884" t="s">
        <v>1250</v>
      </c>
    </row>
    <row r="9" spans="1:29" ht="28.9" customHeight="1" x14ac:dyDescent="0.35">
      <c r="C9" s="3891"/>
      <c r="D9" s="3881"/>
      <c r="E9" s="3501"/>
      <c r="F9" s="1098"/>
      <c r="G9" s="1098"/>
      <c r="H9" s="1098"/>
      <c r="I9" s="583" t="s">
        <v>1248</v>
      </c>
      <c r="J9" s="995" t="s">
        <v>1249</v>
      </c>
      <c r="K9" s="995" t="s">
        <v>27</v>
      </c>
      <c r="L9" s="3884"/>
      <c r="M9" s="1099">
        <v>1403</v>
      </c>
      <c r="N9" s="594">
        <v>1404</v>
      </c>
      <c r="O9" s="594">
        <v>1405</v>
      </c>
      <c r="P9" s="1099" t="s">
        <v>27</v>
      </c>
      <c r="Q9" s="1100">
        <v>1403</v>
      </c>
      <c r="R9" s="1100">
        <v>1404</v>
      </c>
      <c r="S9" s="1100">
        <v>1405</v>
      </c>
      <c r="T9" s="1100">
        <v>1406</v>
      </c>
      <c r="U9" s="1100" t="s">
        <v>27</v>
      </c>
      <c r="V9" s="3883"/>
      <c r="W9" s="3884"/>
      <c r="X9" s="3884"/>
    </row>
    <row r="10" spans="1:29" ht="15" customHeight="1" x14ac:dyDescent="0.35">
      <c r="C10" s="3874" t="s">
        <v>420</v>
      </c>
      <c r="D10" s="1479">
        <v>1503002046</v>
      </c>
      <c r="E10" s="1101" t="s">
        <v>223</v>
      </c>
      <c r="F10" s="1102">
        <v>12770000000</v>
      </c>
      <c r="G10" s="1102"/>
      <c r="H10" s="1102"/>
      <c r="I10" s="592">
        <v>50417977624</v>
      </c>
      <c r="J10" s="592"/>
      <c r="K10" s="592"/>
      <c r="L10" s="592">
        <f>-21963000000-12619000000</f>
        <v>-34582000000</v>
      </c>
      <c r="M10" s="592">
        <v>8373000000</v>
      </c>
      <c r="N10" s="591">
        <v>6152000000</v>
      </c>
      <c r="O10" s="591">
        <v>3469000000</v>
      </c>
      <c r="P10" s="592">
        <f>M10+N10+O10</f>
        <v>17994000000</v>
      </c>
      <c r="Q10" s="592"/>
      <c r="R10" s="592"/>
      <c r="S10" s="592"/>
      <c r="T10" s="592"/>
      <c r="U10" s="592">
        <f>T10+S10+R10+Q10</f>
        <v>0</v>
      </c>
      <c r="V10" s="592">
        <f>-M10</f>
        <v>-8373000000</v>
      </c>
      <c r="W10" s="592">
        <f>-Q10</f>
        <v>0</v>
      </c>
      <c r="X10" s="592">
        <f>I10+L10+P10+U10+V10+W10</f>
        <v>25456977624</v>
      </c>
      <c r="AC10" s="361">
        <f t="shared" ref="AC10:AC38" si="0">N10+O10</f>
        <v>9621000000</v>
      </c>
    </row>
    <row r="11" spans="1:29" ht="15" customHeight="1" x14ac:dyDescent="0.35">
      <c r="C11" s="3874"/>
      <c r="D11" s="1590">
        <v>1503002096</v>
      </c>
      <c r="E11" s="1101" t="s">
        <v>316</v>
      </c>
      <c r="F11" s="1102">
        <v>2304000000</v>
      </c>
      <c r="G11" s="1102"/>
      <c r="H11" s="1102"/>
      <c r="I11" s="592">
        <v>1693000000</v>
      </c>
      <c r="J11" s="592"/>
      <c r="K11" s="592"/>
      <c r="L11" s="592">
        <f>-1693000000</f>
        <v>-1693000000</v>
      </c>
      <c r="M11" s="592">
        <v>387000000</v>
      </c>
      <c r="N11" s="592">
        <v>525000000</v>
      </c>
      <c r="O11" s="592">
        <v>387000000</v>
      </c>
      <c r="P11" s="592">
        <f t="shared" ref="P11:P23" si="1">M11+N11+O11</f>
        <v>1299000000</v>
      </c>
      <c r="Q11" s="592"/>
      <c r="R11" s="592"/>
      <c r="S11" s="592"/>
      <c r="T11" s="592"/>
      <c r="U11" s="592">
        <f t="shared" ref="U11:U22" si="2">T11+S11+R11+Q11</f>
        <v>0</v>
      </c>
      <c r="V11" s="592">
        <f t="shared" ref="V11:V23" si="3">-M11</f>
        <v>-387000000</v>
      </c>
      <c r="W11" s="592">
        <f t="shared" ref="W11:W39" si="4">-Q11</f>
        <v>0</v>
      </c>
      <c r="X11" s="592">
        <f t="shared" ref="X11:X22" si="5">I11+L11+P11+U11+V11+W11</f>
        <v>912000000</v>
      </c>
      <c r="AC11" s="361">
        <f t="shared" si="0"/>
        <v>912000000</v>
      </c>
    </row>
    <row r="12" spans="1:29" ht="15" customHeight="1" x14ac:dyDescent="0.35">
      <c r="C12" s="3874"/>
      <c r="D12" s="1590">
        <v>1503002173</v>
      </c>
      <c r="E12" s="1101" t="s">
        <v>317</v>
      </c>
      <c r="F12" s="1102">
        <v>10887000000</v>
      </c>
      <c r="G12" s="1102"/>
      <c r="H12" s="1102"/>
      <c r="I12" s="592">
        <v>22424289193</v>
      </c>
      <c r="J12" s="592"/>
      <c r="K12" s="592"/>
      <c r="L12" s="592">
        <f>-7678000000-6591000000</f>
        <v>-14269000000</v>
      </c>
      <c r="M12" s="592">
        <v>2283000000</v>
      </c>
      <c r="N12" s="592">
        <v>2129000000</v>
      </c>
      <c r="O12" s="592">
        <v>1203000000</v>
      </c>
      <c r="P12" s="592">
        <f t="shared" si="1"/>
        <v>5615000000</v>
      </c>
      <c r="Q12" s="592"/>
      <c r="R12" s="592"/>
      <c r="S12" s="592"/>
      <c r="T12" s="592"/>
      <c r="U12" s="592">
        <f t="shared" si="2"/>
        <v>0</v>
      </c>
      <c r="V12" s="592">
        <f t="shared" si="3"/>
        <v>-2283000000</v>
      </c>
      <c r="W12" s="592">
        <f t="shared" si="4"/>
        <v>0</v>
      </c>
      <c r="X12" s="592">
        <f t="shared" si="5"/>
        <v>11487289193</v>
      </c>
      <c r="AC12" s="361">
        <f t="shared" si="0"/>
        <v>3332000000</v>
      </c>
    </row>
    <row r="13" spans="1:29" ht="15" customHeight="1" x14ac:dyDescent="0.35">
      <c r="C13" s="3874"/>
      <c r="D13" s="1590">
        <v>1307002010</v>
      </c>
      <c r="E13" s="1101" t="s">
        <v>224</v>
      </c>
      <c r="F13" s="1102">
        <v>26200000000</v>
      </c>
      <c r="G13" s="1102"/>
      <c r="H13" s="1102"/>
      <c r="I13" s="592">
        <v>43120092180</v>
      </c>
      <c r="J13" s="592"/>
      <c r="K13" s="592"/>
      <c r="L13" s="592">
        <f>-19522000000-19056980000</f>
        <v>-38578980000</v>
      </c>
      <c r="M13" s="592">
        <v>23164000000</v>
      </c>
      <c r="N13" s="592">
        <v>17222000000</v>
      </c>
      <c r="O13" s="592">
        <v>9723000000</v>
      </c>
      <c r="P13" s="592">
        <f t="shared" si="1"/>
        <v>50109000000</v>
      </c>
      <c r="Q13" s="592"/>
      <c r="R13" s="592"/>
      <c r="S13" s="592"/>
      <c r="T13" s="592"/>
      <c r="U13" s="592">
        <f t="shared" si="2"/>
        <v>0</v>
      </c>
      <c r="V13" s="592">
        <f t="shared" si="3"/>
        <v>-23164000000</v>
      </c>
      <c r="W13" s="592">
        <f t="shared" si="4"/>
        <v>0</v>
      </c>
      <c r="X13" s="592">
        <f>I13+L13+P13+U13+V13+W13</f>
        <v>31486112180</v>
      </c>
      <c r="AC13" s="361">
        <f>N13+O13</f>
        <v>26945000000</v>
      </c>
    </row>
    <row r="14" spans="1:29" ht="15" customHeight="1" x14ac:dyDescent="0.35">
      <c r="C14" s="3874"/>
      <c r="D14" s="1590">
        <v>1503002067</v>
      </c>
      <c r="E14" s="1101" t="s">
        <v>318</v>
      </c>
      <c r="F14" s="1102"/>
      <c r="G14" s="1102"/>
      <c r="H14" s="1102"/>
      <c r="I14" s="592">
        <v>0</v>
      </c>
      <c r="J14" s="592"/>
      <c r="K14" s="592"/>
      <c r="L14" s="592"/>
      <c r="M14" s="592">
        <v>112000000</v>
      </c>
      <c r="N14" s="592">
        <v>216000000</v>
      </c>
      <c r="O14" s="592">
        <v>158000000</v>
      </c>
      <c r="P14" s="592">
        <f t="shared" si="1"/>
        <v>486000000</v>
      </c>
      <c r="Q14" s="592"/>
      <c r="R14" s="592"/>
      <c r="S14" s="592"/>
      <c r="T14" s="592"/>
      <c r="U14" s="592">
        <f t="shared" si="2"/>
        <v>0</v>
      </c>
      <c r="V14" s="592">
        <f t="shared" si="3"/>
        <v>-112000000</v>
      </c>
      <c r="W14" s="592">
        <f t="shared" si="4"/>
        <v>0</v>
      </c>
      <c r="X14" s="592">
        <f t="shared" si="5"/>
        <v>374000000</v>
      </c>
      <c r="AC14" s="361">
        <f t="shared" si="0"/>
        <v>374000000</v>
      </c>
    </row>
    <row r="15" spans="1:29" ht="15" customHeight="1" x14ac:dyDescent="0.35">
      <c r="C15" s="3874"/>
      <c r="D15" s="1590" t="s">
        <v>1291</v>
      </c>
      <c r="E15" s="1101" t="s">
        <v>87</v>
      </c>
      <c r="F15" s="1102">
        <v>3771000000</v>
      </c>
      <c r="G15" s="1102"/>
      <c r="H15" s="1102"/>
      <c r="I15" s="592">
        <v>1779000000</v>
      </c>
      <c r="J15" s="592"/>
      <c r="K15" s="592"/>
      <c r="L15" s="592">
        <f>-1779000000</f>
        <v>-1779000000</v>
      </c>
      <c r="M15" s="592">
        <v>56963000000</v>
      </c>
      <c r="N15" s="592">
        <v>59913000000</v>
      </c>
      <c r="O15" s="592">
        <v>48701000000</v>
      </c>
      <c r="P15" s="592">
        <f t="shared" si="1"/>
        <v>165577000000</v>
      </c>
      <c r="Q15" s="592"/>
      <c r="R15" s="592"/>
      <c r="S15" s="592"/>
      <c r="T15" s="592"/>
      <c r="U15" s="592">
        <f t="shared" si="2"/>
        <v>0</v>
      </c>
      <c r="V15" s="592">
        <f t="shared" si="3"/>
        <v>-56963000000</v>
      </c>
      <c r="W15" s="592">
        <f t="shared" si="4"/>
        <v>0</v>
      </c>
      <c r="X15" s="592">
        <f t="shared" si="5"/>
        <v>108614000000</v>
      </c>
      <c r="AC15" s="361">
        <f t="shared" si="0"/>
        <v>108614000000</v>
      </c>
    </row>
    <row r="16" spans="1:29" ht="15" customHeight="1" x14ac:dyDescent="0.35">
      <c r="C16" s="3874"/>
      <c r="D16" s="1479">
        <v>1307002080</v>
      </c>
      <c r="E16" s="1103" t="s">
        <v>418</v>
      </c>
      <c r="F16" s="890">
        <v>80054000000</v>
      </c>
      <c r="G16" s="890"/>
      <c r="H16" s="1102"/>
      <c r="I16" s="592">
        <v>209836918556</v>
      </c>
      <c r="J16" s="592"/>
      <c r="K16" s="592"/>
      <c r="L16" s="592">
        <f>-78079000000-67382000000</f>
        <v>-145461000000</v>
      </c>
      <c r="M16" s="592">
        <v>18747000000</v>
      </c>
      <c r="N16" s="592">
        <v>22387000000</v>
      </c>
      <c r="O16" s="592">
        <v>14448000000</v>
      </c>
      <c r="P16" s="592">
        <f t="shared" si="1"/>
        <v>55582000000</v>
      </c>
      <c r="Q16" s="592"/>
      <c r="R16" s="592"/>
      <c r="S16" s="592"/>
      <c r="T16" s="592"/>
      <c r="U16" s="592">
        <f t="shared" si="2"/>
        <v>0</v>
      </c>
      <c r="V16" s="592">
        <f t="shared" si="3"/>
        <v>-18747000000</v>
      </c>
      <c r="W16" s="592">
        <f t="shared" si="4"/>
        <v>0</v>
      </c>
      <c r="X16" s="592">
        <f t="shared" si="5"/>
        <v>101210918556</v>
      </c>
      <c r="AC16" s="361">
        <f t="shared" si="0"/>
        <v>36835000000</v>
      </c>
    </row>
    <row r="17" spans="3:29" ht="15" customHeight="1" x14ac:dyDescent="0.4">
      <c r="C17" s="3874"/>
      <c r="D17" s="1479" t="s">
        <v>608</v>
      </c>
      <c r="E17" s="1104" t="s">
        <v>901</v>
      </c>
      <c r="F17" s="1105">
        <v>60472000000</v>
      </c>
      <c r="G17" s="1105"/>
      <c r="H17" s="1102"/>
      <c r="I17" s="592">
        <v>120375446237</v>
      </c>
      <c r="J17" s="592"/>
      <c r="K17" s="592"/>
      <c r="L17" s="592">
        <f>-42254000000-35058000000-498000000</f>
        <v>-77810000000</v>
      </c>
      <c r="M17" s="592">
        <v>73705000000</v>
      </c>
      <c r="N17" s="592">
        <v>77306000000</v>
      </c>
      <c r="O17" s="592">
        <v>39219000000</v>
      </c>
      <c r="P17" s="592">
        <f t="shared" si="1"/>
        <v>190230000000</v>
      </c>
      <c r="Q17" s="592"/>
      <c r="R17" s="592"/>
      <c r="S17" s="592"/>
      <c r="T17" s="592"/>
      <c r="U17" s="592">
        <f t="shared" si="2"/>
        <v>0</v>
      </c>
      <c r="V17" s="592">
        <f t="shared" si="3"/>
        <v>-73705000000</v>
      </c>
      <c r="W17" s="592">
        <f t="shared" si="4"/>
        <v>0</v>
      </c>
      <c r="X17" s="592">
        <f t="shared" si="5"/>
        <v>159090446237</v>
      </c>
      <c r="AC17" s="361">
        <f t="shared" si="0"/>
        <v>116525000000</v>
      </c>
    </row>
    <row r="18" spans="3:29" ht="15" customHeight="1" x14ac:dyDescent="0.35">
      <c r="C18" s="3874"/>
      <c r="D18" s="1479">
        <v>1502001005</v>
      </c>
      <c r="E18" s="1103" t="s">
        <v>233</v>
      </c>
      <c r="F18" s="890"/>
      <c r="G18" s="890"/>
      <c r="H18" s="1102"/>
      <c r="I18" s="592">
        <v>5024000000</v>
      </c>
      <c r="J18" s="592"/>
      <c r="K18" s="592"/>
      <c r="L18" s="592">
        <f>-5024000000</f>
        <v>-5024000000</v>
      </c>
      <c r="M18" s="592">
        <v>8032000000</v>
      </c>
      <c r="N18" s="592">
        <v>12248000000</v>
      </c>
      <c r="O18" s="592">
        <v>9967000000</v>
      </c>
      <c r="P18" s="592">
        <f t="shared" si="1"/>
        <v>30247000000</v>
      </c>
      <c r="Q18" s="592"/>
      <c r="R18" s="592"/>
      <c r="S18" s="592"/>
      <c r="T18" s="592"/>
      <c r="U18" s="592">
        <f t="shared" si="2"/>
        <v>0</v>
      </c>
      <c r="V18" s="592">
        <f t="shared" si="3"/>
        <v>-8032000000</v>
      </c>
      <c r="W18" s="592">
        <f t="shared" si="4"/>
        <v>0</v>
      </c>
      <c r="X18" s="592">
        <f t="shared" si="5"/>
        <v>22215000000</v>
      </c>
      <c r="AC18" s="361">
        <f t="shared" si="0"/>
        <v>22215000000</v>
      </c>
    </row>
    <row r="19" spans="3:29" ht="15" customHeight="1" x14ac:dyDescent="0.35">
      <c r="C19" s="3874"/>
      <c r="D19" s="1479">
        <v>1503003007</v>
      </c>
      <c r="E19" s="1103" t="s">
        <v>155</v>
      </c>
      <c r="F19" s="890"/>
      <c r="G19" s="890"/>
      <c r="H19" s="1102"/>
      <c r="I19" s="592">
        <v>0</v>
      </c>
      <c r="J19" s="592"/>
      <c r="K19" s="592"/>
      <c r="L19" s="592"/>
      <c r="M19" s="592">
        <v>619000000</v>
      </c>
      <c r="N19" s="592">
        <v>680000000</v>
      </c>
      <c r="O19" s="592">
        <v>384000000</v>
      </c>
      <c r="P19" s="592">
        <f t="shared" si="1"/>
        <v>1683000000</v>
      </c>
      <c r="Q19" s="592"/>
      <c r="R19" s="592"/>
      <c r="S19" s="592"/>
      <c r="T19" s="592"/>
      <c r="U19" s="592">
        <f t="shared" si="2"/>
        <v>0</v>
      </c>
      <c r="V19" s="592">
        <f t="shared" si="3"/>
        <v>-619000000</v>
      </c>
      <c r="W19" s="592">
        <f t="shared" si="4"/>
        <v>0</v>
      </c>
      <c r="X19" s="592">
        <f t="shared" si="5"/>
        <v>1064000000</v>
      </c>
      <c r="AC19" s="361">
        <f t="shared" si="0"/>
        <v>1064000000</v>
      </c>
    </row>
    <row r="20" spans="3:29" ht="15" customHeight="1" x14ac:dyDescent="0.35">
      <c r="C20" s="3874"/>
      <c r="D20" s="1479" t="s">
        <v>610</v>
      </c>
      <c r="E20" s="1106" t="s">
        <v>596</v>
      </c>
      <c r="F20" s="1105"/>
      <c r="G20" s="1105"/>
      <c r="H20" s="1102"/>
      <c r="I20" s="592">
        <v>529000000</v>
      </c>
      <c r="J20" s="592"/>
      <c r="K20" s="592"/>
      <c r="L20" s="592">
        <f>-529000000</f>
        <v>-529000000</v>
      </c>
      <c r="M20" s="592"/>
      <c r="N20" s="592"/>
      <c r="O20" s="592"/>
      <c r="P20" s="592">
        <f t="shared" si="1"/>
        <v>0</v>
      </c>
      <c r="Q20" s="592"/>
      <c r="R20" s="592"/>
      <c r="S20" s="592"/>
      <c r="T20" s="592"/>
      <c r="U20" s="592">
        <f t="shared" si="2"/>
        <v>0</v>
      </c>
      <c r="V20" s="592">
        <f t="shared" si="3"/>
        <v>0</v>
      </c>
      <c r="W20" s="592">
        <f t="shared" si="4"/>
        <v>0</v>
      </c>
      <c r="X20" s="592">
        <f t="shared" si="5"/>
        <v>0</v>
      </c>
      <c r="AC20" s="361">
        <f t="shared" si="0"/>
        <v>0</v>
      </c>
    </row>
    <row r="21" spans="3:29" ht="15" customHeight="1" x14ac:dyDescent="0.35">
      <c r="C21" s="3874"/>
      <c r="D21" s="1479" t="s">
        <v>366</v>
      </c>
      <c r="E21" s="1082" t="s">
        <v>619</v>
      </c>
      <c r="F21" s="1107"/>
      <c r="G21" s="1107"/>
      <c r="H21" s="1102"/>
      <c r="I21" s="1107">
        <v>158000000</v>
      </c>
      <c r="J21" s="1108"/>
      <c r="K21" s="1108"/>
      <c r="L21" s="592">
        <f>-158000000</f>
        <v>-158000000</v>
      </c>
      <c r="M21" s="607">
        <v>158000000</v>
      </c>
      <c r="N21" s="591">
        <v>208000000</v>
      </c>
      <c r="O21" s="591">
        <v>118000000</v>
      </c>
      <c r="P21" s="592">
        <f t="shared" si="1"/>
        <v>484000000</v>
      </c>
      <c r="Q21" s="1109"/>
      <c r="R21" s="1109"/>
      <c r="S21" s="1109"/>
      <c r="T21" s="1109"/>
      <c r="U21" s="592">
        <f t="shared" si="2"/>
        <v>0</v>
      </c>
      <c r="V21" s="592">
        <f t="shared" si="3"/>
        <v>-158000000</v>
      </c>
      <c r="W21" s="592">
        <f t="shared" si="4"/>
        <v>0</v>
      </c>
      <c r="X21" s="592">
        <f t="shared" si="5"/>
        <v>326000000</v>
      </c>
      <c r="AC21" s="361">
        <f t="shared" si="0"/>
        <v>326000000</v>
      </c>
    </row>
    <row r="22" spans="3:29" ht="15" customHeight="1" x14ac:dyDescent="0.4">
      <c r="C22" s="3874"/>
      <c r="D22" s="1591" t="s">
        <v>1330</v>
      </c>
      <c r="E22" s="1009" t="s">
        <v>1329</v>
      </c>
      <c r="F22" s="1110"/>
      <c r="G22" s="1110"/>
      <c r="H22" s="1111"/>
      <c r="I22" s="592">
        <v>331030444430</v>
      </c>
      <c r="J22" s="1588"/>
      <c r="K22" s="1588"/>
      <c r="L22" s="592">
        <f>-266462000000</f>
        <v>-266462000000</v>
      </c>
      <c r="M22" s="592"/>
      <c r="N22" s="592"/>
      <c r="O22" s="592"/>
      <c r="P22" s="592">
        <f t="shared" si="1"/>
        <v>0</v>
      </c>
      <c r="Q22" s="592"/>
      <c r="R22" s="592"/>
      <c r="S22" s="592"/>
      <c r="T22" s="592"/>
      <c r="U22" s="592">
        <f t="shared" si="2"/>
        <v>0</v>
      </c>
      <c r="V22" s="592">
        <f t="shared" si="3"/>
        <v>0</v>
      </c>
      <c r="W22" s="592"/>
      <c r="X22" s="592">
        <f t="shared" si="5"/>
        <v>64568444430</v>
      </c>
      <c r="AC22" s="361">
        <f t="shared" si="0"/>
        <v>0</v>
      </c>
    </row>
    <row r="23" spans="3:29" s="1502" customFormat="1" ht="15" customHeight="1" thickBot="1" x14ac:dyDescent="0.45">
      <c r="C23" s="3874"/>
      <c r="D23" s="1592" t="s">
        <v>2143</v>
      </c>
      <c r="E23" s="1589" t="s">
        <v>2142</v>
      </c>
      <c r="F23" s="1556"/>
      <c r="G23" s="1556"/>
      <c r="H23" s="1557"/>
      <c r="I23" s="604"/>
      <c r="J23" s="1112"/>
      <c r="K23" s="1112"/>
      <c r="L23" s="604"/>
      <c r="M23" s="604">
        <v>7924000000</v>
      </c>
      <c r="N23" s="604">
        <v>7035000000</v>
      </c>
      <c r="O23" s="604">
        <v>5723000000</v>
      </c>
      <c r="P23" s="592">
        <f t="shared" si="1"/>
        <v>20682000000</v>
      </c>
      <c r="Q23" s="604"/>
      <c r="R23" s="604"/>
      <c r="S23" s="604"/>
      <c r="T23" s="604"/>
      <c r="U23" s="604"/>
      <c r="V23" s="592">
        <f t="shared" si="3"/>
        <v>-7924000000</v>
      </c>
      <c r="W23" s="604"/>
      <c r="X23" s="592">
        <f>I23+L23+P23+U23+V23+W23</f>
        <v>12758000000</v>
      </c>
      <c r="AC23" s="361"/>
    </row>
    <row r="24" spans="3:29" ht="15" customHeight="1" thickBot="1" x14ac:dyDescent="0.4">
      <c r="C24" s="3885" t="s">
        <v>1323</v>
      </c>
      <c r="D24" s="3886"/>
      <c r="E24" s="3887"/>
      <c r="F24" s="1113"/>
      <c r="G24" s="1113"/>
      <c r="H24" s="1114"/>
      <c r="I24" s="605">
        <v>786387168220</v>
      </c>
      <c r="J24" s="605">
        <f t="shared" ref="J24:K24" si="6">SUM(J10:J22)</f>
        <v>0</v>
      </c>
      <c r="K24" s="605">
        <f t="shared" si="6"/>
        <v>0</v>
      </c>
      <c r="L24" s="605">
        <f>SUM(L10:L23)</f>
        <v>-586345980000</v>
      </c>
      <c r="M24" s="605">
        <f>SUM(M10:M23)</f>
        <v>200467000000</v>
      </c>
      <c r="N24" s="605">
        <f>SUM(N10:N23)</f>
        <v>206021000000</v>
      </c>
      <c r="O24" s="605">
        <f>SUM(O10:O23)</f>
        <v>133500000000</v>
      </c>
      <c r="P24" s="605">
        <f>SUM(P10:P23)</f>
        <v>539988000000</v>
      </c>
      <c r="Q24" s="605">
        <f t="shared" ref="Q24:W24" si="7">SUM(Q10:Q23)</f>
        <v>0</v>
      </c>
      <c r="R24" s="605">
        <f t="shared" si="7"/>
        <v>0</v>
      </c>
      <c r="S24" s="605">
        <f t="shared" si="7"/>
        <v>0</v>
      </c>
      <c r="T24" s="605">
        <f t="shared" si="7"/>
        <v>0</v>
      </c>
      <c r="U24" s="605">
        <f t="shared" si="7"/>
        <v>0</v>
      </c>
      <c r="V24" s="605">
        <f>SUM(V10:V23)</f>
        <v>-200467000000</v>
      </c>
      <c r="W24" s="605">
        <f t="shared" si="7"/>
        <v>0</v>
      </c>
      <c r="X24" s="605">
        <f>SUM(X10:X23)-2000000</f>
        <v>539561188220</v>
      </c>
      <c r="AC24" s="361">
        <f t="shared" si="0"/>
        <v>339521000000</v>
      </c>
    </row>
    <row r="25" spans="3:29" ht="15" customHeight="1" x14ac:dyDescent="0.35">
      <c r="C25" s="3876" t="s">
        <v>420</v>
      </c>
      <c r="D25" s="1115" t="s">
        <v>548</v>
      </c>
      <c r="E25" s="1116" t="s">
        <v>547</v>
      </c>
      <c r="F25" s="1117">
        <v>2869000000</v>
      </c>
      <c r="G25" s="1117"/>
      <c r="H25" s="1118"/>
      <c r="I25" s="608">
        <v>3430658728</v>
      </c>
      <c r="J25" s="608"/>
      <c r="K25" s="608"/>
      <c r="L25" s="608">
        <f>-1958000000-1186000000</f>
        <v>-3144000000</v>
      </c>
      <c r="M25" s="608"/>
      <c r="N25" s="608"/>
      <c r="O25" s="608"/>
      <c r="P25" s="608">
        <f t="shared" ref="P25:P38" si="8">SUM(M25:O25)</f>
        <v>0</v>
      </c>
      <c r="Q25" s="608"/>
      <c r="R25" s="608"/>
      <c r="S25" s="608"/>
      <c r="T25" s="608"/>
      <c r="U25" s="608"/>
      <c r="V25" s="608">
        <f t="shared" ref="V25:V38" si="9">-M25</f>
        <v>0</v>
      </c>
      <c r="W25" s="608">
        <f t="shared" si="4"/>
        <v>0</v>
      </c>
      <c r="X25" s="608">
        <f>I25+L25+P25+U25+V25+W25</f>
        <v>286658728</v>
      </c>
      <c r="AC25" s="361">
        <f t="shared" si="0"/>
        <v>0</v>
      </c>
    </row>
    <row r="26" spans="3:29" ht="15" customHeight="1" x14ac:dyDescent="0.35">
      <c r="C26" s="3874"/>
      <c r="D26" s="421" t="s">
        <v>546</v>
      </c>
      <c r="E26" s="1103" t="s">
        <v>545</v>
      </c>
      <c r="F26" s="890">
        <v>1926000000</v>
      </c>
      <c r="G26" s="890"/>
      <c r="H26" s="1102"/>
      <c r="I26" s="592">
        <v>5562689749</v>
      </c>
      <c r="J26" s="592"/>
      <c r="K26" s="592"/>
      <c r="L26" s="592">
        <f>-2541000000-2438000000</f>
        <v>-4979000000</v>
      </c>
      <c r="M26" s="592"/>
      <c r="N26" s="592"/>
      <c r="O26" s="592"/>
      <c r="P26" s="592">
        <f t="shared" si="8"/>
        <v>0</v>
      </c>
      <c r="Q26" s="592"/>
      <c r="R26" s="592"/>
      <c r="S26" s="592"/>
      <c r="T26" s="592"/>
      <c r="U26" s="592"/>
      <c r="V26" s="592">
        <f t="shared" si="9"/>
        <v>0</v>
      </c>
      <c r="W26" s="592">
        <f t="shared" si="4"/>
        <v>0</v>
      </c>
      <c r="X26" s="608">
        <f t="shared" ref="X26:X38" si="10">I26+L26+P26+U26+V26+W26</f>
        <v>583689749</v>
      </c>
      <c r="AC26" s="361">
        <f t="shared" si="0"/>
        <v>0</v>
      </c>
    </row>
    <row r="27" spans="3:29" ht="15" customHeight="1" x14ac:dyDescent="0.35">
      <c r="C27" s="3874"/>
      <c r="D27" s="603" t="s">
        <v>540</v>
      </c>
      <c r="E27" s="1103" t="s">
        <v>541</v>
      </c>
      <c r="F27" s="890">
        <v>6720000000</v>
      </c>
      <c r="G27" s="890"/>
      <c r="H27" s="1102"/>
      <c r="I27" s="592">
        <v>6213000000</v>
      </c>
      <c r="J27" s="592"/>
      <c r="K27" s="592"/>
      <c r="L27" s="592">
        <f>-6211000000</f>
        <v>-6211000000</v>
      </c>
      <c r="M27" s="592">
        <v>1851000000</v>
      </c>
      <c r="N27" s="592">
        <v>1989000000</v>
      </c>
      <c r="O27" s="592">
        <v>1464000000</v>
      </c>
      <c r="P27" s="592">
        <f t="shared" si="8"/>
        <v>5304000000</v>
      </c>
      <c r="Q27" s="592"/>
      <c r="R27" s="592"/>
      <c r="S27" s="592"/>
      <c r="T27" s="592"/>
      <c r="U27" s="592"/>
      <c r="V27" s="592">
        <f t="shared" si="9"/>
        <v>-1851000000</v>
      </c>
      <c r="W27" s="592">
        <f t="shared" si="4"/>
        <v>0</v>
      </c>
      <c r="X27" s="608">
        <f t="shared" si="10"/>
        <v>3455000000</v>
      </c>
      <c r="AC27" s="361">
        <f t="shared" si="0"/>
        <v>3453000000</v>
      </c>
    </row>
    <row r="28" spans="3:29" ht="15" customHeight="1" x14ac:dyDescent="0.35">
      <c r="C28" s="3874"/>
      <c r="D28" s="421" t="s">
        <v>542</v>
      </c>
      <c r="E28" s="1103" t="s">
        <v>335</v>
      </c>
      <c r="F28" s="890">
        <v>435000000</v>
      </c>
      <c r="G28" s="890"/>
      <c r="H28" s="1102"/>
      <c r="I28" s="592">
        <v>924000000</v>
      </c>
      <c r="J28" s="592"/>
      <c r="K28" s="592"/>
      <c r="L28" s="592">
        <f>-921000000</f>
        <v>-921000000</v>
      </c>
      <c r="M28" s="592"/>
      <c r="N28" s="592"/>
      <c r="O28" s="592"/>
      <c r="P28" s="592">
        <f t="shared" si="8"/>
        <v>0</v>
      </c>
      <c r="Q28" s="592"/>
      <c r="R28" s="592"/>
      <c r="S28" s="592"/>
      <c r="T28" s="592"/>
      <c r="U28" s="592"/>
      <c r="V28" s="592">
        <f t="shared" si="9"/>
        <v>0</v>
      </c>
      <c r="W28" s="592">
        <f t="shared" si="4"/>
        <v>0</v>
      </c>
      <c r="X28" s="608">
        <f t="shared" si="10"/>
        <v>3000000</v>
      </c>
      <c r="AC28" s="361">
        <f t="shared" si="0"/>
        <v>0</v>
      </c>
    </row>
    <row r="29" spans="3:29" ht="15" customHeight="1" x14ac:dyDescent="0.35">
      <c r="C29" s="3874"/>
      <c r="D29" s="1081" t="s">
        <v>550</v>
      </c>
      <c r="E29" s="1119" t="s">
        <v>549</v>
      </c>
      <c r="F29" s="1120">
        <v>177000000</v>
      </c>
      <c r="G29" s="1120"/>
      <c r="H29" s="1102"/>
      <c r="I29" s="592">
        <v>511000000</v>
      </c>
      <c r="J29" s="592"/>
      <c r="K29" s="592"/>
      <c r="L29" s="592">
        <f>-508000000</f>
        <v>-508000000</v>
      </c>
      <c r="M29" s="592"/>
      <c r="N29" s="592"/>
      <c r="O29" s="592"/>
      <c r="P29" s="592">
        <f t="shared" si="8"/>
        <v>0</v>
      </c>
      <c r="Q29" s="592"/>
      <c r="R29" s="592"/>
      <c r="S29" s="592"/>
      <c r="T29" s="592"/>
      <c r="U29" s="592"/>
      <c r="V29" s="592">
        <f t="shared" si="9"/>
        <v>0</v>
      </c>
      <c r="W29" s="592">
        <f t="shared" si="4"/>
        <v>0</v>
      </c>
      <c r="X29" s="608">
        <f t="shared" si="10"/>
        <v>3000000</v>
      </c>
      <c r="AC29" s="361">
        <f t="shared" si="0"/>
        <v>0</v>
      </c>
    </row>
    <row r="30" spans="3:29" ht="15" customHeight="1" x14ac:dyDescent="0.4">
      <c r="C30" s="3874"/>
      <c r="D30" s="421" t="s">
        <v>629</v>
      </c>
      <c r="E30" s="1104" t="s">
        <v>605</v>
      </c>
      <c r="F30" s="1105">
        <v>2295000000</v>
      </c>
      <c r="G30" s="1105"/>
      <c r="H30" s="1102"/>
      <c r="I30" s="592">
        <v>6432672000</v>
      </c>
      <c r="J30" s="592"/>
      <c r="K30" s="592"/>
      <c r="L30" s="592">
        <f>-5612000000-661000000</f>
        <v>-6273000000</v>
      </c>
      <c r="M30" s="592"/>
      <c r="N30" s="592"/>
      <c r="O30" s="592"/>
      <c r="P30" s="592">
        <f t="shared" si="8"/>
        <v>0</v>
      </c>
      <c r="Q30" s="592"/>
      <c r="R30" s="592"/>
      <c r="S30" s="592"/>
      <c r="T30" s="592"/>
      <c r="U30" s="592"/>
      <c r="V30" s="592">
        <f t="shared" si="9"/>
        <v>0</v>
      </c>
      <c r="W30" s="592">
        <f t="shared" si="4"/>
        <v>0</v>
      </c>
      <c r="X30" s="608">
        <f t="shared" si="10"/>
        <v>159672000</v>
      </c>
      <c r="AC30" s="361">
        <f t="shared" si="0"/>
        <v>0</v>
      </c>
    </row>
    <row r="31" spans="3:29" ht="15" customHeight="1" x14ac:dyDescent="0.4">
      <c r="C31" s="3874"/>
      <c r="D31" s="421" t="s">
        <v>634</v>
      </c>
      <c r="E31" s="1104" t="s">
        <v>598</v>
      </c>
      <c r="F31" s="1105">
        <v>1530000000</v>
      </c>
      <c r="G31" s="1105"/>
      <c r="H31" s="1102"/>
      <c r="I31" s="592">
        <v>4524000000</v>
      </c>
      <c r="J31" s="592"/>
      <c r="K31" s="592"/>
      <c r="L31" s="592">
        <f>-4525000000</f>
        <v>-4525000000</v>
      </c>
      <c r="M31" s="592">
        <v>623000000</v>
      </c>
      <c r="N31" s="592">
        <v>1040000000</v>
      </c>
      <c r="O31" s="592">
        <v>766000000</v>
      </c>
      <c r="P31" s="592">
        <f t="shared" si="8"/>
        <v>2429000000</v>
      </c>
      <c r="Q31" s="592"/>
      <c r="R31" s="592"/>
      <c r="S31" s="592"/>
      <c r="T31" s="592"/>
      <c r="U31" s="592"/>
      <c r="V31" s="592">
        <f t="shared" si="9"/>
        <v>-623000000</v>
      </c>
      <c r="W31" s="592">
        <f t="shared" si="4"/>
        <v>0</v>
      </c>
      <c r="X31" s="608">
        <f t="shared" si="10"/>
        <v>1805000000</v>
      </c>
      <c r="AC31" s="361">
        <f t="shared" si="0"/>
        <v>1806000000</v>
      </c>
    </row>
    <row r="32" spans="3:29" ht="15" customHeight="1" x14ac:dyDescent="0.4">
      <c r="C32" s="3874"/>
      <c r="D32" s="421" t="s">
        <v>641</v>
      </c>
      <c r="E32" s="1104" t="s">
        <v>640</v>
      </c>
      <c r="F32" s="1105">
        <v>3598000000</v>
      </c>
      <c r="G32" s="1105"/>
      <c r="H32" s="1102"/>
      <c r="I32" s="592">
        <v>4242000000</v>
      </c>
      <c r="J32" s="592"/>
      <c r="K32" s="592"/>
      <c r="L32" s="592">
        <f>-4245000000+3000000</f>
        <v>-4242000000</v>
      </c>
      <c r="M32" s="592"/>
      <c r="N32" s="592"/>
      <c r="O32" s="592"/>
      <c r="P32" s="592">
        <f t="shared" si="8"/>
        <v>0</v>
      </c>
      <c r="Q32" s="592"/>
      <c r="R32" s="592"/>
      <c r="S32" s="592"/>
      <c r="T32" s="592"/>
      <c r="U32" s="592"/>
      <c r="V32" s="592">
        <f t="shared" si="9"/>
        <v>0</v>
      </c>
      <c r="W32" s="592">
        <f t="shared" si="4"/>
        <v>0</v>
      </c>
      <c r="X32" s="608">
        <f t="shared" si="10"/>
        <v>0</v>
      </c>
      <c r="AC32" s="361">
        <f t="shared" si="0"/>
        <v>0</v>
      </c>
    </row>
    <row r="33" spans="1:29" ht="15" customHeight="1" x14ac:dyDescent="0.35">
      <c r="C33" s="3874"/>
      <c r="D33" s="421" t="s">
        <v>622</v>
      </c>
      <c r="E33" s="1106" t="s">
        <v>620</v>
      </c>
      <c r="F33" s="1105">
        <v>7928000000</v>
      </c>
      <c r="G33" s="1105"/>
      <c r="H33" s="1102"/>
      <c r="I33" s="592">
        <v>23833357193</v>
      </c>
      <c r="J33" s="592"/>
      <c r="K33" s="592"/>
      <c r="L33" s="592">
        <f>-22169000000-980000000</f>
        <v>-23149000000</v>
      </c>
      <c r="M33" s="592">
        <v>3085000000</v>
      </c>
      <c r="N33" s="592">
        <v>4042000000</v>
      </c>
      <c r="O33" s="592">
        <v>3245000000</v>
      </c>
      <c r="P33" s="592">
        <f t="shared" si="8"/>
        <v>10372000000</v>
      </c>
      <c r="Q33" s="592"/>
      <c r="R33" s="592"/>
      <c r="S33" s="592"/>
      <c r="T33" s="592"/>
      <c r="U33" s="592"/>
      <c r="V33" s="592">
        <f t="shared" si="9"/>
        <v>-3085000000</v>
      </c>
      <c r="W33" s="592">
        <f t="shared" si="4"/>
        <v>0</v>
      </c>
      <c r="X33" s="608">
        <f t="shared" si="10"/>
        <v>7971357193</v>
      </c>
      <c r="AC33" s="361">
        <f t="shared" si="0"/>
        <v>7287000000</v>
      </c>
    </row>
    <row r="34" spans="1:29" ht="15" customHeight="1" x14ac:dyDescent="0.35">
      <c r="C34" s="3874"/>
      <c r="D34" s="421" t="s">
        <v>642</v>
      </c>
      <c r="E34" s="1106" t="s">
        <v>631</v>
      </c>
      <c r="F34" s="1105">
        <v>1419000000</v>
      </c>
      <c r="G34" s="1105"/>
      <c r="H34" s="1102"/>
      <c r="I34" s="592">
        <v>12903767795</v>
      </c>
      <c r="J34" s="592"/>
      <c r="K34" s="592"/>
      <c r="L34" s="592">
        <f>-11753000000-933000000</f>
        <v>-12686000000</v>
      </c>
      <c r="M34" s="592">
        <v>4270000000</v>
      </c>
      <c r="N34" s="592">
        <v>3811000000</v>
      </c>
      <c r="O34" s="592">
        <v>3322000000</v>
      </c>
      <c r="P34" s="592">
        <f t="shared" si="8"/>
        <v>11403000000</v>
      </c>
      <c r="Q34" s="592"/>
      <c r="R34" s="592"/>
      <c r="S34" s="592"/>
      <c r="T34" s="592"/>
      <c r="U34" s="592"/>
      <c r="V34" s="592">
        <f t="shared" si="9"/>
        <v>-4270000000</v>
      </c>
      <c r="W34" s="592">
        <f t="shared" si="4"/>
        <v>0</v>
      </c>
      <c r="X34" s="608">
        <f t="shared" si="10"/>
        <v>7350767795</v>
      </c>
      <c r="AC34" s="361">
        <f t="shared" si="0"/>
        <v>7133000000</v>
      </c>
    </row>
    <row r="35" spans="1:29" ht="15" customHeight="1" x14ac:dyDescent="0.4">
      <c r="C35" s="3874"/>
      <c r="D35" s="421" t="s">
        <v>623</v>
      </c>
      <c r="E35" s="1104" t="s">
        <v>599</v>
      </c>
      <c r="F35" s="1105">
        <v>165000000</v>
      </c>
      <c r="G35" s="1105"/>
      <c r="H35" s="1102"/>
      <c r="I35" s="592">
        <v>1605417466</v>
      </c>
      <c r="J35" s="592"/>
      <c r="K35" s="592"/>
      <c r="L35" s="592">
        <f>-540000000-859000000</f>
        <v>-1399000000</v>
      </c>
      <c r="M35" s="592"/>
      <c r="N35" s="592"/>
      <c r="O35" s="592"/>
      <c r="P35" s="592">
        <f t="shared" si="8"/>
        <v>0</v>
      </c>
      <c r="Q35" s="592"/>
      <c r="R35" s="592"/>
      <c r="S35" s="592"/>
      <c r="T35" s="592"/>
      <c r="U35" s="592"/>
      <c r="V35" s="592">
        <f t="shared" si="9"/>
        <v>0</v>
      </c>
      <c r="W35" s="592">
        <f t="shared" si="4"/>
        <v>0</v>
      </c>
      <c r="X35" s="608">
        <f t="shared" si="10"/>
        <v>206417466</v>
      </c>
      <c r="AC35" s="361">
        <f t="shared" si="0"/>
        <v>0</v>
      </c>
    </row>
    <row r="36" spans="1:29" ht="15" customHeight="1" x14ac:dyDescent="0.4">
      <c r="C36" s="3874"/>
      <c r="D36" s="421" t="s">
        <v>643</v>
      </c>
      <c r="E36" s="1104" t="s">
        <v>632</v>
      </c>
      <c r="F36" s="1105">
        <v>9740000000</v>
      </c>
      <c r="G36" s="1105"/>
      <c r="H36" s="1102"/>
      <c r="I36" s="592">
        <v>13732084136</v>
      </c>
      <c r="J36" s="592"/>
      <c r="K36" s="592"/>
      <c r="L36" s="592">
        <f>-9541000000-3383000000</f>
        <v>-12924000000</v>
      </c>
      <c r="M36" s="592"/>
      <c r="N36" s="592"/>
      <c r="O36" s="592"/>
      <c r="P36" s="592">
        <f t="shared" si="8"/>
        <v>0</v>
      </c>
      <c r="Q36" s="592"/>
      <c r="R36" s="592"/>
      <c r="S36" s="592"/>
      <c r="T36" s="592"/>
      <c r="U36" s="592"/>
      <c r="V36" s="592">
        <f t="shared" si="9"/>
        <v>0</v>
      </c>
      <c r="W36" s="592">
        <f t="shared" si="4"/>
        <v>0</v>
      </c>
      <c r="X36" s="608">
        <f t="shared" si="10"/>
        <v>808084136</v>
      </c>
      <c r="AC36" s="361">
        <f t="shared" si="0"/>
        <v>0</v>
      </c>
    </row>
    <row r="37" spans="1:29" ht="15" customHeight="1" x14ac:dyDescent="0.35">
      <c r="C37" s="3874"/>
      <c r="D37" s="421" t="s">
        <v>624</v>
      </c>
      <c r="E37" s="1106" t="s">
        <v>600</v>
      </c>
      <c r="F37" s="1105">
        <v>543000000</v>
      </c>
      <c r="G37" s="1105"/>
      <c r="H37" s="1102"/>
      <c r="I37" s="592">
        <v>11845344000</v>
      </c>
      <c r="J37" s="592"/>
      <c r="K37" s="592"/>
      <c r="L37" s="592">
        <f>-10420000000-1147000000</f>
        <v>-11567000000</v>
      </c>
      <c r="M37" s="592">
        <v>1369000000</v>
      </c>
      <c r="N37" s="592">
        <v>1305000000</v>
      </c>
      <c r="O37" s="592">
        <v>961000000</v>
      </c>
      <c r="P37" s="592">
        <f t="shared" si="8"/>
        <v>3635000000</v>
      </c>
      <c r="Q37" s="592"/>
      <c r="R37" s="592"/>
      <c r="S37" s="592"/>
      <c r="T37" s="592"/>
      <c r="U37" s="592"/>
      <c r="V37" s="592">
        <f t="shared" si="9"/>
        <v>-1369000000</v>
      </c>
      <c r="W37" s="592">
        <f t="shared" si="4"/>
        <v>0</v>
      </c>
      <c r="X37" s="608">
        <f t="shared" si="10"/>
        <v>2544344000</v>
      </c>
      <c r="AC37" s="361">
        <f t="shared" si="0"/>
        <v>2266000000</v>
      </c>
    </row>
    <row r="38" spans="1:29" ht="15" customHeight="1" thickBot="1" x14ac:dyDescent="0.45">
      <c r="C38" s="3875"/>
      <c r="D38" s="1069" t="s">
        <v>625</v>
      </c>
      <c r="E38" s="1121" t="s">
        <v>601</v>
      </c>
      <c r="F38" s="1110">
        <v>1854000000</v>
      </c>
      <c r="G38" s="1110"/>
      <c r="H38" s="1111"/>
      <c r="I38" s="604">
        <v>8117000000</v>
      </c>
      <c r="J38" s="604"/>
      <c r="K38" s="604"/>
      <c r="L38" s="604">
        <f>-8115000000</f>
        <v>-8115000000</v>
      </c>
      <c r="M38" s="604"/>
      <c r="N38" s="604"/>
      <c r="O38" s="604"/>
      <c r="P38" s="604">
        <f t="shared" si="8"/>
        <v>0</v>
      </c>
      <c r="Q38" s="604"/>
      <c r="R38" s="604"/>
      <c r="S38" s="604"/>
      <c r="T38" s="604"/>
      <c r="U38" s="604"/>
      <c r="V38" s="604">
        <f t="shared" si="9"/>
        <v>0</v>
      </c>
      <c r="W38" s="604">
        <f t="shared" si="4"/>
        <v>0</v>
      </c>
      <c r="X38" s="608">
        <f t="shared" si="10"/>
        <v>2000000</v>
      </c>
      <c r="AC38" s="361">
        <f t="shared" si="0"/>
        <v>0</v>
      </c>
    </row>
    <row r="39" spans="1:29" ht="15" customHeight="1" thickBot="1" x14ac:dyDescent="0.4">
      <c r="C39" s="3877" t="s">
        <v>1324</v>
      </c>
      <c r="D39" s="3878"/>
      <c r="E39" s="3879"/>
      <c r="F39" s="1122"/>
      <c r="G39" s="1122"/>
      <c r="H39" s="1114"/>
      <c r="I39" s="605">
        <v>103876991067</v>
      </c>
      <c r="J39" s="605">
        <f t="shared" ref="J39:U39" si="11">SUM(J25:J38)</f>
        <v>0</v>
      </c>
      <c r="K39" s="605">
        <f t="shared" si="11"/>
        <v>0</v>
      </c>
      <c r="L39" s="605">
        <f>SUM(L25:L38)</f>
        <v>-100643000000</v>
      </c>
      <c r="M39" s="605">
        <f>SUM(M25:M38)</f>
        <v>11198000000</v>
      </c>
      <c r="N39" s="605">
        <f>SUM(N25:N38)</f>
        <v>12187000000</v>
      </c>
      <c r="O39" s="605">
        <f>SUM(O25:O38)</f>
        <v>9758000000</v>
      </c>
      <c r="P39" s="605">
        <f>SUM(P25:P38)</f>
        <v>33143000000</v>
      </c>
      <c r="Q39" s="605">
        <f t="shared" si="11"/>
        <v>0</v>
      </c>
      <c r="R39" s="605">
        <f t="shared" si="11"/>
        <v>0</v>
      </c>
      <c r="S39" s="605">
        <f t="shared" si="11"/>
        <v>0</v>
      </c>
      <c r="T39" s="605">
        <f t="shared" si="11"/>
        <v>0</v>
      </c>
      <c r="U39" s="605">
        <f t="shared" si="11"/>
        <v>0</v>
      </c>
      <c r="V39" s="748">
        <f>-M39</f>
        <v>-11198000000</v>
      </c>
      <c r="W39" s="748">
        <f t="shared" si="4"/>
        <v>0</v>
      </c>
      <c r="X39" s="749">
        <f>I39+L39+P39+U39+V39+W39</f>
        <v>25178991067</v>
      </c>
      <c r="AC39" s="361">
        <f>M39+N39+O39</f>
        <v>33143000000</v>
      </c>
    </row>
    <row r="40" spans="1:29" ht="15" customHeight="1" x14ac:dyDescent="0.35">
      <c r="C40" s="3888" t="s">
        <v>1110</v>
      </c>
      <c r="D40" s="3888"/>
      <c r="E40" s="3888"/>
      <c r="F40" s="3888"/>
      <c r="G40" s="3888"/>
      <c r="H40" s="3888"/>
      <c r="I40" s="3888"/>
      <c r="J40" s="3888"/>
      <c r="K40" s="3888"/>
      <c r="L40" s="3888"/>
      <c r="M40" s="3888"/>
      <c r="N40" s="3888"/>
      <c r="O40" s="3888"/>
      <c r="P40" s="3888"/>
      <c r="Q40" s="3888"/>
      <c r="R40" s="3888"/>
      <c r="S40" s="3888"/>
      <c r="T40" s="3888"/>
      <c r="U40" s="3888"/>
      <c r="V40" s="3888"/>
      <c r="W40" s="3888"/>
      <c r="X40" s="3888"/>
      <c r="AC40" s="361">
        <f t="shared" ref="AC40:AC46" si="12">M40+N40+O40</f>
        <v>0</v>
      </c>
    </row>
    <row r="41" spans="1:29" ht="19.149999999999999" customHeight="1" x14ac:dyDescent="0.35">
      <c r="A41" s="3431" t="s">
        <v>32</v>
      </c>
      <c r="B41" s="3431"/>
      <c r="C41" s="3431"/>
      <c r="D41" s="3431"/>
      <c r="E41" s="3431"/>
      <c r="F41" s="3431"/>
      <c r="G41" s="3431"/>
      <c r="H41" s="3431"/>
      <c r="I41" s="3431"/>
      <c r="J41" s="3431"/>
      <c r="K41" s="3431"/>
      <c r="L41" s="3431"/>
      <c r="M41" s="3431"/>
      <c r="N41" s="3431"/>
      <c r="O41" s="3431"/>
      <c r="P41" s="3431"/>
      <c r="Q41" s="3431"/>
      <c r="R41" s="3431"/>
      <c r="S41" s="3431"/>
      <c r="T41" s="3431"/>
      <c r="U41" s="3431"/>
      <c r="V41" s="3431"/>
      <c r="W41" s="3431"/>
      <c r="X41" s="3431"/>
      <c r="AC41" s="361">
        <f t="shared" si="12"/>
        <v>0</v>
      </c>
    </row>
    <row r="42" spans="1:29" ht="19.149999999999999" customHeight="1" x14ac:dyDescent="0.35">
      <c r="A42" s="3431" t="s">
        <v>45</v>
      </c>
      <c r="B42" s="3431"/>
      <c r="C42" s="3431"/>
      <c r="D42" s="3431"/>
      <c r="E42" s="3431"/>
      <c r="F42" s="3431"/>
      <c r="G42" s="3431"/>
      <c r="H42" s="3431"/>
      <c r="I42" s="3431"/>
      <c r="J42" s="3431"/>
      <c r="K42" s="3431"/>
      <c r="L42" s="3431"/>
      <c r="M42" s="3431"/>
      <c r="N42" s="3431"/>
      <c r="O42" s="3431"/>
      <c r="P42" s="3431"/>
      <c r="Q42" s="3431"/>
      <c r="R42" s="3431"/>
      <c r="S42" s="3431"/>
      <c r="T42" s="3431"/>
      <c r="U42" s="3431"/>
      <c r="V42" s="3431"/>
      <c r="W42" s="3431"/>
      <c r="X42" s="3431"/>
      <c r="AC42" s="361">
        <f t="shared" si="12"/>
        <v>0</v>
      </c>
    </row>
    <row r="43" spans="1:29" ht="19.149999999999999" customHeight="1" x14ac:dyDescent="0.35">
      <c r="A43" s="3431" t="s">
        <v>46</v>
      </c>
      <c r="B43" s="3431"/>
      <c r="C43" s="3431"/>
      <c r="D43" s="3431"/>
      <c r="E43" s="3431"/>
      <c r="F43" s="3431"/>
      <c r="G43" s="3431"/>
      <c r="H43" s="3431"/>
      <c r="I43" s="3431"/>
      <c r="J43" s="3431"/>
      <c r="K43" s="3431"/>
      <c r="L43" s="3431"/>
      <c r="M43" s="3431"/>
      <c r="N43" s="3431"/>
      <c r="O43" s="3431"/>
      <c r="P43" s="3431"/>
      <c r="Q43" s="3431"/>
      <c r="R43" s="3431"/>
      <c r="S43" s="3431"/>
      <c r="T43" s="3431"/>
      <c r="U43" s="3431"/>
      <c r="V43" s="3431"/>
      <c r="W43" s="3431"/>
      <c r="X43" s="3431"/>
      <c r="AC43" s="361">
        <f t="shared" si="12"/>
        <v>0</v>
      </c>
    </row>
    <row r="44" spans="1:29" ht="19.149999999999999" customHeight="1" x14ac:dyDescent="0.35">
      <c r="A44" s="3057" t="s">
        <v>1990</v>
      </c>
      <c r="B44" s="3057"/>
      <c r="C44" s="3057"/>
      <c r="D44" s="3057"/>
      <c r="E44" s="3057"/>
      <c r="F44" s="3057"/>
      <c r="G44" s="3057"/>
      <c r="H44" s="3057"/>
      <c r="I44" s="3057"/>
      <c r="J44" s="3057"/>
      <c r="K44" s="3057"/>
      <c r="L44" s="3057"/>
      <c r="M44" s="3057"/>
      <c r="N44" s="3057"/>
      <c r="O44" s="3057"/>
      <c r="P44" s="3057"/>
      <c r="Q44" s="3057"/>
      <c r="R44" s="3057"/>
      <c r="S44" s="3057"/>
      <c r="T44" s="3057"/>
      <c r="U44" s="3057"/>
      <c r="V44" s="3057"/>
      <c r="W44" s="3057"/>
      <c r="X44" s="3057"/>
      <c r="AC44" s="361">
        <f t="shared" si="12"/>
        <v>0</v>
      </c>
    </row>
    <row r="45" spans="1:29" ht="19.149999999999999" customHeight="1" x14ac:dyDescent="0.5">
      <c r="A45" s="139"/>
      <c r="B45" s="139"/>
      <c r="C45" s="139"/>
      <c r="D45" s="717"/>
      <c r="E45" s="717"/>
      <c r="F45" s="1096"/>
      <c r="G45" s="1096"/>
      <c r="H45" s="1096"/>
      <c r="I45" s="588"/>
      <c r="J45" s="718"/>
      <c r="K45" s="718"/>
      <c r="L45" s="185"/>
      <c r="M45" s="185"/>
      <c r="N45" s="185"/>
      <c r="O45" s="185"/>
      <c r="P45" s="185"/>
      <c r="Q45" s="185"/>
      <c r="R45" s="185"/>
      <c r="S45" s="185"/>
      <c r="T45" s="185"/>
      <c r="U45" s="185"/>
      <c r="V45" s="185"/>
      <c r="W45" s="185"/>
      <c r="X45" s="185"/>
      <c r="AC45" s="361">
        <f t="shared" si="12"/>
        <v>0</v>
      </c>
    </row>
    <row r="46" spans="1:29" ht="19.149999999999999" customHeight="1" x14ac:dyDescent="0.35">
      <c r="C46" s="3097" t="s">
        <v>1894</v>
      </c>
      <c r="D46" s="3097"/>
      <c r="E46" s="3097"/>
      <c r="F46" s="3097"/>
      <c r="G46" s="3097"/>
      <c r="H46" s="3097"/>
      <c r="I46" s="3097"/>
      <c r="J46" s="3097"/>
      <c r="K46" s="3097"/>
      <c r="L46" s="3097"/>
      <c r="M46" s="3097"/>
      <c r="N46" s="3097"/>
      <c r="O46" s="3097"/>
      <c r="P46" s="3097"/>
      <c r="Q46" s="3097"/>
      <c r="R46" s="3097"/>
      <c r="S46" s="3097"/>
      <c r="T46" s="3097"/>
      <c r="U46" s="3097"/>
      <c r="V46" s="3097"/>
      <c r="W46" s="3097"/>
      <c r="X46" s="3097"/>
      <c r="AC46" s="361">
        <f t="shared" si="12"/>
        <v>0</v>
      </c>
    </row>
    <row r="47" spans="1:29" ht="76.900000000000006" customHeight="1" x14ac:dyDescent="0.35">
      <c r="C47" s="3880" t="s">
        <v>419</v>
      </c>
      <c r="D47" s="3881" t="s">
        <v>53</v>
      </c>
      <c r="E47" s="3501" t="s">
        <v>54</v>
      </c>
      <c r="F47" s="1098"/>
      <c r="G47" s="1098"/>
      <c r="H47" s="1098"/>
      <c r="I47" s="3884" t="s">
        <v>1398</v>
      </c>
      <c r="J47" s="3884"/>
      <c r="K47" s="3884"/>
      <c r="L47" s="3884" t="s">
        <v>2003</v>
      </c>
      <c r="M47" s="3175" t="s">
        <v>1999</v>
      </c>
      <c r="N47" s="3175"/>
      <c r="O47" s="3175"/>
      <c r="P47" s="3175"/>
      <c r="Q47" s="3884" t="s">
        <v>2000</v>
      </c>
      <c r="R47" s="3884"/>
      <c r="S47" s="3884"/>
      <c r="T47" s="3884"/>
      <c r="U47" s="3884"/>
      <c r="V47" s="3882" t="s">
        <v>2001</v>
      </c>
      <c r="W47" s="3884" t="s">
        <v>2002</v>
      </c>
      <c r="X47" s="3884" t="s">
        <v>1250</v>
      </c>
      <c r="AC47" s="361"/>
    </row>
    <row r="48" spans="1:29" ht="48" customHeight="1" x14ac:dyDescent="0.35">
      <c r="C48" s="3880"/>
      <c r="D48" s="3881"/>
      <c r="E48" s="3501"/>
      <c r="F48" s="1098"/>
      <c r="G48" s="1098"/>
      <c r="H48" s="1098"/>
      <c r="I48" s="583" t="s">
        <v>1248</v>
      </c>
      <c r="J48" s="1439" t="s">
        <v>1249</v>
      </c>
      <c r="K48" s="1439" t="s">
        <v>27</v>
      </c>
      <c r="L48" s="3884"/>
      <c r="M48" s="1099">
        <v>1403</v>
      </c>
      <c r="N48" s="594">
        <v>1404</v>
      </c>
      <c r="O48" s="594">
        <v>1405</v>
      </c>
      <c r="P48" s="1099" t="s">
        <v>27</v>
      </c>
      <c r="Q48" s="1100">
        <v>1403</v>
      </c>
      <c r="R48" s="1100">
        <v>1404</v>
      </c>
      <c r="S48" s="1100">
        <v>1405</v>
      </c>
      <c r="T48" s="1100">
        <v>1406</v>
      </c>
      <c r="U48" s="1100" t="s">
        <v>27</v>
      </c>
      <c r="V48" s="3883"/>
      <c r="W48" s="3884"/>
      <c r="X48" s="3884"/>
      <c r="AC48" s="361">
        <f>M48+N48+O48</f>
        <v>4212</v>
      </c>
    </row>
    <row r="49" spans="3:30" ht="19.149999999999999" customHeight="1" x14ac:dyDescent="0.35">
      <c r="C49" s="3874" t="s">
        <v>420</v>
      </c>
      <c r="D49" s="3684" t="s">
        <v>1325</v>
      </c>
      <c r="E49" s="3684"/>
      <c r="F49" s="1105"/>
      <c r="G49" s="1105"/>
      <c r="H49" s="1102"/>
      <c r="I49" s="584">
        <f>I39</f>
        <v>103876991067</v>
      </c>
      <c r="J49" s="584">
        <f t="shared" ref="J49:W49" si="13">J39</f>
        <v>0</v>
      </c>
      <c r="K49" s="584">
        <f t="shared" si="13"/>
        <v>0</v>
      </c>
      <c r="L49" s="584">
        <f t="shared" si="13"/>
        <v>-100643000000</v>
      </c>
      <c r="M49" s="584">
        <f t="shared" si="13"/>
        <v>11198000000</v>
      </c>
      <c r="N49" s="584">
        <f t="shared" si="13"/>
        <v>12187000000</v>
      </c>
      <c r="O49" s="584">
        <f t="shared" si="13"/>
        <v>9758000000</v>
      </c>
      <c r="P49" s="584">
        <f t="shared" si="13"/>
        <v>33143000000</v>
      </c>
      <c r="Q49" s="584">
        <f t="shared" si="13"/>
        <v>0</v>
      </c>
      <c r="R49" s="584">
        <f t="shared" si="13"/>
        <v>0</v>
      </c>
      <c r="S49" s="584">
        <f t="shared" si="13"/>
        <v>0</v>
      </c>
      <c r="T49" s="584">
        <f t="shared" si="13"/>
        <v>0</v>
      </c>
      <c r="U49" s="584">
        <f>U39</f>
        <v>0</v>
      </c>
      <c r="V49" s="584">
        <f>-M49</f>
        <v>-11198000000</v>
      </c>
      <c r="W49" s="584">
        <f t="shared" si="13"/>
        <v>0</v>
      </c>
      <c r="X49" s="584">
        <f>X39</f>
        <v>25178991067</v>
      </c>
      <c r="AC49" s="361">
        <f t="shared" ref="AC49:AC58" si="14">N49+O49</f>
        <v>21945000000</v>
      </c>
    </row>
    <row r="50" spans="3:30" ht="19.149999999999999" customHeight="1" x14ac:dyDescent="0.4">
      <c r="C50" s="3874"/>
      <c r="D50" s="421" t="s">
        <v>677</v>
      </c>
      <c r="E50" s="1123" t="s">
        <v>676</v>
      </c>
      <c r="F50" s="1105">
        <f>673000000+7949000000</f>
        <v>8622000000</v>
      </c>
      <c r="G50" s="1105"/>
      <c r="H50" s="1102"/>
      <c r="I50" s="592">
        <v>19136000000</v>
      </c>
      <c r="J50" s="592"/>
      <c r="K50" s="592"/>
      <c r="L50" s="592">
        <f>-19134000000</f>
        <v>-19134000000</v>
      </c>
      <c r="M50" s="592">
        <v>1914000000</v>
      </c>
      <c r="N50" s="592">
        <v>1198000000</v>
      </c>
      <c r="O50" s="592">
        <v>1044000000</v>
      </c>
      <c r="P50" s="592">
        <f>O50+N50+M50</f>
        <v>4156000000</v>
      </c>
      <c r="Q50" s="592"/>
      <c r="R50" s="592"/>
      <c r="S50" s="592"/>
      <c r="T50" s="592"/>
      <c r="U50" s="592"/>
      <c r="V50" s="584">
        <f t="shared" ref="V50:V57" si="15">-M50</f>
        <v>-1914000000</v>
      </c>
      <c r="W50" s="592"/>
      <c r="X50" s="584">
        <f>I50+L50+P50+U50+V50+W50</f>
        <v>2244000000</v>
      </c>
      <c r="AC50" s="361">
        <f t="shared" si="14"/>
        <v>2242000000</v>
      </c>
    </row>
    <row r="51" spans="3:30" ht="19.149999999999999" customHeight="1" x14ac:dyDescent="0.35">
      <c r="C51" s="3874"/>
      <c r="D51" s="421" t="s">
        <v>626</v>
      </c>
      <c r="E51" s="1106" t="s">
        <v>602</v>
      </c>
      <c r="F51" s="1105">
        <v>338000000</v>
      </c>
      <c r="G51" s="1105"/>
      <c r="H51" s="1102"/>
      <c r="I51" s="592">
        <v>6231744442</v>
      </c>
      <c r="J51" s="592"/>
      <c r="K51" s="592"/>
      <c r="L51" s="592">
        <f>-5419000000-655000000</f>
        <v>-6074000000</v>
      </c>
      <c r="M51" s="592"/>
      <c r="N51" s="592"/>
      <c r="O51" s="592"/>
      <c r="P51" s="592">
        <f t="shared" ref="P51:P57" si="16">O51+N51+M51</f>
        <v>0</v>
      </c>
      <c r="Q51" s="592"/>
      <c r="R51" s="592"/>
      <c r="S51" s="592"/>
      <c r="T51" s="592"/>
      <c r="U51" s="592"/>
      <c r="V51" s="584">
        <f t="shared" si="15"/>
        <v>0</v>
      </c>
      <c r="W51" s="592"/>
      <c r="X51" s="584">
        <f t="shared" ref="X51:X57" si="17">I51+L51+P51+U51+V51+W51</f>
        <v>157744442</v>
      </c>
      <c r="AC51" s="361">
        <f t="shared" si="14"/>
        <v>0</v>
      </c>
    </row>
    <row r="52" spans="3:30" ht="19.149999999999999" customHeight="1" x14ac:dyDescent="0.35">
      <c r="C52" s="3874"/>
      <c r="D52" s="421" t="s">
        <v>627</v>
      </c>
      <c r="E52" s="1106" t="s">
        <v>603</v>
      </c>
      <c r="F52" s="1105">
        <v>19000000</v>
      </c>
      <c r="G52" s="1105"/>
      <c r="H52" s="1102"/>
      <c r="I52" s="592">
        <v>2675000000</v>
      </c>
      <c r="J52" s="592"/>
      <c r="K52" s="592"/>
      <c r="L52" s="592">
        <f>-2673000000</f>
        <v>-2673000000</v>
      </c>
      <c r="M52" s="592"/>
      <c r="N52" s="592"/>
      <c r="O52" s="592"/>
      <c r="P52" s="592">
        <f t="shared" si="16"/>
        <v>0</v>
      </c>
      <c r="Q52" s="592"/>
      <c r="R52" s="592"/>
      <c r="S52" s="592"/>
      <c r="T52" s="592"/>
      <c r="U52" s="592"/>
      <c r="V52" s="584">
        <f t="shared" si="15"/>
        <v>0</v>
      </c>
      <c r="W52" s="592"/>
      <c r="X52" s="584">
        <f>I52+L52+P52+U52+V52+W52</f>
        <v>2000000</v>
      </c>
      <c r="AC52" s="361">
        <f t="shared" si="14"/>
        <v>0</v>
      </c>
    </row>
    <row r="53" spans="3:30" ht="19.149999999999999" customHeight="1" x14ac:dyDescent="0.4">
      <c r="C53" s="3874"/>
      <c r="D53" s="421" t="s">
        <v>609</v>
      </c>
      <c r="E53" s="1104" t="s">
        <v>607</v>
      </c>
      <c r="F53" s="1105">
        <v>35684000000</v>
      </c>
      <c r="G53" s="1105"/>
      <c r="H53" s="1102"/>
      <c r="I53" s="592">
        <v>63510000000</v>
      </c>
      <c r="J53" s="592"/>
      <c r="K53" s="592"/>
      <c r="L53" s="592">
        <f>-63509000000</f>
        <v>-63509000000</v>
      </c>
      <c r="M53" s="592">
        <v>559000000</v>
      </c>
      <c r="N53" s="592">
        <v>658000000</v>
      </c>
      <c r="O53" s="592">
        <v>573000000</v>
      </c>
      <c r="P53" s="592">
        <f t="shared" si="16"/>
        <v>1790000000</v>
      </c>
      <c r="Q53" s="592"/>
      <c r="R53" s="592"/>
      <c r="S53" s="592"/>
      <c r="T53" s="592"/>
      <c r="U53" s="592"/>
      <c r="V53" s="584">
        <f t="shared" si="15"/>
        <v>-559000000</v>
      </c>
      <c r="W53" s="592"/>
      <c r="X53" s="584">
        <f t="shared" si="17"/>
        <v>1232000000</v>
      </c>
      <c r="AC53" s="361">
        <f t="shared" si="14"/>
        <v>1231000000</v>
      </c>
    </row>
    <row r="54" spans="3:30" ht="19.149999999999999" customHeight="1" x14ac:dyDescent="0.4">
      <c r="C54" s="3874"/>
      <c r="D54" s="422" t="s">
        <v>1080</v>
      </c>
      <c r="E54" s="1104" t="s">
        <v>1081</v>
      </c>
      <c r="F54" s="1105"/>
      <c r="G54" s="1105"/>
      <c r="H54" s="1102"/>
      <c r="I54" s="592">
        <v>7709612972</v>
      </c>
      <c r="J54" s="592"/>
      <c r="K54" s="592"/>
      <c r="L54" s="592">
        <f>-3172000000-3661000000</f>
        <v>-6833000000</v>
      </c>
      <c r="M54" s="592"/>
      <c r="N54" s="592"/>
      <c r="O54" s="592"/>
      <c r="P54" s="592">
        <f t="shared" si="16"/>
        <v>0</v>
      </c>
      <c r="Q54" s="592"/>
      <c r="R54" s="592"/>
      <c r="S54" s="592"/>
      <c r="T54" s="592"/>
      <c r="U54" s="592"/>
      <c r="V54" s="584">
        <f t="shared" si="15"/>
        <v>0</v>
      </c>
      <c r="W54" s="592"/>
      <c r="X54" s="584">
        <f>I54+L54+P54+U54+V54+W54</f>
        <v>876612972</v>
      </c>
      <c r="AC54" s="361">
        <f t="shared" si="14"/>
        <v>0</v>
      </c>
    </row>
    <row r="55" spans="3:30" ht="19.149999999999999" customHeight="1" x14ac:dyDescent="0.4">
      <c r="C55" s="3874"/>
      <c r="D55" s="422" t="s">
        <v>1078</v>
      </c>
      <c r="E55" s="593" t="s">
        <v>1077</v>
      </c>
      <c r="F55" s="1124"/>
      <c r="G55" s="1124"/>
      <c r="H55" s="1102"/>
      <c r="I55" s="592">
        <v>28889170219</v>
      </c>
      <c r="J55" s="592"/>
      <c r="K55" s="592"/>
      <c r="L55" s="592">
        <f>-6482000000-13033000000</f>
        <v>-19515000000</v>
      </c>
      <c r="M55" s="592">
        <v>6536000000</v>
      </c>
      <c r="N55" s="592">
        <v>5059000000</v>
      </c>
      <c r="O55" s="592">
        <v>3726000000</v>
      </c>
      <c r="P55" s="592">
        <f t="shared" si="16"/>
        <v>15321000000</v>
      </c>
      <c r="Q55" s="592"/>
      <c r="R55" s="592"/>
      <c r="S55" s="592"/>
      <c r="T55" s="592"/>
      <c r="U55" s="592"/>
      <c r="V55" s="584">
        <f t="shared" si="15"/>
        <v>-6536000000</v>
      </c>
      <c r="W55" s="592"/>
      <c r="X55" s="584">
        <f>I55+L55+P55+U55+V55+W55</f>
        <v>18159170219</v>
      </c>
      <c r="AC55" s="361">
        <f t="shared" si="14"/>
        <v>8785000000</v>
      </c>
    </row>
    <row r="56" spans="3:30" ht="19.149999999999999" customHeight="1" x14ac:dyDescent="0.4">
      <c r="C56" s="3874"/>
      <c r="D56" s="421" t="s">
        <v>1083</v>
      </c>
      <c r="E56" s="1125" t="s">
        <v>1082</v>
      </c>
      <c r="F56" s="890">
        <v>192000000</v>
      </c>
      <c r="G56" s="890"/>
      <c r="H56" s="1102"/>
      <c r="I56" s="592">
        <v>508000000</v>
      </c>
      <c r="J56" s="592"/>
      <c r="K56" s="592"/>
      <c r="L56" s="592">
        <f>-508000000</f>
        <v>-508000000</v>
      </c>
      <c r="M56" s="592">
        <v>906000000</v>
      </c>
      <c r="N56" s="592">
        <v>997000000</v>
      </c>
      <c r="O56" s="592">
        <v>734000000</v>
      </c>
      <c r="P56" s="592">
        <f t="shared" si="16"/>
        <v>2637000000</v>
      </c>
      <c r="Q56" s="592"/>
      <c r="R56" s="592"/>
      <c r="S56" s="592"/>
      <c r="T56" s="592"/>
      <c r="U56" s="592"/>
      <c r="V56" s="584">
        <f t="shared" si="15"/>
        <v>-906000000</v>
      </c>
      <c r="W56" s="592"/>
      <c r="X56" s="584">
        <f t="shared" si="17"/>
        <v>1731000000</v>
      </c>
      <c r="AC56" s="361">
        <f t="shared" si="14"/>
        <v>1731000000</v>
      </c>
    </row>
    <row r="57" spans="3:30" ht="19.149999999999999" customHeight="1" thickBot="1" x14ac:dyDescent="0.4">
      <c r="C57" s="3875"/>
      <c r="D57" s="1126" t="s">
        <v>810</v>
      </c>
      <c r="E57" s="1127" t="s">
        <v>1085</v>
      </c>
      <c r="F57" s="1128"/>
      <c r="G57" s="1128"/>
      <c r="H57" s="1111"/>
      <c r="I57" s="604">
        <v>0</v>
      </c>
      <c r="J57" s="1129"/>
      <c r="K57" s="1129"/>
      <c r="L57" s="604"/>
      <c r="M57" s="1129"/>
      <c r="N57" s="1129"/>
      <c r="O57" s="1129"/>
      <c r="P57" s="592">
        <f t="shared" si="16"/>
        <v>0</v>
      </c>
      <c r="Q57" s="1129"/>
      <c r="R57" s="1129"/>
      <c r="S57" s="1129"/>
      <c r="T57" s="1129"/>
      <c r="U57" s="1129"/>
      <c r="V57" s="750">
        <f t="shared" si="15"/>
        <v>0</v>
      </c>
      <c r="W57" s="1129"/>
      <c r="X57" s="750">
        <f t="shared" si="17"/>
        <v>0</v>
      </c>
      <c r="AC57" s="361">
        <f t="shared" si="14"/>
        <v>0</v>
      </c>
    </row>
    <row r="58" spans="3:30" ht="19.149999999999999" customHeight="1" thickBot="1" x14ac:dyDescent="0.4">
      <c r="C58" s="3868" t="s">
        <v>1326</v>
      </c>
      <c r="D58" s="3869"/>
      <c r="E58" s="3870"/>
      <c r="F58" s="1130"/>
      <c r="G58" s="1130"/>
      <c r="H58" s="1114"/>
      <c r="I58" s="605">
        <f>SUM(I49:I57)+6000000</f>
        <v>232542518700</v>
      </c>
      <c r="J58" s="605">
        <f t="shared" ref="J58:W58" si="18">SUM(J49:J57)</f>
        <v>0</v>
      </c>
      <c r="K58" s="605">
        <f t="shared" si="18"/>
        <v>0</v>
      </c>
      <c r="L58" s="605">
        <f>SUM(L49:L57)</f>
        <v>-218889000000</v>
      </c>
      <c r="M58" s="605">
        <f>SUM(M49:M57)</f>
        <v>21113000000</v>
      </c>
      <c r="N58" s="605">
        <f>SUM(N49:N57)</f>
        <v>20099000000</v>
      </c>
      <c r="O58" s="605">
        <f>SUM(O49:O57)</f>
        <v>15835000000</v>
      </c>
      <c r="P58" s="605">
        <f>SUM(P49:P57)</f>
        <v>57047000000</v>
      </c>
      <c r="Q58" s="605">
        <f t="shared" si="18"/>
        <v>0</v>
      </c>
      <c r="R58" s="605">
        <f t="shared" si="18"/>
        <v>0</v>
      </c>
      <c r="S58" s="605">
        <f t="shared" si="18"/>
        <v>0</v>
      </c>
      <c r="T58" s="605">
        <f t="shared" si="18"/>
        <v>0</v>
      </c>
      <c r="U58" s="605">
        <f t="shared" si="18"/>
        <v>0</v>
      </c>
      <c r="V58" s="605">
        <f>SUM(V49:V57)</f>
        <v>-21113000000</v>
      </c>
      <c r="W58" s="605">
        <f t="shared" si="18"/>
        <v>0</v>
      </c>
      <c r="X58" s="606">
        <f>I58+L58+P58+U58+V58+W58-6000000</f>
        <v>49581518700</v>
      </c>
      <c r="AC58" s="361">
        <f t="shared" si="14"/>
        <v>35934000000</v>
      </c>
    </row>
    <row r="59" spans="3:30" ht="19.149999999999999" customHeight="1" thickBot="1" x14ac:dyDescent="0.45">
      <c r="C59" s="3871" t="s">
        <v>386</v>
      </c>
      <c r="D59" s="3872"/>
      <c r="E59" s="3873"/>
      <c r="F59" s="1131">
        <f>SUM(F10:F57)</f>
        <v>282512000000</v>
      </c>
      <c r="G59" s="1131">
        <f>SUM(G10:G57)</f>
        <v>0</v>
      </c>
      <c r="H59" s="1132">
        <f>SUM(F59:G59)</f>
        <v>282512000000</v>
      </c>
      <c r="I59" s="751">
        <f>I58+I24-3000000</f>
        <v>1018926686920</v>
      </c>
      <c r="J59" s="751">
        <f t="shared" ref="J59:W59" si="19">J58+J24</f>
        <v>0</v>
      </c>
      <c r="K59" s="751">
        <f t="shared" si="19"/>
        <v>0</v>
      </c>
      <c r="L59" s="751">
        <f>L58+L24</f>
        <v>-805234980000</v>
      </c>
      <c r="M59" s="751">
        <f t="shared" si="19"/>
        <v>221580000000</v>
      </c>
      <c r="N59" s="751">
        <f t="shared" si="19"/>
        <v>226120000000</v>
      </c>
      <c r="O59" s="751">
        <f t="shared" si="19"/>
        <v>149335000000</v>
      </c>
      <c r="P59" s="751">
        <f>P58+P24</f>
        <v>597035000000</v>
      </c>
      <c r="Q59" s="751">
        <f t="shared" si="19"/>
        <v>0</v>
      </c>
      <c r="R59" s="751">
        <f t="shared" si="19"/>
        <v>0</v>
      </c>
      <c r="S59" s="751">
        <f t="shared" si="19"/>
        <v>0</v>
      </c>
      <c r="T59" s="751">
        <f t="shared" si="19"/>
        <v>0</v>
      </c>
      <c r="U59" s="751">
        <f t="shared" si="19"/>
        <v>0</v>
      </c>
      <c r="V59" s="751">
        <f t="shared" si="19"/>
        <v>-221580000000</v>
      </c>
      <c r="W59" s="751">
        <f t="shared" si="19"/>
        <v>0</v>
      </c>
      <c r="X59" s="752">
        <f>X24+X58</f>
        <v>589142706920</v>
      </c>
      <c r="Y59" s="582">
        <f>SUM(Y10:Y57)</f>
        <v>0</v>
      </c>
      <c r="Z59" s="582"/>
      <c r="AA59" s="582"/>
      <c r="AB59" s="582"/>
      <c r="AC59" s="361">
        <f>N59+O59</f>
        <v>375455000000</v>
      </c>
    </row>
    <row r="60" spans="3:30" ht="13.9" customHeight="1" x14ac:dyDescent="0.35">
      <c r="C60" s="976"/>
      <c r="D60" s="1133"/>
      <c r="E60" s="1134"/>
      <c r="F60" s="1135"/>
      <c r="G60" s="1135"/>
      <c r="H60" s="1135"/>
      <c r="I60" s="585"/>
      <c r="J60" s="1136"/>
      <c r="K60" s="1136"/>
      <c r="L60" s="1374" t="s">
        <v>1893</v>
      </c>
      <c r="M60" s="1373"/>
      <c r="N60" s="1137"/>
      <c r="O60" s="1137"/>
      <c r="P60" s="1137"/>
      <c r="Q60" s="1137"/>
      <c r="R60" s="1137"/>
      <c r="S60" s="1137"/>
      <c r="T60" s="1137"/>
      <c r="U60" s="1137"/>
      <c r="V60" s="3867" t="s">
        <v>1893</v>
      </c>
      <c r="W60" s="3867"/>
      <c r="X60" s="1139"/>
    </row>
    <row r="61" spans="3:30" ht="13.9" customHeight="1" x14ac:dyDescent="0.35">
      <c r="C61" s="976"/>
      <c r="D61" s="1133"/>
      <c r="E61" s="1134"/>
      <c r="F61" s="1135"/>
      <c r="G61" s="1135"/>
      <c r="H61" s="1135"/>
      <c r="I61" s="585"/>
      <c r="J61" s="1136"/>
      <c r="K61" s="1136"/>
      <c r="L61" s="1138"/>
      <c r="M61" s="1137"/>
      <c r="N61" s="1137"/>
      <c r="O61" s="1137"/>
      <c r="P61" s="1137"/>
      <c r="Q61" s="1137"/>
      <c r="R61" s="1137"/>
      <c r="S61" s="1137"/>
      <c r="T61" s="1137"/>
      <c r="U61" s="1137"/>
      <c r="V61" s="1137"/>
      <c r="W61" s="1138"/>
      <c r="X61" s="1138"/>
      <c r="AC61" s="361">
        <f>I59+L59+M59+N59+O59+P59+V59</f>
        <v>1186181706920</v>
      </c>
    </row>
    <row r="62" spans="3:30" ht="54.6" customHeight="1" x14ac:dyDescent="0.35">
      <c r="C62" s="3890" t="s">
        <v>2222</v>
      </c>
      <c r="D62" s="3890"/>
      <c r="E62" s="3890"/>
      <c r="F62" s="3890"/>
      <c r="G62" s="3890"/>
      <c r="H62" s="3890"/>
      <c r="I62" s="3890"/>
      <c r="J62" s="3890"/>
      <c r="K62" s="3890"/>
      <c r="L62" s="3890"/>
      <c r="M62" s="3890"/>
      <c r="N62" s="3890"/>
      <c r="O62" s="3890"/>
      <c r="P62" s="3890"/>
      <c r="Q62" s="3890"/>
      <c r="R62" s="3890"/>
      <c r="S62" s="3890"/>
      <c r="T62" s="3890"/>
      <c r="U62" s="3890"/>
      <c r="V62" s="3890"/>
      <c r="W62" s="3890"/>
      <c r="X62" s="3890"/>
      <c r="AC62" s="361">
        <f>L59+V59</f>
        <v>-1026814980000</v>
      </c>
      <c r="AD62" s="361"/>
    </row>
    <row r="63" spans="3:30" ht="29.45" customHeight="1" x14ac:dyDescent="0.35">
      <c r="C63" s="979"/>
      <c r="D63" s="979"/>
      <c r="E63" s="979"/>
      <c r="F63" s="979"/>
      <c r="G63" s="979"/>
      <c r="H63" s="979"/>
      <c r="I63" s="979"/>
      <c r="J63" s="979"/>
      <c r="K63" s="979"/>
      <c r="L63" s="979"/>
      <c r="M63" s="979"/>
      <c r="N63" s="979"/>
      <c r="O63" s="979"/>
      <c r="P63" s="979"/>
      <c r="Q63" s="979"/>
      <c r="R63" s="979"/>
      <c r="S63" s="979"/>
      <c r="T63" s="979"/>
      <c r="U63" s="979"/>
      <c r="V63" s="979"/>
      <c r="W63" s="979"/>
      <c r="X63" s="979"/>
      <c r="AD63" s="361"/>
    </row>
    <row r="64" spans="3:30" ht="29.45" customHeight="1" x14ac:dyDescent="0.35">
      <c r="C64" s="979"/>
      <c r="D64" s="979"/>
      <c r="E64" s="979"/>
      <c r="F64" s="979"/>
      <c r="G64" s="979"/>
      <c r="H64" s="979"/>
      <c r="I64" s="979"/>
      <c r="J64" s="979"/>
      <c r="K64" s="979"/>
      <c r="L64" s="979"/>
      <c r="M64" s="979"/>
      <c r="N64" s="979"/>
      <c r="O64" s="979"/>
      <c r="P64" s="979"/>
      <c r="Q64" s="979"/>
      <c r="R64" s="979"/>
      <c r="S64" s="979"/>
      <c r="T64" s="979"/>
      <c r="U64" s="979"/>
      <c r="V64" s="979"/>
      <c r="W64" s="979"/>
      <c r="X64" s="979"/>
      <c r="AC64" s="361">
        <f>I59+L59+V59+P59</f>
        <v>589146706920</v>
      </c>
      <c r="AD64" s="361"/>
    </row>
    <row r="65" spans="3:24" ht="18" x14ac:dyDescent="0.4">
      <c r="C65" s="3889">
        <v>78</v>
      </c>
      <c r="D65" s="3889"/>
      <c r="E65" s="3889"/>
      <c r="F65" s="3889"/>
      <c r="G65" s="3889"/>
      <c r="H65" s="3889"/>
      <c r="I65" s="3889"/>
      <c r="J65" s="3889"/>
      <c r="K65" s="3889"/>
      <c r="L65" s="3889"/>
      <c r="M65" s="3889"/>
      <c r="N65" s="3889"/>
      <c r="O65" s="3889"/>
      <c r="P65" s="3889"/>
      <c r="Q65" s="3889"/>
      <c r="R65" s="3889"/>
      <c r="S65" s="3889"/>
      <c r="T65" s="3889"/>
      <c r="U65" s="3889"/>
      <c r="V65" s="3889"/>
      <c r="W65" s="3889"/>
      <c r="X65" s="3889"/>
    </row>
    <row r="68" spans="3:24" x14ac:dyDescent="0.35">
      <c r="E68" s="361">
        <f>L59+V59+'ياد 15  سايرهزينه '!I47</f>
        <v>-959139980000</v>
      </c>
    </row>
    <row r="69" spans="3:24" x14ac:dyDescent="0.35">
      <c r="E69" s="361">
        <f>L59+V59</f>
        <v>-1026814980000</v>
      </c>
    </row>
  </sheetData>
  <mergeCells count="42">
    <mergeCell ref="C65:X65"/>
    <mergeCell ref="A1:X1"/>
    <mergeCell ref="A2:X2"/>
    <mergeCell ref="A3:X3"/>
    <mergeCell ref="A4:X4"/>
    <mergeCell ref="W8:W9"/>
    <mergeCell ref="V8:V9"/>
    <mergeCell ref="X8:X9"/>
    <mergeCell ref="C6:X6"/>
    <mergeCell ref="C62:X62"/>
    <mergeCell ref="C8:C9"/>
    <mergeCell ref="I8:K8"/>
    <mergeCell ref="L8:L9"/>
    <mergeCell ref="M8:P8"/>
    <mergeCell ref="Q8:U8"/>
    <mergeCell ref="E8:E9"/>
    <mergeCell ref="X47:X48"/>
    <mergeCell ref="M47:P47"/>
    <mergeCell ref="D8:D9"/>
    <mergeCell ref="A41:X41"/>
    <mergeCell ref="A42:X42"/>
    <mergeCell ref="A43:X43"/>
    <mergeCell ref="A44:X44"/>
    <mergeCell ref="C10:C23"/>
    <mergeCell ref="C24:E24"/>
    <mergeCell ref="C40:X40"/>
    <mergeCell ref="V60:W60"/>
    <mergeCell ref="C58:E58"/>
    <mergeCell ref="C59:E59"/>
    <mergeCell ref="C49:C57"/>
    <mergeCell ref="C25:C38"/>
    <mergeCell ref="D49:E49"/>
    <mergeCell ref="C39:E39"/>
    <mergeCell ref="C47:C48"/>
    <mergeCell ref="D47:D48"/>
    <mergeCell ref="E47:E48"/>
    <mergeCell ref="C46:X46"/>
    <mergeCell ref="V47:V48"/>
    <mergeCell ref="I47:K47"/>
    <mergeCell ref="L47:L48"/>
    <mergeCell ref="Q47:U47"/>
    <mergeCell ref="W47:W48"/>
  </mergeCells>
  <printOptions horizontalCentered="1"/>
  <pageMargins left="0.31496062992126" right="0.31496062992126" top="0" bottom="0" header="0" footer="0"/>
  <pageSetup paperSize="9" scale="87" orientation="landscape" r:id="rId1"/>
  <rowBreaks count="1" manualBreakCount="1">
    <brk id="40" max="2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2060"/>
  </sheetPr>
  <dimension ref="A1:K33"/>
  <sheetViews>
    <sheetView rightToLeft="1" view="pageBreakPreview" zoomScale="88" zoomScaleNormal="100" zoomScaleSheetLayoutView="88" workbookViewId="0">
      <selection activeCell="A32" sqref="A32"/>
    </sheetView>
  </sheetViews>
  <sheetFormatPr defaultColWidth="8.85546875" defaultRowHeight="15" x14ac:dyDescent="0.35"/>
  <cols>
    <col min="1" max="1" width="3" style="721" customWidth="1"/>
    <col min="2" max="2" width="14.28515625" style="721" customWidth="1"/>
    <col min="3" max="3" width="36.28515625" style="721" customWidth="1"/>
    <col min="4" max="4" width="15.7109375" style="721" customWidth="1"/>
    <col min="5" max="5" width="12.5703125" style="721" hidden="1" customWidth="1"/>
    <col min="6" max="6" width="18.7109375" style="721" customWidth="1"/>
    <col min="7" max="7" width="1.7109375" style="721" customWidth="1"/>
    <col min="8" max="8" width="1.85546875" style="721" hidden="1" customWidth="1"/>
    <col min="9" max="9" width="0.42578125" style="721" customWidth="1"/>
    <col min="10" max="10" width="8.85546875" style="721"/>
    <col min="11" max="11" width="10.5703125" style="721" customWidth="1"/>
    <col min="12" max="16384" width="8.85546875" style="721"/>
  </cols>
  <sheetData>
    <row r="1" spans="1:9" ht="30" customHeight="1" x14ac:dyDescent="0.35">
      <c r="A1" s="3895" t="s">
        <v>32</v>
      </c>
      <c r="B1" s="3895"/>
      <c r="C1" s="3895"/>
      <c r="D1" s="3895"/>
      <c r="E1" s="3895"/>
      <c r="F1" s="3895"/>
      <c r="G1" s="3895"/>
      <c r="H1" s="3895"/>
      <c r="I1" s="3895"/>
    </row>
    <row r="2" spans="1:9" ht="30" customHeight="1" x14ac:dyDescent="0.35">
      <c r="A2" s="3895" t="s">
        <v>45</v>
      </c>
      <c r="B2" s="3895"/>
      <c r="C2" s="3895"/>
      <c r="D2" s="3895"/>
      <c r="E2" s="3895"/>
      <c r="F2" s="3895"/>
      <c r="G2" s="3895"/>
      <c r="H2" s="3895"/>
      <c r="I2" s="3895"/>
    </row>
    <row r="3" spans="1:9" ht="30" customHeight="1" x14ac:dyDescent="0.35">
      <c r="A3" s="3895" t="s">
        <v>46</v>
      </c>
      <c r="B3" s="3895"/>
      <c r="C3" s="3895"/>
      <c r="D3" s="3895"/>
      <c r="E3" s="3895"/>
      <c r="F3" s="3895"/>
      <c r="G3" s="3895"/>
      <c r="H3" s="3895"/>
      <c r="I3" s="3895"/>
    </row>
    <row r="4" spans="1:9" ht="30" customHeight="1" x14ac:dyDescent="0.35">
      <c r="A4" s="3897" t="s">
        <v>1998</v>
      </c>
      <c r="B4" s="3897"/>
      <c r="C4" s="3897"/>
      <c r="D4" s="3897"/>
      <c r="E4" s="3897"/>
      <c r="F4" s="3897"/>
      <c r="G4" s="3897"/>
      <c r="H4" s="3897"/>
      <c r="I4" s="3897"/>
    </row>
    <row r="5" spans="1:9" ht="12.6" customHeight="1" x14ac:dyDescent="0.35">
      <c r="A5" s="57"/>
      <c r="B5" s="937"/>
      <c r="C5" s="937"/>
      <c r="D5" s="937"/>
      <c r="E5" s="937"/>
    </row>
    <row r="6" spans="1:9" ht="12.6" customHeight="1" x14ac:dyDescent="0.45">
      <c r="A6" s="57"/>
      <c r="B6" s="937"/>
      <c r="C6" s="937"/>
      <c r="D6" s="937"/>
      <c r="E6" s="84"/>
    </row>
    <row r="7" spans="1:9" ht="22.5" x14ac:dyDescent="0.35">
      <c r="A7" s="57"/>
      <c r="B7" s="3095" t="s">
        <v>1836</v>
      </c>
      <c r="C7" s="3095"/>
      <c r="D7" s="3095"/>
      <c r="E7" s="3095"/>
      <c r="F7" s="3095"/>
    </row>
    <row r="8" spans="1:9" ht="10.15" customHeight="1" x14ac:dyDescent="0.35"/>
    <row r="9" spans="1:9" ht="39.6" customHeight="1" x14ac:dyDescent="0.35">
      <c r="B9" s="3097" t="s">
        <v>1904</v>
      </c>
      <c r="C9" s="3097"/>
      <c r="D9" s="3097"/>
      <c r="E9" s="3097"/>
      <c r="F9" s="3097"/>
    </row>
    <row r="10" spans="1:9" ht="18.600000000000001" customHeight="1" x14ac:dyDescent="0.35">
      <c r="B10" s="953"/>
      <c r="C10" s="953"/>
      <c r="D10" s="953"/>
      <c r="F10" s="291" t="s">
        <v>194</v>
      </c>
    </row>
    <row r="11" spans="1:9" ht="18.75" customHeight="1" x14ac:dyDescent="0.35">
      <c r="B11" s="3772" t="s">
        <v>53</v>
      </c>
      <c r="C11" s="3768" t="s">
        <v>54</v>
      </c>
      <c r="D11" s="3865" t="s">
        <v>1391</v>
      </c>
      <c r="E11" s="3896" t="s">
        <v>1116</v>
      </c>
      <c r="F11" s="3865" t="s">
        <v>1986</v>
      </c>
    </row>
    <row r="12" spans="1:9" ht="12.75" customHeight="1" x14ac:dyDescent="0.35">
      <c r="B12" s="3772"/>
      <c r="C12" s="3768"/>
      <c r="D12" s="3866"/>
      <c r="E12" s="3896"/>
      <c r="F12" s="3866"/>
    </row>
    <row r="13" spans="1:9" ht="24" customHeight="1" x14ac:dyDescent="0.4">
      <c r="B13" s="274" t="s">
        <v>68</v>
      </c>
      <c r="C13" s="320" t="s">
        <v>70</v>
      </c>
      <c r="D13" s="664">
        <v>2493728000</v>
      </c>
      <c r="E13" s="664"/>
      <c r="F13" s="664">
        <v>2493728000</v>
      </c>
    </row>
    <row r="14" spans="1:9" ht="24" customHeight="1" x14ac:dyDescent="0.4">
      <c r="B14" s="274">
        <v>1503002046</v>
      </c>
      <c r="C14" s="320" t="s">
        <v>83</v>
      </c>
      <c r="D14" s="664">
        <v>152325263267</v>
      </c>
      <c r="E14" s="664"/>
      <c r="F14" s="664">
        <v>152325263267</v>
      </c>
    </row>
    <row r="15" spans="1:9" ht="24" customHeight="1" x14ac:dyDescent="0.4">
      <c r="B15" s="274">
        <v>1503002096</v>
      </c>
      <c r="C15" s="320" t="s">
        <v>84</v>
      </c>
      <c r="D15" s="664">
        <v>4000000000</v>
      </c>
      <c r="E15" s="664"/>
      <c r="F15" s="664">
        <v>4000000000</v>
      </c>
    </row>
    <row r="16" spans="1:9" ht="24" customHeight="1" x14ac:dyDescent="0.4">
      <c r="B16" s="274">
        <v>1503002173</v>
      </c>
      <c r="C16" s="320" t="s">
        <v>85</v>
      </c>
      <c r="D16" s="664">
        <v>1177731950</v>
      </c>
      <c r="E16" s="664"/>
      <c r="F16" s="664">
        <v>1177731950</v>
      </c>
    </row>
    <row r="17" spans="1:11" ht="24" customHeight="1" x14ac:dyDescent="0.4">
      <c r="B17" s="274">
        <v>1503002067</v>
      </c>
      <c r="C17" s="320" t="s">
        <v>86</v>
      </c>
      <c r="D17" s="664">
        <v>500000000</v>
      </c>
      <c r="E17" s="664"/>
      <c r="F17" s="664">
        <v>500000000</v>
      </c>
    </row>
    <row r="18" spans="1:11" ht="24" customHeight="1" x14ac:dyDescent="0.4">
      <c r="B18" s="274" t="s">
        <v>206</v>
      </c>
      <c r="C18" s="320" t="s">
        <v>207</v>
      </c>
      <c r="D18" s="664">
        <v>10155500606</v>
      </c>
      <c r="E18" s="664"/>
      <c r="F18" s="664">
        <v>10155500606</v>
      </c>
    </row>
    <row r="19" spans="1:11" ht="24" customHeight="1" x14ac:dyDescent="0.4">
      <c r="B19" s="274" t="s">
        <v>104</v>
      </c>
      <c r="C19" s="320" t="s">
        <v>198</v>
      </c>
      <c r="D19" s="664">
        <v>500000000</v>
      </c>
      <c r="E19" s="664"/>
      <c r="F19" s="664">
        <v>500000000</v>
      </c>
    </row>
    <row r="20" spans="1:11" ht="24" customHeight="1" x14ac:dyDescent="0.4">
      <c r="B20" s="274" t="s">
        <v>105</v>
      </c>
      <c r="C20" s="320" t="s">
        <v>106</v>
      </c>
      <c r="D20" s="664">
        <v>2300000000</v>
      </c>
      <c r="E20" s="664"/>
      <c r="F20" s="664">
        <v>2300000000</v>
      </c>
    </row>
    <row r="21" spans="1:11" ht="24" customHeight="1" x14ac:dyDescent="0.4">
      <c r="B21" s="274" t="s">
        <v>182</v>
      </c>
      <c r="C21" s="320" t="s">
        <v>335</v>
      </c>
      <c r="D21" s="664">
        <v>1813671406</v>
      </c>
      <c r="E21" s="664"/>
      <c r="F21" s="664">
        <v>1813671406</v>
      </c>
    </row>
    <row r="22" spans="1:11" ht="24" customHeight="1" x14ac:dyDescent="0.4">
      <c r="B22" s="274" t="s">
        <v>81</v>
      </c>
      <c r="C22" s="320" t="s">
        <v>82</v>
      </c>
      <c r="D22" s="664">
        <v>131520000</v>
      </c>
      <c r="E22" s="664"/>
      <c r="F22" s="664">
        <v>131520000</v>
      </c>
    </row>
    <row r="23" spans="1:11" ht="24" customHeight="1" x14ac:dyDescent="0.35">
      <c r="B23" s="228" t="s">
        <v>98</v>
      </c>
      <c r="C23" s="85" t="s">
        <v>219</v>
      </c>
      <c r="D23" s="664">
        <v>305540433</v>
      </c>
      <c r="E23" s="664"/>
      <c r="F23" s="664">
        <v>305540433</v>
      </c>
    </row>
    <row r="24" spans="1:11" ht="24" customHeight="1" x14ac:dyDescent="0.35">
      <c r="B24" s="208" t="s">
        <v>125</v>
      </c>
      <c r="C24" s="352" t="s">
        <v>335</v>
      </c>
      <c r="D24" s="664">
        <v>8655065107</v>
      </c>
      <c r="E24" s="664"/>
      <c r="F24" s="664">
        <v>8655065107</v>
      </c>
    </row>
    <row r="25" spans="1:11" ht="24" customHeight="1" x14ac:dyDescent="0.35">
      <c r="B25" s="738" t="s">
        <v>546</v>
      </c>
      <c r="C25" s="962" t="s">
        <v>545</v>
      </c>
      <c r="D25" s="664">
        <v>3000000000</v>
      </c>
      <c r="E25" s="664"/>
      <c r="F25" s="664">
        <v>3000000000</v>
      </c>
    </row>
    <row r="26" spans="1:11" ht="24" customHeight="1" x14ac:dyDescent="0.35">
      <c r="B26" s="273" t="s">
        <v>548</v>
      </c>
      <c r="C26" s="961" t="s">
        <v>547</v>
      </c>
      <c r="D26" s="664">
        <v>1200000000</v>
      </c>
      <c r="E26" s="664"/>
      <c r="F26" s="664">
        <v>1200000000</v>
      </c>
    </row>
    <row r="27" spans="1:11" ht="24" customHeight="1" x14ac:dyDescent="0.35">
      <c r="B27" s="268" t="s">
        <v>542</v>
      </c>
      <c r="C27" s="962" t="s">
        <v>335</v>
      </c>
      <c r="D27" s="664">
        <v>3622286857</v>
      </c>
      <c r="E27" s="664"/>
      <c r="F27" s="664">
        <v>3622286857</v>
      </c>
    </row>
    <row r="28" spans="1:11" ht="19.5" customHeight="1" thickBot="1" x14ac:dyDescent="0.45">
      <c r="B28" s="3892" t="s">
        <v>195</v>
      </c>
      <c r="C28" s="3893"/>
      <c r="D28" s="1369">
        <v>192182307626</v>
      </c>
      <c r="E28" s="1369">
        <v>192182307626</v>
      </c>
      <c r="F28" s="1369">
        <v>192182307626</v>
      </c>
      <c r="K28" s="744" t="e">
        <f>F28+'يادداشت 15سایر درآمد ها و انتقا'!#REF!</f>
        <v>#REF!</v>
      </c>
    </row>
    <row r="29" spans="1:11" ht="16.899999999999999" customHeight="1" thickTop="1" x14ac:dyDescent="0.4">
      <c r="B29" s="1368"/>
      <c r="C29" s="1368"/>
      <c r="D29" s="1368"/>
      <c r="E29" s="329" t="s">
        <v>1370</v>
      </c>
      <c r="F29" s="194"/>
    </row>
    <row r="30" spans="1:11" ht="36.6" customHeight="1" x14ac:dyDescent="0.35">
      <c r="B30" s="3097"/>
      <c r="C30" s="3097"/>
      <c r="D30" s="3097"/>
      <c r="E30" s="3097"/>
      <c r="F30" s="3097"/>
    </row>
    <row r="31" spans="1:11" ht="17.45" customHeight="1" x14ac:dyDescent="0.4">
      <c r="A31" s="3894">
        <v>79</v>
      </c>
      <c r="B31" s="3894"/>
      <c r="C31" s="3894"/>
      <c r="D31" s="3894"/>
      <c r="E31" s="3894"/>
      <c r="F31" s="3894"/>
      <c r="G31" s="3894"/>
      <c r="H31" s="3894"/>
    </row>
    <row r="32" spans="1:11" ht="15.75" x14ac:dyDescent="0.4">
      <c r="B32" s="977"/>
      <c r="C32" s="977"/>
      <c r="D32" s="977"/>
      <c r="E32" s="977"/>
      <c r="F32" s="977"/>
    </row>
    <row r="33" spans="4:4" x14ac:dyDescent="0.35">
      <c r="D33" s="744"/>
    </row>
  </sheetData>
  <mergeCells count="14">
    <mergeCell ref="A1:I1"/>
    <mergeCell ref="E11:E12"/>
    <mergeCell ref="F11:F12"/>
    <mergeCell ref="A2:I2"/>
    <mergeCell ref="A3:I3"/>
    <mergeCell ref="A4:I4"/>
    <mergeCell ref="D11:D12"/>
    <mergeCell ref="B28:C28"/>
    <mergeCell ref="A31:H31"/>
    <mergeCell ref="B11:B12"/>
    <mergeCell ref="C11:C12"/>
    <mergeCell ref="B7:F7"/>
    <mergeCell ref="B9:F9"/>
    <mergeCell ref="B30:F30"/>
  </mergeCells>
  <pageMargins left="0.31496062992126" right="0.511811023622047" top="0.74803149606299202" bottom="0.74803149606299202" header="0.31496062992126" footer="0.31496062992126"/>
  <pageSetup scale="9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2060"/>
  </sheetPr>
  <dimension ref="A1:P169"/>
  <sheetViews>
    <sheetView rightToLeft="1" view="pageBreakPreview" topLeftCell="A34" zoomScale="98" zoomScaleNormal="99" zoomScaleSheetLayoutView="98" workbookViewId="0">
      <selection activeCell="A162" sqref="A162"/>
    </sheetView>
  </sheetViews>
  <sheetFormatPr defaultColWidth="9.140625" defaultRowHeight="15.75" customHeight="1" x14ac:dyDescent="0.2"/>
  <cols>
    <col min="1" max="1" width="1" style="2540" customWidth="1"/>
    <col min="2" max="2" width="12.28515625" style="2601" customWidth="1"/>
    <col min="3" max="3" width="63.28515625" style="2602" customWidth="1"/>
    <col min="4" max="5" width="6.7109375" style="2548" customWidth="1"/>
    <col min="6" max="6" width="9.140625" style="2548" customWidth="1"/>
    <col min="7" max="7" width="7.7109375" style="2548" hidden="1" customWidth="1"/>
    <col min="8" max="8" width="8" style="2548" customWidth="1"/>
    <col min="9" max="11" width="10.28515625" style="2548" customWidth="1"/>
    <col min="12" max="12" width="7.7109375" style="2548" customWidth="1"/>
    <col min="13" max="13" width="9.140625" style="2548" customWidth="1"/>
    <col min="14" max="15" width="1.28515625" style="2540" customWidth="1"/>
    <col min="16" max="16" width="11.140625" style="2540" customWidth="1"/>
    <col min="17" max="16384" width="9.140625" style="2540"/>
  </cols>
  <sheetData>
    <row r="1" spans="1:16" ht="19.899999999999999" customHeight="1" x14ac:dyDescent="0.2">
      <c r="A1" s="3426" t="s">
        <v>32</v>
      </c>
      <c r="B1" s="3426"/>
      <c r="C1" s="3426"/>
      <c r="D1" s="3426"/>
      <c r="E1" s="3426"/>
      <c r="F1" s="3426"/>
      <c r="G1" s="3426"/>
      <c r="H1" s="3426"/>
      <c r="I1" s="3426"/>
      <c r="J1" s="3426"/>
      <c r="K1" s="3426"/>
      <c r="L1" s="3426"/>
      <c r="M1" s="3426"/>
      <c r="N1" s="3426"/>
      <c r="O1" s="2539"/>
      <c r="P1" s="2539"/>
    </row>
    <row r="2" spans="1:16" ht="19.899999999999999" customHeight="1" x14ac:dyDescent="0.2">
      <c r="A2" s="3426" t="s">
        <v>45</v>
      </c>
      <c r="B2" s="3426"/>
      <c r="C2" s="3426"/>
      <c r="D2" s="3426"/>
      <c r="E2" s="3426"/>
      <c r="F2" s="3426"/>
      <c r="G2" s="3426"/>
      <c r="H2" s="3426"/>
      <c r="I2" s="3426"/>
      <c r="J2" s="3426"/>
      <c r="K2" s="3426"/>
      <c r="L2" s="3426"/>
      <c r="M2" s="3426"/>
      <c r="N2" s="3426"/>
      <c r="O2" s="2539"/>
      <c r="P2" s="2539"/>
    </row>
    <row r="3" spans="1:16" ht="19.899999999999999" customHeight="1" x14ac:dyDescent="0.2">
      <c r="A3" s="3426" t="s">
        <v>46</v>
      </c>
      <c r="B3" s="3426"/>
      <c r="C3" s="3426"/>
      <c r="D3" s="3426"/>
      <c r="E3" s="3426"/>
      <c r="F3" s="3426"/>
      <c r="G3" s="3426"/>
      <c r="H3" s="3426"/>
      <c r="I3" s="3426"/>
      <c r="J3" s="3426"/>
      <c r="K3" s="3426"/>
      <c r="L3" s="3426"/>
      <c r="M3" s="3426"/>
      <c r="N3" s="3426"/>
      <c r="O3" s="2539"/>
      <c r="P3" s="2539"/>
    </row>
    <row r="4" spans="1:16" ht="19.899999999999999" customHeight="1" x14ac:dyDescent="0.2">
      <c r="A4" s="3427" t="s">
        <v>2004</v>
      </c>
      <c r="B4" s="3427"/>
      <c r="C4" s="3427"/>
      <c r="D4" s="3427"/>
      <c r="E4" s="3427"/>
      <c r="F4" s="3427"/>
      <c r="G4" s="3427"/>
      <c r="H4" s="3427"/>
      <c r="I4" s="3427"/>
      <c r="J4" s="3427"/>
      <c r="K4" s="3427"/>
      <c r="L4" s="3427"/>
      <c r="M4" s="3427"/>
      <c r="N4" s="3427"/>
      <c r="O4" s="2539"/>
      <c r="P4" s="2539"/>
    </row>
    <row r="5" spans="1:16" ht="22.9" customHeight="1" x14ac:dyDescent="0.2">
      <c r="A5" s="2539"/>
      <c r="B5" s="3914" t="s">
        <v>887</v>
      </c>
      <c r="C5" s="3914"/>
      <c r="D5" s="3914"/>
      <c r="E5" s="3914"/>
      <c r="F5" s="3914"/>
      <c r="G5" s="2541"/>
      <c r="H5" s="2541"/>
      <c r="I5" s="2542" t="s">
        <v>194</v>
      </c>
      <c r="J5" s="2542"/>
      <c r="K5" s="2543"/>
      <c r="L5" s="2539"/>
      <c r="M5" s="2539"/>
      <c r="N5" s="2539"/>
      <c r="O5" s="2539"/>
      <c r="P5" s="2539"/>
    </row>
    <row r="6" spans="1:16" ht="22.15" customHeight="1" x14ac:dyDescent="0.2">
      <c r="A6" s="2539"/>
      <c r="B6" s="2541"/>
      <c r="C6" s="2026"/>
      <c r="D6" s="2544" t="s">
        <v>9</v>
      </c>
      <c r="E6" s="2545"/>
      <c r="F6" s="1141" t="s">
        <v>1980</v>
      </c>
      <c r="G6" s="1142"/>
      <c r="H6" s="2546"/>
      <c r="I6" s="1141" t="s">
        <v>1380</v>
      </c>
      <c r="J6" s="1142"/>
      <c r="K6" s="2543"/>
      <c r="L6" s="2539"/>
      <c r="M6" s="2539"/>
      <c r="N6" s="2539"/>
      <c r="O6" s="2539"/>
      <c r="P6" s="2539"/>
    </row>
    <row r="7" spans="1:16" ht="17.45" customHeight="1" x14ac:dyDescent="0.2">
      <c r="A7" s="2539"/>
      <c r="B7" s="2541"/>
      <c r="C7" s="2026"/>
      <c r="D7" s="2547"/>
      <c r="E7" s="2545"/>
      <c r="F7" s="2542"/>
      <c r="G7" s="2542"/>
      <c r="H7" s="2546"/>
      <c r="K7" s="2543"/>
      <c r="L7" s="2539"/>
      <c r="M7" s="2539"/>
      <c r="N7" s="2539"/>
      <c r="O7" s="2539"/>
      <c r="P7" s="2539"/>
    </row>
    <row r="8" spans="1:16" ht="17.45" customHeight="1" x14ac:dyDescent="0.2">
      <c r="A8" s="2539"/>
      <c r="B8" s="2541"/>
      <c r="C8" s="2026" t="s">
        <v>913</v>
      </c>
      <c r="D8" s="2549" t="s">
        <v>915</v>
      </c>
      <c r="E8" s="2545"/>
      <c r="F8" s="1143">
        <f>K159</f>
        <v>694579114456</v>
      </c>
      <c r="G8" s="1143"/>
      <c r="H8" s="2546"/>
      <c r="I8" s="1143">
        <f>D159</f>
        <v>517867305379</v>
      </c>
      <c r="J8" s="1143"/>
      <c r="K8" s="2543"/>
      <c r="L8" s="2539"/>
      <c r="M8" s="2539"/>
      <c r="N8" s="2539"/>
      <c r="O8" s="2539"/>
      <c r="P8" s="2539"/>
    </row>
    <row r="9" spans="1:16" ht="17.45" customHeight="1" x14ac:dyDescent="0.2">
      <c r="A9" s="2539"/>
      <c r="B9" s="2541"/>
      <c r="C9" s="2026" t="s">
        <v>914</v>
      </c>
      <c r="D9" s="2549" t="s">
        <v>915</v>
      </c>
      <c r="E9" s="2545"/>
      <c r="F9" s="1144">
        <f>L159</f>
        <v>4636717546</v>
      </c>
      <c r="G9" s="1144"/>
      <c r="H9" s="2546"/>
      <c r="I9" s="1144">
        <f>E159</f>
        <v>4856507283</v>
      </c>
      <c r="J9" s="1144"/>
      <c r="K9" s="2543"/>
      <c r="L9" s="2539"/>
      <c r="M9" s="2539"/>
      <c r="N9" s="2539"/>
      <c r="O9" s="2539"/>
      <c r="P9" s="2539"/>
    </row>
    <row r="10" spans="1:16" ht="17.45" customHeight="1" x14ac:dyDescent="0.2">
      <c r="A10" s="2539"/>
      <c r="B10" s="2541"/>
      <c r="C10" s="2026" t="s">
        <v>917</v>
      </c>
      <c r="D10" s="2549" t="s">
        <v>916</v>
      </c>
      <c r="E10" s="2545"/>
      <c r="F10" s="1144">
        <f>'يادداشت 11سايربدهيها به ت پ'!H71</f>
        <v>508273654209</v>
      </c>
      <c r="G10" s="1144"/>
      <c r="H10" s="2546"/>
      <c r="I10" s="1144">
        <f>'يادداشت 11سايربدهيها به ت پ'!B71</f>
        <v>473143077367</v>
      </c>
      <c r="J10" s="1144"/>
      <c r="K10" s="2543"/>
      <c r="L10" s="2539"/>
      <c r="M10" s="2539"/>
      <c r="N10" s="2539"/>
      <c r="O10" s="2539"/>
      <c r="P10" s="2539"/>
    </row>
    <row r="11" spans="1:16" ht="17.45" customHeight="1" thickBot="1" x14ac:dyDescent="0.25">
      <c r="A11" s="2539"/>
      <c r="B11" s="2541"/>
      <c r="C11" s="2026"/>
      <c r="D11" s="2020"/>
      <c r="E11" s="2545"/>
      <c r="F11" s="1145">
        <f>SUM(F8:F10)</f>
        <v>1207489486211</v>
      </c>
      <c r="G11" s="1146"/>
      <c r="H11" s="2545"/>
      <c r="I11" s="1145">
        <f>SUM(I8:I10)</f>
        <v>995866890029</v>
      </c>
      <c r="J11" s="1146"/>
      <c r="K11" s="2543"/>
      <c r="L11" s="2539"/>
      <c r="M11" s="2539"/>
      <c r="N11" s="2539"/>
      <c r="O11" s="2539"/>
      <c r="P11" s="2539"/>
    </row>
    <row r="12" spans="1:16" ht="12.75" customHeight="1" thickTop="1" x14ac:dyDescent="0.2">
      <c r="A12" s="2539"/>
      <c r="B12" s="2541"/>
      <c r="C12" s="2550"/>
      <c r="D12" s="2541"/>
      <c r="E12" s="2541"/>
      <c r="F12" s="2541"/>
      <c r="G12" s="2541"/>
      <c r="H12" s="2541"/>
      <c r="I12" s="2541"/>
      <c r="J12" s="2541"/>
      <c r="K12" s="2543"/>
      <c r="L12" s="2539"/>
      <c r="M12" s="2539"/>
      <c r="N12" s="2539"/>
      <c r="O12" s="2539"/>
      <c r="P12" s="2539"/>
    </row>
    <row r="13" spans="1:16" ht="5.45" customHeight="1" x14ac:dyDescent="0.2">
      <c r="A13" s="2539"/>
      <c r="B13" s="2539"/>
      <c r="C13" s="2539"/>
      <c r="D13" s="2539"/>
      <c r="E13" s="2539"/>
      <c r="F13" s="2539"/>
      <c r="G13" s="2539"/>
      <c r="H13" s="2028"/>
      <c r="I13" s="2028"/>
      <c r="J13" s="2028"/>
      <c r="K13" s="2539"/>
      <c r="L13" s="2539"/>
      <c r="M13" s="2539"/>
      <c r="N13" s="2539"/>
      <c r="O13" s="2539"/>
      <c r="P13" s="2539"/>
    </row>
    <row r="14" spans="1:16" ht="12.75" customHeight="1" x14ac:dyDescent="0.2">
      <c r="A14" s="2539"/>
      <c r="B14" s="3914" t="s">
        <v>1135</v>
      </c>
      <c r="C14" s="3914"/>
      <c r="D14" s="3914"/>
      <c r="E14" s="3914"/>
      <c r="F14" s="3914"/>
      <c r="G14" s="2541"/>
      <c r="H14" s="2539"/>
      <c r="I14" s="2539"/>
      <c r="J14" s="2539"/>
      <c r="K14" s="2539"/>
      <c r="L14" s="3923" t="s">
        <v>194</v>
      </c>
      <c r="M14" s="3923"/>
      <c r="N14" s="2539"/>
      <c r="O14" s="2539"/>
      <c r="P14" s="2539"/>
    </row>
    <row r="15" spans="1:16" ht="12.75" customHeight="1" x14ac:dyDescent="0.2">
      <c r="A15" s="2539"/>
      <c r="B15" s="2541"/>
      <c r="C15" s="2541"/>
      <c r="D15" s="2541"/>
      <c r="E15" s="2541"/>
      <c r="F15" s="2541"/>
      <c r="G15" s="2541"/>
      <c r="H15" s="2539"/>
      <c r="I15" s="2539"/>
      <c r="J15" s="2539"/>
      <c r="K15" s="2539"/>
      <c r="L15" s="2539"/>
      <c r="M15" s="2551"/>
      <c r="N15" s="2551"/>
      <c r="O15" s="2539"/>
      <c r="P15" s="2539"/>
    </row>
    <row r="16" spans="1:16" ht="9" customHeight="1" x14ac:dyDescent="0.2">
      <c r="B16" s="3910" t="s">
        <v>53</v>
      </c>
      <c r="C16" s="3912" t="s">
        <v>54</v>
      </c>
      <c r="D16" s="3900" t="s">
        <v>1391</v>
      </c>
      <c r="E16" s="3900"/>
      <c r="F16" s="3900"/>
      <c r="G16" s="2552"/>
      <c r="H16" s="3901" t="s">
        <v>1013</v>
      </c>
      <c r="I16" s="3918" t="s">
        <v>902</v>
      </c>
      <c r="J16" s="3919"/>
      <c r="K16" s="3900" t="s">
        <v>1986</v>
      </c>
      <c r="L16" s="3900"/>
      <c r="M16" s="3900"/>
    </row>
    <row r="17" spans="1:16" ht="27" customHeight="1" x14ac:dyDescent="0.2">
      <c r="B17" s="3910"/>
      <c r="C17" s="3912"/>
      <c r="D17" s="3900"/>
      <c r="E17" s="3900"/>
      <c r="F17" s="3900"/>
      <c r="G17" s="2552"/>
      <c r="H17" s="3901"/>
      <c r="I17" s="3920"/>
      <c r="J17" s="3921"/>
      <c r="K17" s="3900"/>
      <c r="L17" s="3900"/>
      <c r="M17" s="3900"/>
    </row>
    <row r="18" spans="1:16" ht="9.6" customHeight="1" x14ac:dyDescent="0.2">
      <c r="B18" s="3910"/>
      <c r="C18" s="3912"/>
      <c r="D18" s="3902" t="s">
        <v>415</v>
      </c>
      <c r="E18" s="3902" t="s">
        <v>416</v>
      </c>
      <c r="F18" s="3903" t="s">
        <v>417</v>
      </c>
      <c r="G18" s="2553"/>
      <c r="H18" s="3901"/>
      <c r="I18" s="3902" t="s">
        <v>415</v>
      </c>
      <c r="J18" s="3902" t="s">
        <v>416</v>
      </c>
      <c r="K18" s="3902" t="s">
        <v>415</v>
      </c>
      <c r="L18" s="3902" t="s">
        <v>416</v>
      </c>
      <c r="M18" s="3903" t="s">
        <v>417</v>
      </c>
    </row>
    <row r="19" spans="1:16" ht="42" customHeight="1" x14ac:dyDescent="0.2">
      <c r="B19" s="3911"/>
      <c r="C19" s="3913"/>
      <c r="D19" s="3902"/>
      <c r="E19" s="3902"/>
      <c r="F19" s="3903"/>
      <c r="G19" s="2553"/>
      <c r="H19" s="3901"/>
      <c r="I19" s="3902"/>
      <c r="J19" s="3902"/>
      <c r="K19" s="3902"/>
      <c r="L19" s="3902"/>
      <c r="M19" s="3903"/>
    </row>
    <row r="20" spans="1:16" ht="16.149999999999999" customHeight="1" x14ac:dyDescent="0.2">
      <c r="B20" s="2554" t="s">
        <v>1156</v>
      </c>
      <c r="C20" s="2555" t="s">
        <v>223</v>
      </c>
      <c r="D20" s="2556">
        <v>29939977537</v>
      </c>
      <c r="E20" s="2557">
        <v>619051030</v>
      </c>
      <c r="F20" s="2558">
        <v>30559028567</v>
      </c>
      <c r="H20" s="2558">
        <v>86924101960</v>
      </c>
      <c r="I20" s="2559">
        <v>-38064694391</v>
      </c>
      <c r="J20" s="2560">
        <f>-219789737</f>
        <v>-219789737</v>
      </c>
      <c r="K20" s="2561">
        <f t="shared" ref="K20:K37" si="0">D20+H20+I20</f>
        <v>78799385106</v>
      </c>
      <c r="L20" s="2557">
        <v>399261293</v>
      </c>
      <c r="M20" s="2556">
        <f>K20+L20</f>
        <v>79198646399</v>
      </c>
    </row>
    <row r="21" spans="1:16" ht="16.149999999999999" customHeight="1" x14ac:dyDescent="0.2">
      <c r="B21" s="2554">
        <v>1503002096</v>
      </c>
      <c r="C21" s="2555" t="s">
        <v>316</v>
      </c>
      <c r="D21" s="2556">
        <v>3379211811</v>
      </c>
      <c r="E21" s="2557">
        <v>549203896</v>
      </c>
      <c r="F21" s="2558">
        <v>3928415707</v>
      </c>
      <c r="H21" s="2559">
        <v>4551929316</v>
      </c>
      <c r="I21" s="2556">
        <v>-359210217</v>
      </c>
      <c r="J21" s="2556"/>
      <c r="K21" s="2556">
        <f t="shared" si="0"/>
        <v>7571930910</v>
      </c>
      <c r="L21" s="2557">
        <v>549203896</v>
      </c>
      <c r="M21" s="2556">
        <f>K21+L21</f>
        <v>8121134806</v>
      </c>
    </row>
    <row r="22" spans="1:16" ht="16.149999999999999" customHeight="1" x14ac:dyDescent="0.2">
      <c r="B22" s="2554">
        <v>1503002173</v>
      </c>
      <c r="C22" s="2555" t="s">
        <v>317</v>
      </c>
      <c r="D22" s="2556">
        <v>1652237634</v>
      </c>
      <c r="E22" s="2557">
        <v>134963433</v>
      </c>
      <c r="F22" s="2558">
        <v>1787201067</v>
      </c>
      <c r="H22" s="2559">
        <v>20636451645</v>
      </c>
      <c r="I22" s="2556">
        <v>-1487453140</v>
      </c>
      <c r="J22" s="2556"/>
      <c r="K22" s="2556">
        <f t="shared" si="0"/>
        <v>20801236139</v>
      </c>
      <c r="L22" s="2557">
        <v>134963433</v>
      </c>
      <c r="M22" s="2556">
        <f>K22+L22</f>
        <v>20936199572</v>
      </c>
    </row>
    <row r="23" spans="1:16" ht="16.149999999999999" customHeight="1" x14ac:dyDescent="0.2">
      <c r="B23" s="2554">
        <v>1307002010</v>
      </c>
      <c r="C23" s="2555" t="s">
        <v>224</v>
      </c>
      <c r="D23" s="2556">
        <v>114645635799</v>
      </c>
      <c r="E23" s="2557">
        <v>3000817537</v>
      </c>
      <c r="F23" s="2558">
        <v>117646453336</v>
      </c>
      <c r="H23" s="2558">
        <v>87704987296</v>
      </c>
      <c r="I23" s="2559">
        <v>-128974890163</v>
      </c>
      <c r="J23" s="2559"/>
      <c r="K23" s="2556">
        <f t="shared" si="0"/>
        <v>73375732932</v>
      </c>
      <c r="L23" s="2557">
        <v>3000817537</v>
      </c>
      <c r="M23" s="2556">
        <f>K23+L23</f>
        <v>76376550469</v>
      </c>
    </row>
    <row r="24" spans="1:16" ht="16.149999999999999" customHeight="1" x14ac:dyDescent="0.2">
      <c r="B24" s="2554" t="s">
        <v>90</v>
      </c>
      <c r="C24" s="2555" t="s">
        <v>191</v>
      </c>
      <c r="D24" s="2556">
        <v>249046854</v>
      </c>
      <c r="E24" s="2559">
        <v>8875092</v>
      </c>
      <c r="F24" s="2558">
        <v>257921946</v>
      </c>
      <c r="G24" s="2558">
        <v>0</v>
      </c>
      <c r="H24" s="2559">
        <v>14473309</v>
      </c>
      <c r="I24" s="2559">
        <v>-14474309</v>
      </c>
      <c r="J24" s="2559"/>
      <c r="K24" s="2556">
        <f t="shared" si="0"/>
        <v>249045854</v>
      </c>
      <c r="L24" s="2559">
        <v>8875092</v>
      </c>
      <c r="M24" s="2556">
        <f>K24+L24</f>
        <v>257920946</v>
      </c>
    </row>
    <row r="25" spans="1:16" ht="16.149999999999999" customHeight="1" x14ac:dyDescent="0.2">
      <c r="B25" s="2554">
        <v>1503002067</v>
      </c>
      <c r="C25" s="2555" t="s">
        <v>318</v>
      </c>
      <c r="D25" s="2556">
        <v>56052048</v>
      </c>
      <c r="E25" s="2557" t="s">
        <v>30</v>
      </c>
      <c r="F25" s="2558">
        <v>56052048</v>
      </c>
      <c r="G25" s="2558">
        <v>0</v>
      </c>
      <c r="H25" s="2559">
        <v>823624183</v>
      </c>
      <c r="I25" s="2559">
        <v>-757206682</v>
      </c>
      <c r="J25" s="2560"/>
      <c r="K25" s="2561">
        <f t="shared" si="0"/>
        <v>122469549</v>
      </c>
      <c r="L25" s="2557" t="s">
        <v>30</v>
      </c>
      <c r="M25" s="2556">
        <v>56052048</v>
      </c>
    </row>
    <row r="26" spans="1:16" ht="16.149999999999999" customHeight="1" x14ac:dyDescent="0.2">
      <c r="B26" s="2562" t="s">
        <v>187</v>
      </c>
      <c r="C26" s="2563" t="s">
        <v>188</v>
      </c>
      <c r="D26" s="2556">
        <v>0</v>
      </c>
      <c r="E26" s="2557" t="s">
        <v>30</v>
      </c>
      <c r="F26" s="2558">
        <v>0</v>
      </c>
      <c r="H26" s="2559"/>
      <c r="I26" s="2556"/>
      <c r="J26" s="2561"/>
      <c r="K26" s="2561">
        <f t="shared" si="0"/>
        <v>0</v>
      </c>
      <c r="L26" s="2557" t="s">
        <v>30</v>
      </c>
      <c r="M26" s="2556">
        <f>K26</f>
        <v>0</v>
      </c>
    </row>
    <row r="27" spans="1:16" ht="16.149999999999999" customHeight="1" x14ac:dyDescent="0.2">
      <c r="B27" s="2554" t="s">
        <v>234</v>
      </c>
      <c r="C27" s="2555" t="s">
        <v>235</v>
      </c>
      <c r="D27" s="2556">
        <v>0</v>
      </c>
      <c r="E27" s="2557">
        <v>4852268</v>
      </c>
      <c r="F27" s="2558">
        <v>4852268</v>
      </c>
      <c r="G27" s="2558">
        <v>0</v>
      </c>
      <c r="H27" s="2559"/>
      <c r="I27" s="2559"/>
      <c r="J27" s="2560"/>
      <c r="K27" s="2561">
        <f t="shared" si="0"/>
        <v>0</v>
      </c>
      <c r="L27" s="2557">
        <v>4852268</v>
      </c>
      <c r="M27" s="2556">
        <v>4852268</v>
      </c>
    </row>
    <row r="28" spans="1:16" ht="16.149999999999999" customHeight="1" x14ac:dyDescent="0.2">
      <c r="B28" s="2261" t="s">
        <v>1291</v>
      </c>
      <c r="C28" s="2555" t="s">
        <v>87</v>
      </c>
      <c r="D28" s="2556">
        <v>1867397814</v>
      </c>
      <c r="E28" s="2557"/>
      <c r="F28" s="2558">
        <v>1867397814</v>
      </c>
      <c r="H28" s="2559">
        <v>72330220096</v>
      </c>
      <c r="I28" s="2556">
        <v>-71296141256</v>
      </c>
      <c r="J28" s="2561"/>
      <c r="K28" s="2561">
        <f t="shared" si="0"/>
        <v>2901476654</v>
      </c>
      <c r="L28" s="2557"/>
      <c r="M28" s="2556">
        <f t="shared" ref="M28:M34" si="1">K28+L28</f>
        <v>2901476654</v>
      </c>
    </row>
    <row r="29" spans="1:16" ht="16.149999999999999" customHeight="1" x14ac:dyDescent="0.2">
      <c r="B29" s="2562" t="s">
        <v>96</v>
      </c>
      <c r="C29" s="2563" t="s">
        <v>97</v>
      </c>
      <c r="D29" s="2556">
        <v>0</v>
      </c>
      <c r="E29" s="2557"/>
      <c r="F29" s="2558">
        <v>0</v>
      </c>
      <c r="G29" s="2558">
        <v>0</v>
      </c>
      <c r="H29" s="2559"/>
      <c r="I29" s="2559"/>
      <c r="J29" s="2560"/>
      <c r="K29" s="2561">
        <f t="shared" si="0"/>
        <v>0</v>
      </c>
      <c r="L29" s="2557"/>
      <c r="M29" s="2556">
        <f t="shared" si="1"/>
        <v>0</v>
      </c>
    </row>
    <row r="30" spans="1:16" ht="16.149999999999999" customHeight="1" x14ac:dyDescent="0.2">
      <c r="B30" s="1763">
        <v>1307002080</v>
      </c>
      <c r="C30" s="2564" t="s">
        <v>418</v>
      </c>
      <c r="D30" s="2556">
        <v>78469874635</v>
      </c>
      <c r="E30" s="2565"/>
      <c r="F30" s="2566">
        <v>78469874635</v>
      </c>
      <c r="H30" s="2566">
        <v>403913927935</v>
      </c>
      <c r="I30" s="2559">
        <v>-349115469180</v>
      </c>
      <c r="J30" s="2560"/>
      <c r="K30" s="2561">
        <f t="shared" si="0"/>
        <v>133268333390</v>
      </c>
      <c r="L30" s="2565"/>
      <c r="M30" s="2556">
        <f t="shared" si="1"/>
        <v>133268333390</v>
      </c>
    </row>
    <row r="31" spans="1:16" ht="16.149999999999999" customHeight="1" x14ac:dyDescent="0.2">
      <c r="B31" s="1763" t="s">
        <v>608</v>
      </c>
      <c r="C31" s="2567" t="s">
        <v>901</v>
      </c>
      <c r="D31" s="2556">
        <v>144078983632</v>
      </c>
      <c r="E31" s="2565"/>
      <c r="F31" s="2556">
        <v>144078983632</v>
      </c>
      <c r="G31" s="2568"/>
      <c r="H31" s="2569">
        <v>123030982656</v>
      </c>
      <c r="I31" s="2559">
        <v>-152311465314</v>
      </c>
      <c r="J31" s="2560"/>
      <c r="K31" s="2561">
        <f t="shared" si="0"/>
        <v>114798500974</v>
      </c>
      <c r="L31" s="2565"/>
      <c r="M31" s="2556">
        <f t="shared" si="1"/>
        <v>114798500974</v>
      </c>
    </row>
    <row r="32" spans="1:16" ht="16.149999999999999" customHeight="1" x14ac:dyDescent="0.2">
      <c r="A32" s="2539"/>
      <c r="B32" s="2562" t="s">
        <v>361</v>
      </c>
      <c r="C32" s="2563" t="s">
        <v>362</v>
      </c>
      <c r="D32" s="2556">
        <v>78759291</v>
      </c>
      <c r="E32" s="2565"/>
      <c r="F32" s="2556">
        <v>78759291</v>
      </c>
      <c r="G32" s="2556">
        <v>0</v>
      </c>
      <c r="H32" s="2559">
        <v>9000000</v>
      </c>
      <c r="I32" s="2559">
        <v>-87759291</v>
      </c>
      <c r="J32" s="2560"/>
      <c r="K32" s="2561">
        <f t="shared" si="0"/>
        <v>0</v>
      </c>
      <c r="L32" s="2565"/>
      <c r="M32" s="2556">
        <f t="shared" si="1"/>
        <v>0</v>
      </c>
      <c r="N32" s="2539"/>
      <c r="O32" s="2539"/>
      <c r="P32" s="2539"/>
    </row>
    <row r="33" spans="1:16" ht="16.149999999999999" customHeight="1" x14ac:dyDescent="0.2">
      <c r="A33" s="2539"/>
      <c r="B33" s="1763" t="s">
        <v>206</v>
      </c>
      <c r="C33" s="2570" t="s">
        <v>377</v>
      </c>
      <c r="D33" s="2556">
        <v>403609694</v>
      </c>
      <c r="E33" s="2557">
        <v>8841578</v>
      </c>
      <c r="F33" s="2558">
        <v>412451272</v>
      </c>
      <c r="H33" s="2559"/>
      <c r="I33" s="2556">
        <v>-188956684</v>
      </c>
      <c r="J33" s="2561"/>
      <c r="K33" s="2561">
        <f t="shared" si="0"/>
        <v>214653010</v>
      </c>
      <c r="L33" s="2557">
        <v>8841578</v>
      </c>
      <c r="M33" s="2556">
        <f t="shared" si="1"/>
        <v>223494588</v>
      </c>
      <c r="N33" s="2539"/>
      <c r="O33" s="2539"/>
      <c r="P33" s="2539"/>
    </row>
    <row r="34" spans="1:16" ht="16.149999999999999" customHeight="1" x14ac:dyDescent="0.2">
      <c r="A34" s="2539"/>
      <c r="B34" s="2562" t="s">
        <v>189</v>
      </c>
      <c r="C34" s="2563" t="s">
        <v>132</v>
      </c>
      <c r="D34" s="2561">
        <v>297111</v>
      </c>
      <c r="E34" s="2557"/>
      <c r="F34" s="2558">
        <v>297111</v>
      </c>
      <c r="G34" s="2558">
        <v>0</v>
      </c>
      <c r="H34" s="2559"/>
      <c r="I34" s="2571"/>
      <c r="J34" s="2572"/>
      <c r="K34" s="2561">
        <f t="shared" si="0"/>
        <v>297111</v>
      </c>
      <c r="L34" s="2557"/>
      <c r="M34" s="2556">
        <f t="shared" si="1"/>
        <v>297111</v>
      </c>
      <c r="N34" s="2539"/>
      <c r="O34" s="2539"/>
      <c r="P34" s="2539"/>
    </row>
    <row r="35" spans="1:16" ht="28.15" customHeight="1" x14ac:dyDescent="0.2">
      <c r="A35" s="2539"/>
      <c r="B35" s="1763" t="s">
        <v>162</v>
      </c>
      <c r="C35" s="2564" t="s">
        <v>256</v>
      </c>
      <c r="D35" s="2573">
        <v>775685</v>
      </c>
      <c r="E35" s="2574" t="s">
        <v>30</v>
      </c>
      <c r="F35" s="2558">
        <v>775685</v>
      </c>
      <c r="G35" s="2558">
        <v>0</v>
      </c>
      <c r="H35" s="2559"/>
      <c r="I35" s="2571">
        <v>-775685</v>
      </c>
      <c r="J35" s="2571"/>
      <c r="K35" s="2556">
        <f t="shared" si="0"/>
        <v>0</v>
      </c>
      <c r="L35" s="2574" t="s">
        <v>30</v>
      </c>
      <c r="M35" s="2556">
        <v>775685</v>
      </c>
      <c r="N35" s="2539"/>
      <c r="O35" s="2539"/>
      <c r="P35" s="2539"/>
    </row>
    <row r="36" spans="1:16" ht="16.149999999999999" customHeight="1" x14ac:dyDescent="0.2">
      <c r="A36" s="2539"/>
      <c r="B36" s="1763" t="s">
        <v>103</v>
      </c>
      <c r="C36" s="2564" t="s">
        <v>208</v>
      </c>
      <c r="D36" s="2573">
        <v>1114625</v>
      </c>
      <c r="E36" s="2574" t="s">
        <v>30</v>
      </c>
      <c r="F36" s="2558">
        <v>1114625</v>
      </c>
      <c r="H36" s="2559"/>
      <c r="I36" s="2556"/>
      <c r="J36" s="2556"/>
      <c r="K36" s="2556">
        <f t="shared" si="0"/>
        <v>1114625</v>
      </c>
      <c r="L36" s="2574" t="s">
        <v>30</v>
      </c>
      <c r="M36" s="2556">
        <f>K36</f>
        <v>1114625</v>
      </c>
      <c r="N36" s="2539"/>
      <c r="O36" s="2539"/>
      <c r="P36" s="2539"/>
    </row>
    <row r="37" spans="1:16" ht="16.149999999999999" customHeight="1" x14ac:dyDescent="0.2">
      <c r="A37" s="2539"/>
      <c r="B37" s="1763">
        <v>1502001005</v>
      </c>
      <c r="C37" s="2564" t="s">
        <v>233</v>
      </c>
      <c r="D37" s="2573">
        <v>3273304881</v>
      </c>
      <c r="E37" s="2574" t="s">
        <v>30</v>
      </c>
      <c r="F37" s="2558">
        <v>3273304881</v>
      </c>
      <c r="H37" s="2559">
        <v>25867819097</v>
      </c>
      <c r="I37" s="2556">
        <v>-18222405711</v>
      </c>
      <c r="J37" s="2561"/>
      <c r="K37" s="2561">
        <f t="shared" si="0"/>
        <v>10918718267</v>
      </c>
      <c r="L37" s="2574" t="s">
        <v>30</v>
      </c>
      <c r="M37" s="2556">
        <f>K37</f>
        <v>10918718267</v>
      </c>
      <c r="N37" s="2539"/>
      <c r="O37" s="2539"/>
      <c r="P37" s="2539"/>
    </row>
    <row r="38" spans="1:16" ht="16.149999999999999" customHeight="1" x14ac:dyDescent="0.2">
      <c r="A38" s="2539"/>
      <c r="B38" s="3904" t="s">
        <v>893</v>
      </c>
      <c r="C38" s="3905"/>
      <c r="D38" s="2573">
        <f>SUM(D20:D37)</f>
        <v>378096279051</v>
      </c>
      <c r="E38" s="2573">
        <f t="shared" ref="E38:M38" si="2">SUM(E20:E37)</f>
        <v>4326604834</v>
      </c>
      <c r="F38" s="2573">
        <f t="shared" si="2"/>
        <v>382422883885</v>
      </c>
      <c r="G38" s="2573">
        <f t="shared" si="2"/>
        <v>0</v>
      </c>
      <c r="H38" s="2573">
        <f>SUM(H20:H37)</f>
        <v>825807517493</v>
      </c>
      <c r="I38" s="2573">
        <f t="shared" si="2"/>
        <v>-760880902023</v>
      </c>
      <c r="J38" s="2573">
        <f t="shared" si="2"/>
        <v>-219789737</v>
      </c>
      <c r="K38" s="2573">
        <f t="shared" si="2"/>
        <v>443022894521</v>
      </c>
      <c r="L38" s="2573">
        <f t="shared" si="2"/>
        <v>4106815097</v>
      </c>
      <c r="M38" s="2573">
        <f t="shared" si="2"/>
        <v>447064067802</v>
      </c>
      <c r="N38" s="2539"/>
      <c r="O38" s="2539"/>
      <c r="P38" s="2539"/>
    </row>
    <row r="39" spans="1:16" ht="16.149999999999999" customHeight="1" x14ac:dyDescent="0.2">
      <c r="A39" s="2539"/>
      <c r="B39" s="1700"/>
      <c r="C39" s="1700"/>
      <c r="D39" s="2575"/>
      <c r="E39" s="2575"/>
      <c r="F39" s="2575"/>
      <c r="G39" s="2575"/>
      <c r="H39" s="2575"/>
      <c r="I39" s="2575"/>
      <c r="J39" s="2575"/>
      <c r="K39" s="2575"/>
      <c r="L39" s="2575"/>
      <c r="M39" s="2575"/>
      <c r="N39" s="2539"/>
      <c r="O39" s="2539"/>
      <c r="P39" s="2539"/>
    </row>
    <row r="40" spans="1:16" ht="16.149999999999999" customHeight="1" x14ac:dyDescent="0.2">
      <c r="A40" s="3899">
        <v>80000000</v>
      </c>
      <c r="B40" s="3899"/>
      <c r="C40" s="3899"/>
      <c r="D40" s="3899"/>
      <c r="E40" s="3899"/>
      <c r="F40" s="3899"/>
      <c r="G40" s="3899"/>
      <c r="H40" s="3899"/>
      <c r="I40" s="3899"/>
      <c r="J40" s="3899"/>
      <c r="K40" s="3899"/>
      <c r="L40" s="3899"/>
      <c r="M40" s="3899"/>
      <c r="N40" s="3899"/>
      <c r="O40" s="2539"/>
      <c r="P40" s="2539"/>
    </row>
    <row r="41" spans="1:16" ht="15" customHeight="1" x14ac:dyDescent="0.2">
      <c r="A41" s="2539"/>
      <c r="B41" s="3426" t="s">
        <v>32</v>
      </c>
      <c r="C41" s="3426"/>
      <c r="D41" s="3426"/>
      <c r="E41" s="3426"/>
      <c r="F41" s="3426"/>
      <c r="G41" s="3426"/>
      <c r="H41" s="3426"/>
      <c r="I41" s="3426"/>
      <c r="J41" s="3426"/>
      <c r="K41" s="3426"/>
      <c r="L41" s="3426"/>
      <c r="M41" s="3426"/>
      <c r="N41" s="3426"/>
      <c r="O41" s="3426"/>
      <c r="P41" s="2020"/>
    </row>
    <row r="42" spans="1:16" ht="15" customHeight="1" x14ac:dyDescent="0.2">
      <c r="A42" s="2539"/>
      <c r="B42" s="3426" t="s">
        <v>45</v>
      </c>
      <c r="C42" s="3426"/>
      <c r="D42" s="3426"/>
      <c r="E42" s="3426"/>
      <c r="F42" s="3426"/>
      <c r="G42" s="3426"/>
      <c r="H42" s="3426"/>
      <c r="I42" s="3426"/>
      <c r="J42" s="3426"/>
      <c r="K42" s="3426"/>
      <c r="L42" s="3426"/>
      <c r="M42" s="3426"/>
      <c r="N42" s="3426"/>
      <c r="O42" s="3426"/>
      <c r="P42" s="2020"/>
    </row>
    <row r="43" spans="1:16" ht="15" customHeight="1" x14ac:dyDescent="0.2">
      <c r="A43" s="2539"/>
      <c r="B43" s="3426" t="s">
        <v>46</v>
      </c>
      <c r="C43" s="3426"/>
      <c r="D43" s="3426"/>
      <c r="E43" s="3426"/>
      <c r="F43" s="3426"/>
      <c r="G43" s="3426"/>
      <c r="H43" s="3426"/>
      <c r="I43" s="3426"/>
      <c r="J43" s="3426"/>
      <c r="K43" s="3426"/>
      <c r="L43" s="3426"/>
      <c r="M43" s="3426"/>
      <c r="N43" s="3426"/>
      <c r="O43" s="3426"/>
      <c r="P43" s="2020"/>
    </row>
    <row r="44" spans="1:16" ht="15" customHeight="1" x14ac:dyDescent="0.2">
      <c r="A44" s="2539"/>
      <c r="B44" s="3427" t="s">
        <v>2004</v>
      </c>
      <c r="C44" s="3427"/>
      <c r="D44" s="3427"/>
      <c r="E44" s="3427"/>
      <c r="F44" s="3427"/>
      <c r="G44" s="3427"/>
      <c r="H44" s="3427"/>
      <c r="I44" s="3427"/>
      <c r="J44" s="3427"/>
      <c r="K44" s="3427"/>
      <c r="L44" s="3427"/>
      <c r="M44" s="3427"/>
      <c r="N44" s="3427"/>
      <c r="O44" s="3427"/>
      <c r="P44" s="2023"/>
    </row>
    <row r="45" spans="1:16" ht="18" customHeight="1" x14ac:dyDescent="0.2">
      <c r="A45" s="2539"/>
      <c r="B45" s="3916" t="s">
        <v>1014</v>
      </c>
      <c r="C45" s="3916"/>
      <c r="D45" s="2020"/>
      <c r="E45" s="2020"/>
      <c r="F45" s="2020"/>
      <c r="G45" s="2020"/>
      <c r="H45" s="2020"/>
      <c r="I45" s="2020"/>
      <c r="J45" s="2020"/>
      <c r="K45" s="3917" t="s">
        <v>194</v>
      </c>
      <c r="L45" s="3917"/>
      <c r="M45" s="3917"/>
      <c r="N45" s="2539"/>
      <c r="O45" s="2020"/>
      <c r="P45" s="2020"/>
    </row>
    <row r="46" spans="1:16" ht="18" customHeight="1" x14ac:dyDescent="0.2">
      <c r="A46" s="2539"/>
      <c r="B46" s="3910" t="s">
        <v>53</v>
      </c>
      <c r="C46" s="3912" t="s">
        <v>54</v>
      </c>
      <c r="D46" s="3900" t="s">
        <v>1391</v>
      </c>
      <c r="E46" s="3900"/>
      <c r="F46" s="3900"/>
      <c r="G46" s="2552"/>
      <c r="H46" s="3901" t="s">
        <v>1013</v>
      </c>
      <c r="I46" s="3918" t="s">
        <v>902</v>
      </c>
      <c r="J46" s="3919"/>
      <c r="K46" s="3900" t="s">
        <v>1986</v>
      </c>
      <c r="L46" s="3900"/>
      <c r="M46" s="3900"/>
      <c r="N46" s="2539"/>
      <c r="O46" s="2539"/>
      <c r="P46" s="2539"/>
    </row>
    <row r="47" spans="1:16" ht="21" customHeight="1" x14ac:dyDescent="0.2">
      <c r="A47" s="2539"/>
      <c r="B47" s="3910"/>
      <c r="C47" s="3912"/>
      <c r="D47" s="3900"/>
      <c r="E47" s="3900"/>
      <c r="F47" s="3900"/>
      <c r="G47" s="2552"/>
      <c r="H47" s="3901"/>
      <c r="I47" s="3920"/>
      <c r="J47" s="3921"/>
      <c r="K47" s="3900"/>
      <c r="L47" s="3900"/>
      <c r="M47" s="3900"/>
      <c r="N47" s="2539"/>
      <c r="O47" s="2539"/>
      <c r="P47" s="2539"/>
    </row>
    <row r="48" spans="1:16" ht="18" customHeight="1" x14ac:dyDescent="0.2">
      <c r="B48" s="3910"/>
      <c r="C48" s="3912"/>
      <c r="D48" s="3902" t="s">
        <v>415</v>
      </c>
      <c r="E48" s="3902" t="s">
        <v>416</v>
      </c>
      <c r="F48" s="3903" t="s">
        <v>417</v>
      </c>
      <c r="G48" s="2553"/>
      <c r="H48" s="3901"/>
      <c r="I48" s="3902" t="s">
        <v>415</v>
      </c>
      <c r="J48" s="3902" t="s">
        <v>416</v>
      </c>
      <c r="K48" s="3902" t="s">
        <v>415</v>
      </c>
      <c r="L48" s="3902" t="s">
        <v>416</v>
      </c>
      <c r="M48" s="3903" t="s">
        <v>417</v>
      </c>
      <c r="N48" s="2539"/>
      <c r="O48" s="2539"/>
      <c r="P48" s="2539"/>
    </row>
    <row r="49" spans="2:16" ht="37.9" customHeight="1" x14ac:dyDescent="0.2">
      <c r="B49" s="3911"/>
      <c r="C49" s="3913"/>
      <c r="D49" s="3902"/>
      <c r="E49" s="3902"/>
      <c r="F49" s="3903"/>
      <c r="G49" s="2553"/>
      <c r="H49" s="3901"/>
      <c r="I49" s="3902"/>
      <c r="J49" s="3902"/>
      <c r="K49" s="3902"/>
      <c r="L49" s="3902"/>
      <c r="M49" s="3903"/>
      <c r="N49" s="2539"/>
      <c r="O49" s="2539"/>
      <c r="P49" s="2539"/>
    </row>
    <row r="50" spans="2:16" ht="16.149999999999999" customHeight="1" x14ac:dyDescent="0.2">
      <c r="B50" s="3904" t="s">
        <v>181</v>
      </c>
      <c r="C50" s="3905"/>
      <c r="D50" s="2573">
        <f>D38</f>
        <v>378096279051</v>
      </c>
      <c r="E50" s="2573">
        <f t="shared" ref="E50:M50" si="3">E38</f>
        <v>4326604834</v>
      </c>
      <c r="F50" s="2573">
        <f t="shared" si="3"/>
        <v>382422883885</v>
      </c>
      <c r="G50" s="2573">
        <f t="shared" si="3"/>
        <v>0</v>
      </c>
      <c r="H50" s="2573">
        <f t="shared" si="3"/>
        <v>825807517493</v>
      </c>
      <c r="I50" s="2573">
        <f t="shared" si="3"/>
        <v>-760880902023</v>
      </c>
      <c r="J50" s="2573">
        <f t="shared" si="3"/>
        <v>-219789737</v>
      </c>
      <c r="K50" s="2573">
        <f t="shared" si="3"/>
        <v>443022894521</v>
      </c>
      <c r="L50" s="2573">
        <f t="shared" si="3"/>
        <v>4106815097</v>
      </c>
      <c r="M50" s="2573">
        <f t="shared" si="3"/>
        <v>447064067802</v>
      </c>
      <c r="N50" s="2539"/>
      <c r="O50" s="2539"/>
      <c r="P50" s="2576">
        <f>M50-M38</f>
        <v>0</v>
      </c>
    </row>
    <row r="51" spans="2:16" ht="15.6" customHeight="1" x14ac:dyDescent="0.2">
      <c r="B51" s="2562" t="s">
        <v>209</v>
      </c>
      <c r="C51" s="2563" t="s">
        <v>210</v>
      </c>
      <c r="D51" s="2573">
        <v>93358600</v>
      </c>
      <c r="E51" s="2574"/>
      <c r="F51" s="2558">
        <v>93358600</v>
      </c>
      <c r="G51" s="2558">
        <v>0</v>
      </c>
      <c r="H51" s="2571"/>
      <c r="I51" s="2571"/>
      <c r="J51" s="2571"/>
      <c r="K51" s="2573">
        <f t="shared" ref="K51:K80" si="4">D51+H51+I51</f>
        <v>93358600</v>
      </c>
      <c r="L51" s="2574"/>
      <c r="M51" s="2573">
        <f t="shared" ref="M51:M55" si="5">K51+L51</f>
        <v>93358600</v>
      </c>
      <c r="N51" s="2539"/>
      <c r="O51" s="2539"/>
      <c r="P51" s="2539"/>
    </row>
    <row r="52" spans="2:16" ht="15.6" customHeight="1" x14ac:dyDescent="0.2">
      <c r="B52" s="2554" t="s">
        <v>104</v>
      </c>
      <c r="C52" s="2555" t="s">
        <v>198</v>
      </c>
      <c r="D52" s="2573">
        <v>445612617</v>
      </c>
      <c r="E52" s="2559">
        <v>46219839</v>
      </c>
      <c r="F52" s="2556">
        <v>491832456</v>
      </c>
      <c r="G52" s="2568"/>
      <c r="H52" s="2571"/>
      <c r="I52" s="2556">
        <v>-44521747</v>
      </c>
      <c r="J52" s="2556"/>
      <c r="K52" s="2573">
        <f t="shared" si="4"/>
        <v>401090870</v>
      </c>
      <c r="L52" s="2559">
        <v>46219839</v>
      </c>
      <c r="M52" s="2573">
        <f t="shared" si="5"/>
        <v>447310709</v>
      </c>
      <c r="N52" s="2539"/>
      <c r="O52" s="2539"/>
      <c r="P52" s="2539"/>
    </row>
    <row r="53" spans="2:16" ht="15.6" customHeight="1" x14ac:dyDescent="0.2">
      <c r="B53" s="1763" t="s">
        <v>66</v>
      </c>
      <c r="C53" s="2564" t="s">
        <v>67</v>
      </c>
      <c r="D53" s="2573">
        <v>0</v>
      </c>
      <c r="E53" s="2574"/>
      <c r="F53" s="2556">
        <v>0</v>
      </c>
      <c r="G53" s="2556">
        <v>0</v>
      </c>
      <c r="H53" s="2571"/>
      <c r="I53" s="2573"/>
      <c r="J53" s="2573"/>
      <c r="K53" s="2573">
        <f t="shared" si="4"/>
        <v>0</v>
      </c>
      <c r="L53" s="2574"/>
      <c r="M53" s="2573">
        <f t="shared" si="5"/>
        <v>0</v>
      </c>
      <c r="N53" s="2539"/>
      <c r="O53" s="2539"/>
      <c r="P53" s="2539"/>
    </row>
    <row r="54" spans="2:16" ht="15.6" customHeight="1" x14ac:dyDescent="0.2">
      <c r="B54" s="2554" t="s">
        <v>68</v>
      </c>
      <c r="C54" s="2570" t="s">
        <v>333</v>
      </c>
      <c r="D54" s="2573">
        <v>5165757046</v>
      </c>
      <c r="E54" s="2574">
        <v>450800775</v>
      </c>
      <c r="F54" s="2556">
        <v>5616557821</v>
      </c>
      <c r="G54" s="2568"/>
      <c r="H54" s="2571"/>
      <c r="I54" s="2556"/>
      <c r="J54" s="2556"/>
      <c r="K54" s="2573">
        <f t="shared" si="4"/>
        <v>5165757046</v>
      </c>
      <c r="L54" s="2574">
        <v>450800775</v>
      </c>
      <c r="M54" s="2573">
        <f t="shared" si="5"/>
        <v>5616557821</v>
      </c>
      <c r="N54" s="2539"/>
      <c r="O54" s="2539"/>
      <c r="P54" s="2539"/>
    </row>
    <row r="55" spans="2:16" ht="15.6" customHeight="1" x14ac:dyDescent="0.2">
      <c r="B55" s="1763" t="s">
        <v>157</v>
      </c>
      <c r="C55" s="2564" t="s">
        <v>133</v>
      </c>
      <c r="D55" s="2573">
        <v>331354578</v>
      </c>
      <c r="E55" s="2574"/>
      <c r="F55" s="2556">
        <v>331354578</v>
      </c>
      <c r="G55" s="2568"/>
      <c r="H55" s="2571"/>
      <c r="I55" s="2556"/>
      <c r="J55" s="2556"/>
      <c r="K55" s="2573">
        <f t="shared" si="4"/>
        <v>331354578</v>
      </c>
      <c r="L55" s="2574"/>
      <c r="M55" s="2573">
        <f t="shared" si="5"/>
        <v>331354578</v>
      </c>
      <c r="N55" s="2539"/>
      <c r="O55" s="2539"/>
      <c r="P55" s="2539"/>
    </row>
    <row r="56" spans="2:16" ht="15.6" customHeight="1" x14ac:dyDescent="0.2">
      <c r="B56" s="2554" t="s">
        <v>105</v>
      </c>
      <c r="C56" s="2555" t="s">
        <v>106</v>
      </c>
      <c r="D56" s="2573">
        <v>2499866339</v>
      </c>
      <c r="E56" s="2574">
        <v>22257052</v>
      </c>
      <c r="F56" s="2556">
        <v>2522123391</v>
      </c>
      <c r="G56" s="2568"/>
      <c r="H56" s="2571"/>
      <c r="I56" s="2556">
        <v>-96918351</v>
      </c>
      <c r="J56" s="2556"/>
      <c r="K56" s="2573">
        <f t="shared" si="4"/>
        <v>2402947988</v>
      </c>
      <c r="L56" s="2574">
        <v>22257052</v>
      </c>
      <c r="M56" s="2556">
        <f>SUM(K56:L56)</f>
        <v>2425205040</v>
      </c>
      <c r="N56" s="2539"/>
      <c r="O56" s="2539"/>
      <c r="P56" s="2539"/>
    </row>
    <row r="57" spans="2:16" ht="15.6" customHeight="1" x14ac:dyDescent="0.2">
      <c r="B57" s="1763" t="s">
        <v>113</v>
      </c>
      <c r="C57" s="2564" t="s">
        <v>114</v>
      </c>
      <c r="D57" s="2573">
        <v>0</v>
      </c>
      <c r="E57" s="2574" t="s">
        <v>30</v>
      </c>
      <c r="F57" s="2556">
        <v>0</v>
      </c>
      <c r="G57" s="2568"/>
      <c r="H57" s="2571"/>
      <c r="I57" s="2556"/>
      <c r="J57" s="2556"/>
      <c r="K57" s="2573">
        <f t="shared" si="4"/>
        <v>0</v>
      </c>
      <c r="L57" s="2574" t="s">
        <v>30</v>
      </c>
      <c r="M57" s="2556">
        <f t="shared" ref="M57:M80" si="6">SUM(K57:L57)</f>
        <v>0</v>
      </c>
      <c r="N57" s="2539"/>
      <c r="O57" s="2539"/>
      <c r="P57" s="2539"/>
    </row>
    <row r="58" spans="2:16" ht="15.6" customHeight="1" x14ac:dyDescent="0.2">
      <c r="B58" s="2562" t="s">
        <v>164</v>
      </c>
      <c r="C58" s="2563" t="s">
        <v>211</v>
      </c>
      <c r="D58" s="2573">
        <v>0</v>
      </c>
      <c r="E58" s="2574" t="s">
        <v>30</v>
      </c>
      <c r="F58" s="2556">
        <v>0</v>
      </c>
      <c r="G58" s="2556">
        <v>0</v>
      </c>
      <c r="H58" s="2571"/>
      <c r="I58" s="2571"/>
      <c r="J58" s="2571"/>
      <c r="K58" s="2573">
        <f t="shared" si="4"/>
        <v>0</v>
      </c>
      <c r="L58" s="2574" t="s">
        <v>30</v>
      </c>
      <c r="M58" s="2556">
        <f t="shared" si="6"/>
        <v>0</v>
      </c>
      <c r="N58" s="2539"/>
      <c r="O58" s="2539"/>
      <c r="P58" s="2539"/>
    </row>
    <row r="59" spans="2:16" ht="15.6" customHeight="1" x14ac:dyDescent="0.2">
      <c r="B59" s="1763" t="s">
        <v>158</v>
      </c>
      <c r="C59" s="2564" t="s">
        <v>349</v>
      </c>
      <c r="D59" s="2573">
        <v>746699178</v>
      </c>
      <c r="E59" s="2574" t="s">
        <v>30</v>
      </c>
      <c r="F59" s="2556">
        <v>746699178</v>
      </c>
      <c r="G59" s="2568"/>
      <c r="H59" s="2571"/>
      <c r="I59" s="2556"/>
      <c r="J59" s="2556"/>
      <c r="K59" s="2573">
        <f t="shared" si="4"/>
        <v>746699178</v>
      </c>
      <c r="L59" s="2574" t="s">
        <v>30</v>
      </c>
      <c r="M59" s="2556">
        <f t="shared" si="6"/>
        <v>746699178</v>
      </c>
      <c r="N59" s="2539"/>
      <c r="O59" s="2539"/>
      <c r="P59" s="2539"/>
    </row>
    <row r="60" spans="2:16" ht="15.6" customHeight="1" x14ac:dyDescent="0.2">
      <c r="B60" s="2562" t="s">
        <v>73</v>
      </c>
      <c r="C60" s="2563" t="s">
        <v>74</v>
      </c>
      <c r="D60" s="2573">
        <v>706274</v>
      </c>
      <c r="E60" s="2574" t="s">
        <v>30</v>
      </c>
      <c r="F60" s="2556">
        <v>706274</v>
      </c>
      <c r="G60" s="2568"/>
      <c r="H60" s="2571"/>
      <c r="I60" s="2556"/>
      <c r="J60" s="2556"/>
      <c r="K60" s="2573">
        <f t="shared" si="4"/>
        <v>706274</v>
      </c>
      <c r="L60" s="2574" t="s">
        <v>30</v>
      </c>
      <c r="M60" s="2556">
        <f t="shared" si="6"/>
        <v>706274</v>
      </c>
      <c r="N60" s="2539"/>
      <c r="O60" s="2539"/>
      <c r="P60" s="2539"/>
    </row>
    <row r="61" spans="2:16" ht="15.6" customHeight="1" x14ac:dyDescent="0.2">
      <c r="B61" s="1763" t="s">
        <v>165</v>
      </c>
      <c r="C61" s="2564" t="s">
        <v>212</v>
      </c>
      <c r="D61" s="2573">
        <v>0</v>
      </c>
      <c r="E61" s="2574" t="s">
        <v>30</v>
      </c>
      <c r="F61" s="2556">
        <v>0</v>
      </c>
      <c r="G61" s="2568"/>
      <c r="H61" s="2571"/>
      <c r="I61" s="2556"/>
      <c r="J61" s="2556"/>
      <c r="K61" s="2573">
        <f t="shared" si="4"/>
        <v>0</v>
      </c>
      <c r="L61" s="2574" t="s">
        <v>30</v>
      </c>
      <c r="M61" s="2556">
        <f t="shared" si="6"/>
        <v>0</v>
      </c>
      <c r="N61" s="2539"/>
      <c r="O61" s="2539"/>
      <c r="P61" s="2539"/>
    </row>
    <row r="62" spans="2:16" ht="15.6" customHeight="1" x14ac:dyDescent="0.2">
      <c r="B62" s="2577" t="s">
        <v>176</v>
      </c>
      <c r="C62" s="2564" t="s">
        <v>177</v>
      </c>
      <c r="D62" s="2573">
        <v>459851101</v>
      </c>
      <c r="E62" s="2574" t="s">
        <v>30</v>
      </c>
      <c r="F62" s="2556">
        <v>459851101</v>
      </c>
      <c r="G62" s="2568"/>
      <c r="H62" s="2556"/>
      <c r="I62" s="2571"/>
      <c r="J62" s="2571"/>
      <c r="K62" s="2573">
        <f t="shared" si="4"/>
        <v>459851101</v>
      </c>
      <c r="L62" s="2574" t="s">
        <v>30</v>
      </c>
      <c r="M62" s="2556">
        <f t="shared" si="6"/>
        <v>459851101</v>
      </c>
      <c r="N62" s="2539"/>
      <c r="O62" s="2539"/>
      <c r="P62" s="2539"/>
    </row>
    <row r="63" spans="2:16" ht="15.6" customHeight="1" x14ac:dyDescent="0.2">
      <c r="B63" s="2577" t="s">
        <v>178</v>
      </c>
      <c r="C63" s="2564" t="s">
        <v>179</v>
      </c>
      <c r="D63" s="2573">
        <v>0</v>
      </c>
      <c r="E63" s="2574" t="s">
        <v>30</v>
      </c>
      <c r="F63" s="2556">
        <v>0</v>
      </c>
      <c r="G63" s="2556">
        <v>0</v>
      </c>
      <c r="H63" s="2571"/>
      <c r="I63" s="2571"/>
      <c r="J63" s="2571"/>
      <c r="K63" s="2573">
        <f t="shared" si="4"/>
        <v>0</v>
      </c>
      <c r="L63" s="2574" t="s">
        <v>30</v>
      </c>
      <c r="M63" s="2556">
        <f t="shared" si="6"/>
        <v>0</v>
      </c>
      <c r="N63" s="2539"/>
      <c r="O63" s="2539"/>
      <c r="P63" s="2539"/>
    </row>
    <row r="64" spans="2:16" ht="15.6" customHeight="1" x14ac:dyDescent="0.2">
      <c r="B64" s="2578" t="s">
        <v>166</v>
      </c>
      <c r="C64" s="2563" t="s">
        <v>167</v>
      </c>
      <c r="D64" s="2573">
        <v>0</v>
      </c>
      <c r="E64" s="2574" t="s">
        <v>30</v>
      </c>
      <c r="F64" s="2556">
        <v>0</v>
      </c>
      <c r="G64" s="2556">
        <v>0</v>
      </c>
      <c r="H64" s="2571"/>
      <c r="I64" s="2571"/>
      <c r="J64" s="2571"/>
      <c r="K64" s="2573">
        <f t="shared" si="4"/>
        <v>0</v>
      </c>
      <c r="L64" s="2574" t="s">
        <v>30</v>
      </c>
      <c r="M64" s="2556">
        <f t="shared" si="6"/>
        <v>0</v>
      </c>
    </row>
    <row r="65" spans="1:16" ht="15.6" customHeight="1" x14ac:dyDescent="0.2">
      <c r="B65" s="2577" t="s">
        <v>170</v>
      </c>
      <c r="C65" s="2564" t="s">
        <v>171</v>
      </c>
      <c r="D65" s="2573">
        <v>2439207</v>
      </c>
      <c r="E65" s="2574" t="s">
        <v>30</v>
      </c>
      <c r="F65" s="2556">
        <v>2439207</v>
      </c>
      <c r="G65" s="2556">
        <v>0</v>
      </c>
      <c r="H65" s="2571"/>
      <c r="I65" s="2571"/>
      <c r="J65" s="2571"/>
      <c r="K65" s="2573">
        <f t="shared" si="4"/>
        <v>2439207</v>
      </c>
      <c r="L65" s="2574" t="s">
        <v>30</v>
      </c>
      <c r="M65" s="2556">
        <f t="shared" si="6"/>
        <v>2439207</v>
      </c>
    </row>
    <row r="66" spans="1:16" ht="15.6" customHeight="1" x14ac:dyDescent="0.2">
      <c r="B66" s="2577" t="s">
        <v>172</v>
      </c>
      <c r="C66" s="2564" t="s">
        <v>173</v>
      </c>
      <c r="D66" s="2573">
        <v>344401232</v>
      </c>
      <c r="E66" s="2574" t="s">
        <v>30</v>
      </c>
      <c r="F66" s="2556">
        <v>344401232</v>
      </c>
      <c r="G66" s="2556">
        <v>0</v>
      </c>
      <c r="H66" s="2571"/>
      <c r="I66" s="2571"/>
      <c r="J66" s="2571"/>
      <c r="K66" s="2573">
        <f t="shared" si="4"/>
        <v>344401232</v>
      </c>
      <c r="L66" s="2574" t="s">
        <v>30</v>
      </c>
      <c r="M66" s="2556">
        <f t="shared" si="6"/>
        <v>344401232</v>
      </c>
    </row>
    <row r="67" spans="1:16" ht="15.6" customHeight="1" x14ac:dyDescent="0.2">
      <c r="B67" s="2578" t="s">
        <v>117</v>
      </c>
      <c r="C67" s="2563" t="s">
        <v>365</v>
      </c>
      <c r="D67" s="2573">
        <v>172803522</v>
      </c>
      <c r="E67" s="2574" t="s">
        <v>30</v>
      </c>
      <c r="F67" s="2556">
        <v>172803522</v>
      </c>
      <c r="G67" s="2556">
        <v>0</v>
      </c>
      <c r="H67" s="2571"/>
      <c r="I67" s="2571">
        <v>-171808183</v>
      </c>
      <c r="J67" s="2571"/>
      <c r="K67" s="2573">
        <f t="shared" si="4"/>
        <v>995339</v>
      </c>
      <c r="L67" s="2574" t="s">
        <v>30</v>
      </c>
      <c r="M67" s="2556">
        <f t="shared" si="6"/>
        <v>995339</v>
      </c>
    </row>
    <row r="68" spans="1:16" ht="15.6" customHeight="1" x14ac:dyDescent="0.2">
      <c r="B68" s="2577" t="s">
        <v>182</v>
      </c>
      <c r="C68" s="2564" t="s">
        <v>335</v>
      </c>
      <c r="D68" s="2573">
        <v>1845726129</v>
      </c>
      <c r="E68" s="2574" t="s">
        <v>30</v>
      </c>
      <c r="F68" s="2556">
        <v>1845726129</v>
      </c>
      <c r="G68" s="2568"/>
      <c r="H68" s="2571"/>
      <c r="I68" s="2556">
        <v>-225418666</v>
      </c>
      <c r="J68" s="2556"/>
      <c r="K68" s="2573">
        <f t="shared" si="4"/>
        <v>1620307463</v>
      </c>
      <c r="L68" s="2574" t="s">
        <v>30</v>
      </c>
      <c r="M68" s="2556">
        <f t="shared" si="6"/>
        <v>1620307463</v>
      </c>
    </row>
    <row r="69" spans="1:16" ht="15.6" customHeight="1" x14ac:dyDescent="0.2">
      <c r="B69" s="2577">
        <v>1503003007</v>
      </c>
      <c r="C69" s="2564" t="s">
        <v>155</v>
      </c>
      <c r="D69" s="2573">
        <v>1244269604</v>
      </c>
      <c r="E69" s="2574" t="s">
        <v>30</v>
      </c>
      <c r="F69" s="2556">
        <v>1244269604</v>
      </c>
      <c r="G69" s="2568"/>
      <c r="H69" s="2556"/>
      <c r="I69" s="2571">
        <v>-381163482</v>
      </c>
      <c r="J69" s="2571"/>
      <c r="K69" s="2573">
        <f t="shared" si="4"/>
        <v>863106122</v>
      </c>
      <c r="L69" s="2574" t="s">
        <v>30</v>
      </c>
      <c r="M69" s="2556">
        <f t="shared" si="6"/>
        <v>863106122</v>
      </c>
    </row>
    <row r="70" spans="1:16" ht="15.6" customHeight="1" x14ac:dyDescent="0.2">
      <c r="B70" s="2577" t="s">
        <v>81</v>
      </c>
      <c r="C70" s="2564" t="s">
        <v>82</v>
      </c>
      <c r="D70" s="2573">
        <v>2396923913</v>
      </c>
      <c r="E70" s="2574" t="s">
        <v>30</v>
      </c>
      <c r="F70" s="2556">
        <v>2396923913</v>
      </c>
      <c r="G70" s="2568"/>
      <c r="H70" s="2571"/>
      <c r="I70" s="2556"/>
      <c r="J70" s="2556"/>
      <c r="K70" s="2573">
        <f t="shared" si="4"/>
        <v>2396923913</v>
      </c>
      <c r="L70" s="2574" t="s">
        <v>30</v>
      </c>
      <c r="M70" s="2556">
        <f t="shared" si="6"/>
        <v>2396923913</v>
      </c>
    </row>
    <row r="71" spans="1:16" ht="15.6" customHeight="1" x14ac:dyDescent="0.2">
      <c r="B71" s="2579" t="s">
        <v>368</v>
      </c>
      <c r="C71" s="2555" t="s">
        <v>369</v>
      </c>
      <c r="D71" s="2573">
        <v>215573360</v>
      </c>
      <c r="E71" s="2574" t="s">
        <v>30</v>
      </c>
      <c r="F71" s="2556">
        <v>215573360</v>
      </c>
      <c r="G71" s="2556">
        <v>0</v>
      </c>
      <c r="H71" s="2571"/>
      <c r="I71" s="2571">
        <v>-215573360</v>
      </c>
      <c r="J71" s="2571"/>
      <c r="K71" s="2573">
        <f t="shared" si="4"/>
        <v>0</v>
      </c>
      <c r="L71" s="2574" t="s">
        <v>30</v>
      </c>
      <c r="M71" s="2556">
        <f t="shared" si="6"/>
        <v>0</v>
      </c>
    </row>
    <row r="72" spans="1:16" ht="15.6" customHeight="1" x14ac:dyDescent="0.2">
      <c r="B72" s="2577">
        <v>1307006002</v>
      </c>
      <c r="C72" s="2564" t="s">
        <v>88</v>
      </c>
      <c r="D72" s="2573">
        <v>1295486015</v>
      </c>
      <c r="E72" s="2574" t="s">
        <v>30</v>
      </c>
      <c r="F72" s="2556">
        <v>1295486015</v>
      </c>
      <c r="G72" s="2568"/>
      <c r="H72" s="2571"/>
      <c r="I72" s="2556">
        <v>-1295486015</v>
      </c>
      <c r="J72" s="2556"/>
      <c r="K72" s="2573">
        <f t="shared" si="4"/>
        <v>0</v>
      </c>
      <c r="L72" s="2574" t="s">
        <v>30</v>
      </c>
      <c r="M72" s="2556">
        <f t="shared" si="6"/>
        <v>0</v>
      </c>
    </row>
    <row r="73" spans="1:16" ht="15.6" customHeight="1" x14ac:dyDescent="0.2">
      <c r="B73" s="2577" t="s">
        <v>125</v>
      </c>
      <c r="C73" s="2564" t="s">
        <v>335</v>
      </c>
      <c r="D73" s="2573">
        <v>1817459306</v>
      </c>
      <c r="E73" s="2574" t="s">
        <v>30</v>
      </c>
      <c r="F73" s="2556">
        <v>1817459306</v>
      </c>
      <c r="G73" s="2568"/>
      <c r="H73" s="2571"/>
      <c r="I73" s="2556">
        <v>-23158990</v>
      </c>
      <c r="J73" s="2556"/>
      <c r="K73" s="2573">
        <f t="shared" si="4"/>
        <v>1794300316</v>
      </c>
      <c r="L73" s="2574" t="s">
        <v>30</v>
      </c>
      <c r="M73" s="2556">
        <f t="shared" si="6"/>
        <v>1794300316</v>
      </c>
    </row>
    <row r="74" spans="1:16" ht="15.6" customHeight="1" x14ac:dyDescent="0.2">
      <c r="B74" s="2577" t="s">
        <v>372</v>
      </c>
      <c r="C74" s="2564" t="s">
        <v>373</v>
      </c>
      <c r="D74" s="2573">
        <v>38566153</v>
      </c>
      <c r="E74" s="2574" t="s">
        <v>30</v>
      </c>
      <c r="F74" s="2556">
        <v>38566153</v>
      </c>
      <c r="G74" s="2556">
        <v>0</v>
      </c>
      <c r="H74" s="2571"/>
      <c r="I74" s="2571"/>
      <c r="J74" s="2571"/>
      <c r="K74" s="2573">
        <f t="shared" si="4"/>
        <v>38566153</v>
      </c>
      <c r="L74" s="2574" t="s">
        <v>30</v>
      </c>
      <c r="M74" s="2556">
        <f t="shared" si="6"/>
        <v>38566153</v>
      </c>
    </row>
    <row r="75" spans="1:16" ht="15.6" customHeight="1" x14ac:dyDescent="0.2">
      <c r="B75" s="2577" t="s">
        <v>374</v>
      </c>
      <c r="C75" s="2564" t="s">
        <v>375</v>
      </c>
      <c r="D75" s="2573">
        <v>1200347324</v>
      </c>
      <c r="E75" s="2574" t="s">
        <v>30</v>
      </c>
      <c r="F75" s="2556">
        <v>1200347324</v>
      </c>
      <c r="G75" s="2568"/>
      <c r="H75" s="2571"/>
      <c r="I75" s="2556"/>
      <c r="J75" s="2556"/>
      <c r="K75" s="2573">
        <f t="shared" si="4"/>
        <v>1200347324</v>
      </c>
      <c r="L75" s="2574" t="s">
        <v>30</v>
      </c>
      <c r="M75" s="2556">
        <f t="shared" si="6"/>
        <v>1200347324</v>
      </c>
    </row>
    <row r="76" spans="1:16" ht="15.6" customHeight="1" x14ac:dyDescent="0.2">
      <c r="B76" s="2577" t="s">
        <v>548</v>
      </c>
      <c r="C76" s="2580" t="s">
        <v>547</v>
      </c>
      <c r="D76" s="2573">
        <v>17269566692</v>
      </c>
      <c r="E76" s="2574">
        <v>10624783</v>
      </c>
      <c r="F76" s="2556">
        <v>17280191475</v>
      </c>
      <c r="G76" s="2568"/>
      <c r="H76" s="2556">
        <v>8363498843</v>
      </c>
      <c r="I76" s="2571">
        <v>-18408732796</v>
      </c>
      <c r="J76" s="2571"/>
      <c r="K76" s="2573">
        <f t="shared" si="4"/>
        <v>7224332739</v>
      </c>
      <c r="L76" s="2574">
        <v>10624783</v>
      </c>
      <c r="M76" s="2556">
        <f t="shared" si="6"/>
        <v>7234957522</v>
      </c>
    </row>
    <row r="77" spans="1:16" ht="15.6" customHeight="1" x14ac:dyDescent="0.2">
      <c r="B77" s="2577" t="s">
        <v>546</v>
      </c>
      <c r="C77" s="2564" t="s">
        <v>545</v>
      </c>
      <c r="D77" s="2559">
        <v>3833951277</v>
      </c>
      <c r="E77" s="2559" t="s">
        <v>30</v>
      </c>
      <c r="F77" s="2556">
        <v>3833951277</v>
      </c>
      <c r="G77" s="2568"/>
      <c r="H77" s="2556">
        <v>2272495472</v>
      </c>
      <c r="I77" s="2571">
        <v>-1660396262</v>
      </c>
      <c r="J77" s="2571"/>
      <c r="K77" s="2573">
        <f t="shared" si="4"/>
        <v>4446050487</v>
      </c>
      <c r="L77" s="2559" t="s">
        <v>30</v>
      </c>
      <c r="M77" s="2556">
        <f t="shared" si="6"/>
        <v>4446050487</v>
      </c>
    </row>
    <row r="78" spans="1:16" ht="15.6" customHeight="1" x14ac:dyDescent="0.2">
      <c r="B78" s="1149" t="s">
        <v>540</v>
      </c>
      <c r="C78" s="2564" t="s">
        <v>541</v>
      </c>
      <c r="D78" s="2558">
        <v>6669166096</v>
      </c>
      <c r="E78" s="2559" t="s">
        <v>30</v>
      </c>
      <c r="F78" s="2556">
        <v>6669166096</v>
      </c>
      <c r="G78" s="2568"/>
      <c r="H78" s="2571">
        <v>10803134814</v>
      </c>
      <c r="I78" s="2556">
        <v>-13900932379</v>
      </c>
      <c r="J78" s="2556"/>
      <c r="K78" s="2573">
        <f t="shared" si="4"/>
        <v>3571368531</v>
      </c>
      <c r="L78" s="2559" t="s">
        <v>30</v>
      </c>
      <c r="M78" s="2556">
        <f t="shared" si="6"/>
        <v>3571368531</v>
      </c>
    </row>
    <row r="79" spans="1:16" ht="15.6" customHeight="1" x14ac:dyDescent="0.2">
      <c r="B79" s="2577" t="s">
        <v>542</v>
      </c>
      <c r="C79" s="2564" t="s">
        <v>335</v>
      </c>
      <c r="D79" s="2559">
        <v>2708026607</v>
      </c>
      <c r="E79" s="2559" t="s">
        <v>30</v>
      </c>
      <c r="F79" s="2556">
        <v>2708026607</v>
      </c>
      <c r="G79" s="2568"/>
      <c r="H79" s="2556">
        <v>4446823234</v>
      </c>
      <c r="I79" s="2571">
        <v>-4169361300</v>
      </c>
      <c r="J79" s="2571"/>
      <c r="K79" s="2573">
        <f t="shared" si="4"/>
        <v>2985488541</v>
      </c>
      <c r="L79" s="2559" t="s">
        <v>30</v>
      </c>
      <c r="M79" s="2556">
        <f t="shared" si="6"/>
        <v>2985488541</v>
      </c>
    </row>
    <row r="80" spans="1:16" ht="15.6" customHeight="1" x14ac:dyDescent="0.2">
      <c r="A80" s="2539"/>
      <c r="B80" s="2578" t="s">
        <v>77</v>
      </c>
      <c r="C80" s="2563" t="s">
        <v>78</v>
      </c>
      <c r="D80" s="2559">
        <v>0</v>
      </c>
      <c r="E80" s="2559" t="s">
        <v>30</v>
      </c>
      <c r="F80" s="2558">
        <v>0</v>
      </c>
      <c r="G80" s="2558">
        <v>0</v>
      </c>
      <c r="H80" s="2571"/>
      <c r="I80" s="2571"/>
      <c r="J80" s="2571"/>
      <c r="K80" s="2573">
        <f t="shared" si="4"/>
        <v>0</v>
      </c>
      <c r="L80" s="2559" t="s">
        <v>30</v>
      </c>
      <c r="M80" s="2556">
        <f t="shared" si="6"/>
        <v>0</v>
      </c>
      <c r="N80" s="2539"/>
      <c r="O80" s="2539"/>
      <c r="P80" s="2539"/>
    </row>
    <row r="81" spans="1:16" ht="15.6" customHeight="1" x14ac:dyDescent="0.2">
      <c r="A81" s="2539"/>
      <c r="B81" s="3904" t="s">
        <v>893</v>
      </c>
      <c r="C81" s="3905"/>
      <c r="D81" s="2573">
        <f>SUM(D50:D80)</f>
        <v>428894191221</v>
      </c>
      <c r="E81" s="2573">
        <f t="shared" ref="E81:M81" si="7">SUM(E50:E80)</f>
        <v>4856507283</v>
      </c>
      <c r="F81" s="2573">
        <f t="shared" si="7"/>
        <v>433750698504</v>
      </c>
      <c r="G81" s="2573">
        <f t="shared" si="7"/>
        <v>0</v>
      </c>
      <c r="H81" s="2573">
        <f>SUM(H50:H80)</f>
        <v>851693469856</v>
      </c>
      <c r="I81" s="2573">
        <f t="shared" si="7"/>
        <v>-801474373554</v>
      </c>
      <c r="J81" s="2573">
        <f t="shared" si="7"/>
        <v>-219789737</v>
      </c>
      <c r="K81" s="2573">
        <f t="shared" si="7"/>
        <v>479113287523</v>
      </c>
      <c r="L81" s="2573">
        <f t="shared" si="7"/>
        <v>4636717546</v>
      </c>
      <c r="M81" s="2573">
        <f t="shared" si="7"/>
        <v>483684363253</v>
      </c>
      <c r="N81" s="2539"/>
      <c r="O81" s="2539"/>
      <c r="P81" s="2539"/>
    </row>
    <row r="82" spans="1:16" ht="16.899999999999999" customHeight="1" x14ac:dyDescent="0.2">
      <c r="A82" s="2539"/>
      <c r="B82" s="3915">
        <v>81</v>
      </c>
      <c r="C82" s="3915"/>
      <c r="D82" s="3915"/>
      <c r="E82" s="3915"/>
      <c r="F82" s="3915"/>
      <c r="G82" s="3915"/>
      <c r="H82" s="3915"/>
      <c r="I82" s="3915"/>
      <c r="J82" s="3915"/>
      <c r="K82" s="3915"/>
      <c r="L82" s="3915"/>
      <c r="M82" s="3915"/>
      <c r="N82" s="3915"/>
      <c r="O82" s="2539"/>
      <c r="P82" s="2539"/>
    </row>
    <row r="83" spans="1:16" ht="19.149999999999999" customHeight="1" x14ac:dyDescent="0.2">
      <c r="A83" s="2539"/>
      <c r="B83" s="3426" t="s">
        <v>32</v>
      </c>
      <c r="C83" s="3426"/>
      <c r="D83" s="3426"/>
      <c r="E83" s="3426"/>
      <c r="F83" s="3426"/>
      <c r="G83" s="3426"/>
      <c r="H83" s="3426"/>
      <c r="I83" s="3426"/>
      <c r="J83" s="3426"/>
      <c r="K83" s="3426"/>
      <c r="L83" s="3426"/>
      <c r="M83" s="3426"/>
      <c r="N83" s="3426"/>
      <c r="O83" s="3426"/>
      <c r="P83" s="2020"/>
    </row>
    <row r="84" spans="1:16" ht="19.149999999999999" customHeight="1" x14ac:dyDescent="0.2">
      <c r="A84" s="2539"/>
      <c r="B84" s="3426" t="s">
        <v>45</v>
      </c>
      <c r="C84" s="3426"/>
      <c r="D84" s="3426"/>
      <c r="E84" s="3426"/>
      <c r="F84" s="3426"/>
      <c r="G84" s="3426"/>
      <c r="H84" s="3426"/>
      <c r="I84" s="3426"/>
      <c r="J84" s="3426"/>
      <c r="K84" s="3426"/>
      <c r="L84" s="3426"/>
      <c r="M84" s="3426"/>
      <c r="N84" s="3426"/>
      <c r="O84" s="3426"/>
      <c r="P84" s="2020"/>
    </row>
    <row r="85" spans="1:16" ht="19.149999999999999" customHeight="1" x14ac:dyDescent="0.2">
      <c r="A85" s="2539"/>
      <c r="B85" s="3426" t="s">
        <v>46</v>
      </c>
      <c r="C85" s="3426"/>
      <c r="D85" s="3426"/>
      <c r="E85" s="3426"/>
      <c r="F85" s="3426"/>
      <c r="G85" s="3426"/>
      <c r="H85" s="3426"/>
      <c r="I85" s="3426"/>
      <c r="J85" s="3426"/>
      <c r="K85" s="3426"/>
      <c r="L85" s="3426"/>
      <c r="M85" s="3426"/>
      <c r="N85" s="3426"/>
      <c r="O85" s="3426"/>
      <c r="P85" s="2020"/>
    </row>
    <row r="86" spans="1:16" ht="19.149999999999999" customHeight="1" x14ac:dyDescent="0.2">
      <c r="A86" s="3427" t="s">
        <v>2004</v>
      </c>
      <c r="B86" s="3427"/>
      <c r="C86" s="3427"/>
      <c r="D86" s="3427"/>
      <c r="E86" s="3427"/>
      <c r="F86" s="3427"/>
      <c r="G86" s="3427"/>
      <c r="H86" s="3427"/>
      <c r="I86" s="3427"/>
      <c r="J86" s="3427"/>
      <c r="K86" s="3427"/>
      <c r="L86" s="3427"/>
      <c r="M86" s="3427"/>
      <c r="N86" s="3427"/>
      <c r="O86" s="2020"/>
      <c r="P86" s="2020"/>
    </row>
    <row r="87" spans="1:16" ht="23.45" customHeight="1" x14ac:dyDescent="0.2">
      <c r="A87" s="2539"/>
      <c r="B87" s="3916" t="s">
        <v>1014</v>
      </c>
      <c r="C87" s="3916"/>
      <c r="D87" s="2020"/>
      <c r="E87" s="2020"/>
      <c r="F87" s="2020"/>
      <c r="G87" s="2020"/>
      <c r="H87" s="2020"/>
      <c r="I87" s="2020"/>
      <c r="J87" s="2020"/>
      <c r="K87" s="2020"/>
      <c r="L87" s="3917" t="s">
        <v>194</v>
      </c>
      <c r="M87" s="3917"/>
      <c r="N87" s="2539"/>
      <c r="O87" s="2020"/>
      <c r="P87" s="2020"/>
    </row>
    <row r="88" spans="1:16" ht="12" customHeight="1" x14ac:dyDescent="0.2">
      <c r="A88" s="2539"/>
      <c r="B88" s="3910" t="s">
        <v>53</v>
      </c>
      <c r="C88" s="3912" t="s">
        <v>54</v>
      </c>
      <c r="D88" s="3900" t="s">
        <v>1391</v>
      </c>
      <c r="E88" s="3900"/>
      <c r="F88" s="3900"/>
      <c r="G88" s="2552"/>
      <c r="H88" s="3901" t="s">
        <v>1013</v>
      </c>
      <c r="I88" s="3918" t="s">
        <v>902</v>
      </c>
      <c r="J88" s="3919"/>
      <c r="K88" s="3900" t="s">
        <v>1986</v>
      </c>
      <c r="L88" s="3900"/>
      <c r="M88" s="3900"/>
      <c r="N88" s="2539"/>
      <c r="O88" s="2539"/>
      <c r="P88" s="2539"/>
    </row>
    <row r="89" spans="1:16" ht="18" customHeight="1" x14ac:dyDescent="0.2">
      <c r="A89" s="2539"/>
      <c r="B89" s="3910"/>
      <c r="C89" s="3912"/>
      <c r="D89" s="3900"/>
      <c r="E89" s="3900"/>
      <c r="F89" s="3900"/>
      <c r="G89" s="2552"/>
      <c r="H89" s="3901"/>
      <c r="I89" s="3920"/>
      <c r="J89" s="3921"/>
      <c r="K89" s="3900"/>
      <c r="L89" s="3900"/>
      <c r="M89" s="3900"/>
      <c r="N89" s="2539"/>
      <c r="O89" s="2539"/>
      <c r="P89" s="2539"/>
    </row>
    <row r="90" spans="1:16" ht="18" customHeight="1" x14ac:dyDescent="0.2">
      <c r="A90" s="2539"/>
      <c r="B90" s="3910"/>
      <c r="C90" s="3912"/>
      <c r="D90" s="3902" t="s">
        <v>415</v>
      </c>
      <c r="E90" s="3902" t="s">
        <v>416</v>
      </c>
      <c r="F90" s="3903" t="s">
        <v>417</v>
      </c>
      <c r="G90" s="2553"/>
      <c r="H90" s="3901"/>
      <c r="I90" s="3902" t="s">
        <v>415</v>
      </c>
      <c r="J90" s="3902" t="s">
        <v>416</v>
      </c>
      <c r="K90" s="3902" t="s">
        <v>415</v>
      </c>
      <c r="L90" s="3902" t="s">
        <v>416</v>
      </c>
      <c r="M90" s="3903" t="s">
        <v>417</v>
      </c>
      <c r="N90" s="2539"/>
      <c r="O90" s="2539"/>
      <c r="P90" s="2539"/>
    </row>
    <row r="91" spans="1:16" ht="13.15" customHeight="1" x14ac:dyDescent="0.2">
      <c r="A91" s="2539"/>
      <c r="B91" s="3911"/>
      <c r="C91" s="3913"/>
      <c r="D91" s="3902"/>
      <c r="E91" s="3902"/>
      <c r="F91" s="3903"/>
      <c r="G91" s="2553"/>
      <c r="H91" s="3901"/>
      <c r="I91" s="3902"/>
      <c r="J91" s="3902"/>
      <c r="K91" s="3902"/>
      <c r="L91" s="3902"/>
      <c r="M91" s="3903"/>
      <c r="N91" s="2539"/>
      <c r="O91" s="2539"/>
      <c r="P91" s="2539"/>
    </row>
    <row r="92" spans="1:16" ht="22.15" customHeight="1" x14ac:dyDescent="0.2">
      <c r="A92" s="2539"/>
      <c r="B92" s="3904" t="s">
        <v>181</v>
      </c>
      <c r="C92" s="3905"/>
      <c r="D92" s="2573">
        <f>D81</f>
        <v>428894191221</v>
      </c>
      <c r="E92" s="2573">
        <f>E81</f>
        <v>4856507283</v>
      </c>
      <c r="F92" s="2573">
        <f>F81</f>
        <v>433750698504</v>
      </c>
      <c r="G92" s="2573"/>
      <c r="H92" s="2573">
        <f t="shared" ref="H92:M92" si="8">H81</f>
        <v>851693469856</v>
      </c>
      <c r="I92" s="2573">
        <f t="shared" si="8"/>
        <v>-801474373554</v>
      </c>
      <c r="J92" s="2573">
        <f t="shared" si="8"/>
        <v>-219789737</v>
      </c>
      <c r="K92" s="2573">
        <f t="shared" si="8"/>
        <v>479113287523</v>
      </c>
      <c r="L92" s="2573">
        <f t="shared" si="8"/>
        <v>4636717546</v>
      </c>
      <c r="M92" s="2573">
        <f t="shared" si="8"/>
        <v>483684363253</v>
      </c>
      <c r="N92" s="2539"/>
      <c r="O92" s="2539"/>
      <c r="P92" s="2539"/>
    </row>
    <row r="93" spans="1:16" ht="17.45" customHeight="1" x14ac:dyDescent="0.2">
      <c r="A93" s="2539"/>
      <c r="B93" s="2581" t="s">
        <v>99</v>
      </c>
      <c r="C93" s="2563" t="s">
        <v>100</v>
      </c>
      <c r="D93" s="2559">
        <v>177160029</v>
      </c>
      <c r="E93" s="2559" t="s">
        <v>30</v>
      </c>
      <c r="F93" s="2558">
        <v>177160029</v>
      </c>
      <c r="G93" s="2558">
        <v>0</v>
      </c>
      <c r="H93" s="2571"/>
      <c r="I93" s="2571"/>
      <c r="J93" s="2571"/>
      <c r="K93" s="2559">
        <f t="shared" ref="K93:K123" si="9">D93+H93+I93</f>
        <v>177160029</v>
      </c>
      <c r="L93" s="2559" t="s">
        <v>30</v>
      </c>
      <c r="M93" s="2556">
        <f>SUM(K93:L93)</f>
        <v>177160029</v>
      </c>
      <c r="N93" s="2539"/>
      <c r="O93" s="2539"/>
      <c r="P93" s="2539"/>
    </row>
    <row r="94" spans="1:16" ht="17.45" customHeight="1" x14ac:dyDescent="0.2">
      <c r="A94" s="2539"/>
      <c r="B94" s="2581" t="s">
        <v>118</v>
      </c>
      <c r="C94" s="2563" t="s">
        <v>119</v>
      </c>
      <c r="D94" s="2559">
        <v>628582</v>
      </c>
      <c r="E94" s="2559" t="s">
        <v>30</v>
      </c>
      <c r="F94" s="2558">
        <v>628582</v>
      </c>
      <c r="G94" s="2558">
        <v>0</v>
      </c>
      <c r="H94" s="2571"/>
      <c r="I94" s="2571"/>
      <c r="J94" s="2571"/>
      <c r="K94" s="2559">
        <f t="shared" si="9"/>
        <v>628582</v>
      </c>
      <c r="L94" s="2559" t="s">
        <v>30</v>
      </c>
      <c r="M94" s="2556">
        <f t="shared" ref="M94:M123" si="10">SUM(K94:L94)</f>
        <v>628582</v>
      </c>
      <c r="N94" s="2539"/>
      <c r="O94" s="2539"/>
      <c r="P94" s="2539"/>
    </row>
    <row r="95" spans="1:16" ht="17.45" customHeight="1" x14ac:dyDescent="0.2">
      <c r="A95" s="2539"/>
      <c r="B95" s="2582" t="s">
        <v>544</v>
      </c>
      <c r="C95" s="2564" t="s">
        <v>543</v>
      </c>
      <c r="D95" s="2559">
        <v>100868956</v>
      </c>
      <c r="E95" s="2559" t="s">
        <v>30</v>
      </c>
      <c r="F95" s="2558">
        <v>100868956</v>
      </c>
      <c r="H95" s="2571"/>
      <c r="I95" s="2556"/>
      <c r="J95" s="2556"/>
      <c r="K95" s="2559">
        <f t="shared" si="9"/>
        <v>100868956</v>
      </c>
      <c r="L95" s="2559" t="s">
        <v>30</v>
      </c>
      <c r="M95" s="2556">
        <f t="shared" si="10"/>
        <v>100868956</v>
      </c>
      <c r="N95" s="2539"/>
      <c r="O95" s="2539"/>
      <c r="P95" s="2539"/>
    </row>
    <row r="96" spans="1:16" ht="17.45" customHeight="1" x14ac:dyDescent="0.2">
      <c r="B96" s="2581" t="s">
        <v>550</v>
      </c>
      <c r="C96" s="2563" t="s">
        <v>549</v>
      </c>
      <c r="D96" s="2559">
        <v>0</v>
      </c>
      <c r="E96" s="2559" t="s">
        <v>30</v>
      </c>
      <c r="F96" s="2558">
        <v>0</v>
      </c>
      <c r="H96" s="2571">
        <v>803956601</v>
      </c>
      <c r="I96" s="2556">
        <v>-10509672</v>
      </c>
      <c r="J96" s="2556"/>
      <c r="K96" s="2559">
        <f t="shared" si="9"/>
        <v>793446929</v>
      </c>
      <c r="L96" s="2559" t="s">
        <v>30</v>
      </c>
      <c r="M96" s="2556">
        <f t="shared" si="10"/>
        <v>793446929</v>
      </c>
    </row>
    <row r="97" spans="1:14" ht="17.45" customHeight="1" x14ac:dyDescent="0.2">
      <c r="B97" s="2582" t="s">
        <v>555</v>
      </c>
      <c r="C97" s="2564" t="s">
        <v>545</v>
      </c>
      <c r="D97" s="2559">
        <v>1135110026</v>
      </c>
      <c r="E97" s="2559" t="s">
        <v>30</v>
      </c>
      <c r="F97" s="2558">
        <v>1135110026</v>
      </c>
      <c r="G97" s="2558">
        <v>0</v>
      </c>
      <c r="H97" s="2571">
        <v>11277311654</v>
      </c>
      <c r="I97" s="2571">
        <v>-8446394771</v>
      </c>
      <c r="J97" s="2571"/>
      <c r="K97" s="2559">
        <f t="shared" si="9"/>
        <v>3966026909</v>
      </c>
      <c r="L97" s="2559" t="s">
        <v>30</v>
      </c>
      <c r="M97" s="2556">
        <f t="shared" si="10"/>
        <v>3966026909</v>
      </c>
    </row>
    <row r="98" spans="1:14" ht="17.45" customHeight="1" x14ac:dyDescent="0.2">
      <c r="B98" s="2583" t="s">
        <v>629</v>
      </c>
      <c r="C98" s="2584" t="s">
        <v>605</v>
      </c>
      <c r="D98" s="2559">
        <v>9069087100</v>
      </c>
      <c r="E98" s="2559" t="s">
        <v>30</v>
      </c>
      <c r="F98" s="2558">
        <v>9069087100</v>
      </c>
      <c r="H98" s="2571">
        <v>4190645131</v>
      </c>
      <c r="I98" s="2556">
        <v>-10738484762</v>
      </c>
      <c r="J98" s="2556"/>
      <c r="K98" s="2559">
        <f t="shared" si="9"/>
        <v>2521247469</v>
      </c>
      <c r="L98" s="2559" t="s">
        <v>30</v>
      </c>
      <c r="M98" s="2556">
        <f t="shared" si="10"/>
        <v>2521247469</v>
      </c>
    </row>
    <row r="99" spans="1:14" ht="17.45" customHeight="1" x14ac:dyDescent="0.2">
      <c r="B99" s="2583" t="s">
        <v>634</v>
      </c>
      <c r="C99" s="2584" t="s">
        <v>598</v>
      </c>
      <c r="D99" s="2559">
        <v>4437896716</v>
      </c>
      <c r="E99" s="2559" t="s">
        <v>30</v>
      </c>
      <c r="F99" s="2558">
        <v>4437896716</v>
      </c>
      <c r="H99" s="2556">
        <v>8339959501</v>
      </c>
      <c r="I99" s="2571">
        <v>-10781331837</v>
      </c>
      <c r="J99" s="2571"/>
      <c r="K99" s="2559">
        <f t="shared" si="9"/>
        <v>1996524380</v>
      </c>
      <c r="L99" s="2559" t="s">
        <v>30</v>
      </c>
      <c r="M99" s="2556">
        <f t="shared" si="10"/>
        <v>1996524380</v>
      </c>
    </row>
    <row r="100" spans="1:14" ht="17.45" customHeight="1" x14ac:dyDescent="0.2">
      <c r="B100" s="2583" t="s">
        <v>641</v>
      </c>
      <c r="C100" s="2584" t="s">
        <v>640</v>
      </c>
      <c r="D100" s="2559">
        <v>2266574950</v>
      </c>
      <c r="E100" s="2559" t="s">
        <v>30</v>
      </c>
      <c r="F100" s="2558">
        <v>2266574950</v>
      </c>
      <c r="H100" s="2556">
        <v>7888708784</v>
      </c>
      <c r="I100" s="2571">
        <v>-9443736916</v>
      </c>
      <c r="J100" s="2571"/>
      <c r="K100" s="2559">
        <f t="shared" si="9"/>
        <v>711546818</v>
      </c>
      <c r="L100" s="2559" t="s">
        <v>30</v>
      </c>
      <c r="M100" s="2556">
        <f t="shared" si="10"/>
        <v>711546818</v>
      </c>
    </row>
    <row r="101" spans="1:14" ht="17.45" customHeight="1" x14ac:dyDescent="0.2">
      <c r="B101" s="2582" t="s">
        <v>642</v>
      </c>
      <c r="C101" s="2585" t="s">
        <v>631</v>
      </c>
      <c r="D101" s="2559">
        <v>1745538358</v>
      </c>
      <c r="E101" s="2559" t="s">
        <v>30</v>
      </c>
      <c r="F101" s="2558">
        <v>1745538358</v>
      </c>
      <c r="H101" s="2571">
        <v>9839525302</v>
      </c>
      <c r="I101" s="2556">
        <v>-10728948101</v>
      </c>
      <c r="J101" s="2556"/>
      <c r="K101" s="2559">
        <f t="shared" si="9"/>
        <v>856115559</v>
      </c>
      <c r="L101" s="2559" t="s">
        <v>30</v>
      </c>
      <c r="M101" s="2556">
        <f t="shared" si="10"/>
        <v>856115559</v>
      </c>
    </row>
    <row r="102" spans="1:14" ht="17.45" customHeight="1" x14ac:dyDescent="0.2">
      <c r="B102" s="2583" t="s">
        <v>623</v>
      </c>
      <c r="C102" s="2584" t="s">
        <v>599</v>
      </c>
      <c r="D102" s="2559">
        <v>386137476</v>
      </c>
      <c r="E102" s="2559" t="s">
        <v>30</v>
      </c>
      <c r="F102" s="2558">
        <v>386137476</v>
      </c>
      <c r="H102" s="2571">
        <v>968847930</v>
      </c>
      <c r="I102" s="2556">
        <v>-542218403</v>
      </c>
      <c r="J102" s="2556"/>
      <c r="K102" s="2559">
        <f t="shared" si="9"/>
        <v>812767003</v>
      </c>
      <c r="L102" s="2559" t="s">
        <v>30</v>
      </c>
      <c r="M102" s="2556">
        <f t="shared" si="10"/>
        <v>812767003</v>
      </c>
    </row>
    <row r="103" spans="1:14" ht="17.45" customHeight="1" x14ac:dyDescent="0.2">
      <c r="B103" s="2583" t="s">
        <v>643</v>
      </c>
      <c r="C103" s="2584" t="s">
        <v>632</v>
      </c>
      <c r="D103" s="2559">
        <v>2431599685</v>
      </c>
      <c r="E103" s="2559" t="s">
        <v>30</v>
      </c>
      <c r="F103" s="2558">
        <v>2431599685</v>
      </c>
      <c r="H103" s="2556">
        <v>14798258241</v>
      </c>
      <c r="I103" s="2571">
        <v>-14384815602</v>
      </c>
      <c r="J103" s="2571"/>
      <c r="K103" s="2559">
        <f t="shared" si="9"/>
        <v>2845042324</v>
      </c>
      <c r="L103" s="2559" t="s">
        <v>30</v>
      </c>
      <c r="M103" s="2556">
        <f t="shared" si="10"/>
        <v>2845042324</v>
      </c>
    </row>
    <row r="104" spans="1:14" ht="17.45" customHeight="1" x14ac:dyDescent="0.2">
      <c r="B104" s="2582" t="s">
        <v>624</v>
      </c>
      <c r="C104" s="2585" t="s">
        <v>600</v>
      </c>
      <c r="D104" s="2559">
        <v>4022805147</v>
      </c>
      <c r="E104" s="2559" t="s">
        <v>30</v>
      </c>
      <c r="F104" s="2558">
        <v>4022805147</v>
      </c>
      <c r="H104" s="2571">
        <v>14130324170</v>
      </c>
      <c r="I104" s="2556">
        <v>-11967354973</v>
      </c>
      <c r="J104" s="2556"/>
      <c r="K104" s="2559">
        <f t="shared" si="9"/>
        <v>6185774344</v>
      </c>
      <c r="L104" s="2559" t="s">
        <v>30</v>
      </c>
      <c r="M104" s="2556">
        <f t="shared" si="10"/>
        <v>6185774344</v>
      </c>
    </row>
    <row r="105" spans="1:14" ht="17.45" customHeight="1" x14ac:dyDescent="0.2">
      <c r="B105" s="2583" t="s">
        <v>625</v>
      </c>
      <c r="C105" s="2584" t="s">
        <v>601</v>
      </c>
      <c r="D105" s="2559">
        <v>5675610411</v>
      </c>
      <c r="E105" s="2559" t="s">
        <v>30</v>
      </c>
      <c r="F105" s="2558">
        <v>5675610411</v>
      </c>
      <c r="H105" s="2556">
        <v>11468820569</v>
      </c>
      <c r="I105" s="2571">
        <v>-13593472606</v>
      </c>
      <c r="J105" s="2571"/>
      <c r="K105" s="2559">
        <f t="shared" si="9"/>
        <v>3550958374</v>
      </c>
      <c r="L105" s="2559" t="s">
        <v>30</v>
      </c>
      <c r="M105" s="2556">
        <f t="shared" si="10"/>
        <v>3550958374</v>
      </c>
    </row>
    <row r="106" spans="1:14" ht="17.45" customHeight="1" x14ac:dyDescent="0.2">
      <c r="B106" s="2583" t="s">
        <v>677</v>
      </c>
      <c r="C106" s="2586" t="s">
        <v>676</v>
      </c>
      <c r="D106" s="2559">
        <v>5267456903</v>
      </c>
      <c r="E106" s="2559" t="s">
        <v>30</v>
      </c>
      <c r="F106" s="2558">
        <v>5267456903</v>
      </c>
      <c r="H106" s="2556">
        <v>8506081886</v>
      </c>
      <c r="I106" s="2571">
        <v>-7423507774</v>
      </c>
      <c r="J106" s="2571"/>
      <c r="K106" s="2559">
        <f t="shared" si="9"/>
        <v>6350031015</v>
      </c>
      <c r="L106" s="2559" t="s">
        <v>30</v>
      </c>
      <c r="M106" s="2556">
        <f t="shared" si="10"/>
        <v>6350031015</v>
      </c>
    </row>
    <row r="107" spans="1:14" ht="17.45" customHeight="1" x14ac:dyDescent="0.2">
      <c r="B107" s="2582" t="s">
        <v>626</v>
      </c>
      <c r="C107" s="2585" t="s">
        <v>602</v>
      </c>
      <c r="D107" s="2559">
        <v>390458118</v>
      </c>
      <c r="E107" s="2559" t="s">
        <v>30</v>
      </c>
      <c r="F107" s="2558">
        <v>390458118</v>
      </c>
      <c r="H107" s="2571">
        <v>2071525477</v>
      </c>
      <c r="I107" s="2556">
        <v>-2373712671</v>
      </c>
      <c r="J107" s="2556"/>
      <c r="K107" s="2559">
        <f t="shared" si="9"/>
        <v>88270924</v>
      </c>
      <c r="L107" s="2559" t="s">
        <v>30</v>
      </c>
      <c r="M107" s="2556">
        <f t="shared" si="10"/>
        <v>88270924</v>
      </c>
    </row>
    <row r="108" spans="1:14" ht="17.45" customHeight="1" x14ac:dyDescent="0.2">
      <c r="B108" s="2582" t="s">
        <v>627</v>
      </c>
      <c r="C108" s="2585" t="s">
        <v>603</v>
      </c>
      <c r="D108" s="2559">
        <v>4768590664</v>
      </c>
      <c r="E108" s="2559" t="s">
        <v>30</v>
      </c>
      <c r="F108" s="2558">
        <v>4768590664</v>
      </c>
      <c r="H108" s="2556">
        <v>7077635728</v>
      </c>
      <c r="I108" s="2571">
        <v>-3568603222</v>
      </c>
      <c r="J108" s="2571"/>
      <c r="K108" s="2559">
        <f t="shared" si="9"/>
        <v>8277623170</v>
      </c>
      <c r="L108" s="2559" t="s">
        <v>30</v>
      </c>
      <c r="M108" s="2556">
        <f t="shared" si="10"/>
        <v>8277623170</v>
      </c>
    </row>
    <row r="109" spans="1:14" ht="17.45" customHeight="1" x14ac:dyDescent="0.2">
      <c r="B109" s="2582" t="s">
        <v>610</v>
      </c>
      <c r="C109" s="2585" t="s">
        <v>596</v>
      </c>
      <c r="D109" s="2559">
        <v>885450465</v>
      </c>
      <c r="E109" s="2559" t="s">
        <v>30</v>
      </c>
      <c r="F109" s="2558">
        <v>885450465</v>
      </c>
      <c r="H109" s="2556">
        <v>3594348336</v>
      </c>
      <c r="I109" s="2556">
        <v>-2244741549</v>
      </c>
      <c r="J109" s="2556"/>
      <c r="K109" s="2559">
        <f t="shared" si="9"/>
        <v>2235057252</v>
      </c>
      <c r="L109" s="2559" t="s">
        <v>30</v>
      </c>
      <c r="M109" s="2556">
        <f t="shared" si="10"/>
        <v>2235057252</v>
      </c>
    </row>
    <row r="110" spans="1:14" ht="17.45" customHeight="1" x14ac:dyDescent="0.2">
      <c r="B110" s="2582" t="s">
        <v>611</v>
      </c>
      <c r="C110" s="2585" t="s">
        <v>597</v>
      </c>
      <c r="D110" s="2559">
        <v>6858466</v>
      </c>
      <c r="E110" s="2559" t="s">
        <v>30</v>
      </c>
      <c r="F110" s="2558">
        <v>6858466</v>
      </c>
      <c r="H110" s="2571"/>
      <c r="I110" s="2556"/>
      <c r="J110" s="2556"/>
      <c r="K110" s="2559">
        <f t="shared" si="9"/>
        <v>6858466</v>
      </c>
      <c r="L110" s="2559" t="s">
        <v>30</v>
      </c>
      <c r="M110" s="2556">
        <f t="shared" si="10"/>
        <v>6858466</v>
      </c>
    </row>
    <row r="111" spans="1:14" ht="17.45" customHeight="1" x14ac:dyDescent="0.2">
      <c r="B111" s="2582" t="s">
        <v>622</v>
      </c>
      <c r="C111" s="2585" t="s">
        <v>620</v>
      </c>
      <c r="D111" s="2559">
        <v>12183642857</v>
      </c>
      <c r="E111" s="2559" t="s">
        <v>30</v>
      </c>
      <c r="F111" s="2558">
        <v>12183642857</v>
      </c>
      <c r="H111" s="2571">
        <v>31735905047</v>
      </c>
      <c r="I111" s="2556">
        <v>-37038419985</v>
      </c>
      <c r="J111" s="2556"/>
      <c r="K111" s="2559">
        <f t="shared" si="9"/>
        <v>6881127919</v>
      </c>
      <c r="L111" s="2559" t="s">
        <v>30</v>
      </c>
      <c r="M111" s="2556">
        <f t="shared" si="10"/>
        <v>6881127919</v>
      </c>
    </row>
    <row r="112" spans="1:14" ht="17.45" customHeight="1" x14ac:dyDescent="0.2">
      <c r="A112" s="2539"/>
      <c r="B112" s="2582" t="s">
        <v>645</v>
      </c>
      <c r="C112" s="2585" t="s">
        <v>644</v>
      </c>
      <c r="D112" s="2559">
        <v>0</v>
      </c>
      <c r="E112" s="2559" t="s">
        <v>30</v>
      </c>
      <c r="F112" s="2558">
        <v>0</v>
      </c>
      <c r="G112" s="2558">
        <v>0</v>
      </c>
      <c r="H112" s="2571"/>
      <c r="I112" s="2571"/>
      <c r="J112" s="2571"/>
      <c r="K112" s="2559">
        <f t="shared" si="9"/>
        <v>0</v>
      </c>
      <c r="L112" s="2559" t="s">
        <v>30</v>
      </c>
      <c r="M112" s="2556">
        <f t="shared" si="10"/>
        <v>0</v>
      </c>
      <c r="N112" s="2539"/>
    </row>
    <row r="113" spans="1:15" ht="17.45" customHeight="1" x14ac:dyDescent="0.2">
      <c r="A113" s="2539"/>
      <c r="B113" s="2582" t="s">
        <v>628</v>
      </c>
      <c r="C113" s="2585" t="s">
        <v>604</v>
      </c>
      <c r="D113" s="2559">
        <v>0</v>
      </c>
      <c r="E113" s="2559" t="s">
        <v>30</v>
      </c>
      <c r="F113" s="2558">
        <v>0</v>
      </c>
      <c r="G113" s="2558">
        <v>0</v>
      </c>
      <c r="H113" s="2571"/>
      <c r="I113" s="2571"/>
      <c r="J113" s="2571"/>
      <c r="K113" s="2559">
        <f t="shared" si="9"/>
        <v>0</v>
      </c>
      <c r="L113" s="2559" t="s">
        <v>30</v>
      </c>
      <c r="M113" s="2556">
        <f t="shared" si="10"/>
        <v>0</v>
      </c>
      <c r="N113" s="2539"/>
    </row>
    <row r="114" spans="1:15" ht="17.45" customHeight="1" x14ac:dyDescent="0.2">
      <c r="A114" s="2539"/>
      <c r="B114" s="2582" t="s">
        <v>612</v>
      </c>
      <c r="C114" s="2585" t="s">
        <v>606</v>
      </c>
      <c r="D114" s="2559">
        <v>0</v>
      </c>
      <c r="E114" s="2559" t="s">
        <v>30</v>
      </c>
      <c r="F114" s="2558">
        <v>0</v>
      </c>
      <c r="G114" s="2558">
        <v>0</v>
      </c>
      <c r="H114" s="2571"/>
      <c r="I114" s="2571"/>
      <c r="J114" s="2571"/>
      <c r="K114" s="2559">
        <f t="shared" si="9"/>
        <v>0</v>
      </c>
      <c r="L114" s="2559" t="s">
        <v>30</v>
      </c>
      <c r="M114" s="2556">
        <f t="shared" si="10"/>
        <v>0</v>
      </c>
      <c r="N114" s="2539"/>
    </row>
    <row r="115" spans="1:15" ht="17.45" customHeight="1" x14ac:dyDescent="0.2">
      <c r="A115" s="2539"/>
      <c r="B115" s="2583" t="s">
        <v>609</v>
      </c>
      <c r="C115" s="2584" t="s">
        <v>607</v>
      </c>
      <c r="D115" s="2559">
        <v>17372661803</v>
      </c>
      <c r="E115" s="2559" t="s">
        <v>30</v>
      </c>
      <c r="F115" s="2558">
        <v>17372661803</v>
      </c>
      <c r="H115" s="2571">
        <v>17503572094</v>
      </c>
      <c r="I115" s="2556">
        <v>-19229475514</v>
      </c>
      <c r="J115" s="2556"/>
      <c r="K115" s="2559">
        <f t="shared" si="9"/>
        <v>15646758383</v>
      </c>
      <c r="L115" s="2559" t="s">
        <v>30</v>
      </c>
      <c r="M115" s="2556">
        <f>SUM(K115:L115)</f>
        <v>15646758383</v>
      </c>
      <c r="N115" s="2539"/>
    </row>
    <row r="116" spans="1:15" ht="17.45" customHeight="1" x14ac:dyDescent="0.2">
      <c r="A116" s="2539"/>
      <c r="B116" s="2583" t="s">
        <v>958</v>
      </c>
      <c r="C116" s="2587" t="s">
        <v>749</v>
      </c>
      <c r="D116" s="2559">
        <v>0</v>
      </c>
      <c r="E116" s="2559" t="s">
        <v>30</v>
      </c>
      <c r="F116" s="2558">
        <v>0</v>
      </c>
      <c r="H116" s="2571"/>
      <c r="I116" s="2556"/>
      <c r="J116" s="2556"/>
      <c r="K116" s="2559">
        <f t="shared" si="9"/>
        <v>0</v>
      </c>
      <c r="L116" s="2559" t="s">
        <v>30</v>
      </c>
      <c r="M116" s="2556">
        <f t="shared" si="10"/>
        <v>0</v>
      </c>
      <c r="N116" s="2539"/>
    </row>
    <row r="117" spans="1:15" ht="17.45" customHeight="1" x14ac:dyDescent="0.2">
      <c r="A117" s="2539"/>
      <c r="B117" s="2588" t="s">
        <v>292</v>
      </c>
      <c r="C117" s="2589" t="s">
        <v>1079</v>
      </c>
      <c r="D117" s="2559">
        <v>284140624</v>
      </c>
      <c r="E117" s="2559" t="s">
        <v>30</v>
      </c>
      <c r="F117" s="2558">
        <v>284140624</v>
      </c>
      <c r="G117" s="2558">
        <v>0</v>
      </c>
      <c r="H117" s="2571"/>
      <c r="I117" s="2571"/>
      <c r="J117" s="2571"/>
      <c r="K117" s="2559">
        <f t="shared" si="9"/>
        <v>284140624</v>
      </c>
      <c r="L117" s="2559" t="s">
        <v>30</v>
      </c>
      <c r="M117" s="2556">
        <f t="shared" si="10"/>
        <v>284140624</v>
      </c>
      <c r="N117" s="2539"/>
    </row>
    <row r="118" spans="1:15" ht="17.45" customHeight="1" x14ac:dyDescent="0.2">
      <c r="A118" s="2539"/>
      <c r="B118" s="2583" t="s">
        <v>1089</v>
      </c>
      <c r="C118" s="2590" t="s">
        <v>1090</v>
      </c>
      <c r="D118" s="2559">
        <v>33008023</v>
      </c>
      <c r="E118" s="2559" t="s">
        <v>30</v>
      </c>
      <c r="F118" s="2558">
        <v>33008023</v>
      </c>
      <c r="G118" s="2558">
        <v>0</v>
      </c>
      <c r="H118" s="2571">
        <v>1380026415</v>
      </c>
      <c r="I118" s="2571">
        <v>-1380026415</v>
      </c>
      <c r="J118" s="2571"/>
      <c r="K118" s="2559">
        <f t="shared" si="9"/>
        <v>33008023</v>
      </c>
      <c r="L118" s="2559" t="s">
        <v>30</v>
      </c>
      <c r="M118" s="2556">
        <f t="shared" si="10"/>
        <v>33008023</v>
      </c>
      <c r="N118" s="2539"/>
    </row>
    <row r="119" spans="1:15" ht="17.45" customHeight="1" x14ac:dyDescent="0.2">
      <c r="A119" s="2539"/>
      <c r="B119" s="2588" t="s">
        <v>1080</v>
      </c>
      <c r="C119" s="2591" t="s">
        <v>1081</v>
      </c>
      <c r="D119" s="2559">
        <v>11066846799</v>
      </c>
      <c r="E119" s="2559" t="s">
        <v>30</v>
      </c>
      <c r="F119" s="2558">
        <v>11066846799</v>
      </c>
      <c r="H119" s="2556">
        <v>2750134720</v>
      </c>
      <c r="I119" s="2571">
        <v>-8100640349</v>
      </c>
      <c r="J119" s="2571"/>
      <c r="K119" s="2559">
        <f t="shared" si="9"/>
        <v>5716341170</v>
      </c>
      <c r="L119" s="2559" t="s">
        <v>30</v>
      </c>
      <c r="M119" s="2556">
        <f t="shared" si="10"/>
        <v>5716341170</v>
      </c>
      <c r="N119" s="2539"/>
    </row>
    <row r="120" spans="1:15" ht="17.45" customHeight="1" x14ac:dyDescent="0.2">
      <c r="A120" s="2539"/>
      <c r="B120" s="2588" t="s">
        <v>1078</v>
      </c>
      <c r="C120" s="2589" t="s">
        <v>1077</v>
      </c>
      <c r="D120" s="2559">
        <v>275385379</v>
      </c>
      <c r="E120" s="2559" t="s">
        <v>30</v>
      </c>
      <c r="F120" s="2558">
        <v>275385379</v>
      </c>
      <c r="H120" s="2571">
        <v>3507979055</v>
      </c>
      <c r="I120" s="2556">
        <v>-3501000000</v>
      </c>
      <c r="J120" s="2556"/>
      <c r="K120" s="2559">
        <f t="shared" si="9"/>
        <v>282364434</v>
      </c>
      <c r="L120" s="2559" t="s">
        <v>30</v>
      </c>
      <c r="M120" s="2556">
        <f t="shared" si="10"/>
        <v>282364434</v>
      </c>
      <c r="N120" s="2539"/>
    </row>
    <row r="121" spans="1:15" ht="17.45" customHeight="1" x14ac:dyDescent="0.2">
      <c r="A121" s="2539"/>
      <c r="B121" s="2583" t="s">
        <v>1083</v>
      </c>
      <c r="C121" s="2590" t="s">
        <v>1082</v>
      </c>
      <c r="D121" s="2559">
        <v>2593361535</v>
      </c>
      <c r="E121" s="2559"/>
      <c r="F121" s="2558">
        <v>2593361535</v>
      </c>
      <c r="H121" s="2558">
        <v>14045204910</v>
      </c>
      <c r="I121" s="2571">
        <v>-16380213728</v>
      </c>
      <c r="J121" s="2571"/>
      <c r="K121" s="2559">
        <f t="shared" si="9"/>
        <v>258352717</v>
      </c>
      <c r="L121" s="2559"/>
      <c r="M121" s="2556">
        <f t="shared" si="10"/>
        <v>258352717</v>
      </c>
      <c r="N121" s="2539"/>
    </row>
    <row r="122" spans="1:15" ht="17.45" customHeight="1" x14ac:dyDescent="0.4">
      <c r="A122" s="2539"/>
      <c r="B122" s="1153" t="s">
        <v>1330</v>
      </c>
      <c r="C122" s="2592" t="s">
        <v>1329</v>
      </c>
      <c r="D122" s="2559">
        <v>1507510026</v>
      </c>
      <c r="E122" s="2559"/>
      <c r="F122" s="2558">
        <v>1507510026</v>
      </c>
      <c r="H122" s="2558">
        <v>15408224447</v>
      </c>
      <c r="I122" s="2593"/>
      <c r="J122" s="2593"/>
      <c r="K122" s="2559">
        <f t="shared" si="9"/>
        <v>16915734473</v>
      </c>
      <c r="L122" s="2559"/>
      <c r="M122" s="2556">
        <f t="shared" si="10"/>
        <v>16915734473</v>
      </c>
      <c r="N122" s="2539"/>
    </row>
    <row r="123" spans="1:15" ht="17.45" customHeight="1" x14ac:dyDescent="0.2">
      <c r="A123" s="2539"/>
      <c r="B123" s="2594" t="s">
        <v>1402</v>
      </c>
      <c r="C123" s="2595" t="s">
        <v>1403</v>
      </c>
      <c r="D123" s="2559">
        <v>218166668</v>
      </c>
      <c r="E123" s="2559"/>
      <c r="F123" s="2558">
        <v>218166668</v>
      </c>
      <c r="H123" s="2558">
        <v>337166668</v>
      </c>
      <c r="I123" s="2593">
        <v>-555333336</v>
      </c>
      <c r="J123" s="2593"/>
      <c r="K123" s="2559">
        <f t="shared" si="9"/>
        <v>0</v>
      </c>
      <c r="L123" s="2559"/>
      <c r="M123" s="2556">
        <f t="shared" si="10"/>
        <v>0</v>
      </c>
      <c r="N123" s="2539"/>
    </row>
    <row r="124" spans="1:15" s="2539" customFormat="1" ht="17.45" customHeight="1" x14ac:dyDescent="0.2">
      <c r="B124" s="3904" t="s">
        <v>893</v>
      </c>
      <c r="C124" s="3905"/>
      <c r="D124" s="2573">
        <f>SUM(D92:D123)</f>
        <v>517196746987</v>
      </c>
      <c r="E124" s="2573">
        <f t="shared" ref="E124:M124" si="11">SUM(E92:E123)</f>
        <v>4856507283</v>
      </c>
      <c r="F124" s="2573">
        <f t="shared" si="11"/>
        <v>522053254270</v>
      </c>
      <c r="G124" s="2573">
        <f t="shared" si="11"/>
        <v>0</v>
      </c>
      <c r="H124" s="2573">
        <f>SUM(H92:H123)</f>
        <v>1043317632522</v>
      </c>
      <c r="I124" s="2573">
        <f>SUM(I92:I123)</f>
        <v>-993907315740</v>
      </c>
      <c r="J124" s="2573">
        <f>SUM(J92:J123)</f>
        <v>-219789737</v>
      </c>
      <c r="K124" s="2573">
        <f t="shared" si="11"/>
        <v>566607063769</v>
      </c>
      <c r="L124" s="2573">
        <f t="shared" si="11"/>
        <v>4636717546</v>
      </c>
      <c r="M124" s="2573">
        <f t="shared" si="11"/>
        <v>571178139499</v>
      </c>
    </row>
    <row r="125" spans="1:15" s="2539" customFormat="1" ht="15.6" customHeight="1" x14ac:dyDescent="0.2">
      <c r="B125" s="3922">
        <v>82</v>
      </c>
      <c r="C125" s="3922"/>
      <c r="D125" s="3922"/>
      <c r="E125" s="3922"/>
      <c r="F125" s="3922"/>
      <c r="G125" s="3922"/>
      <c r="H125" s="3922"/>
      <c r="I125" s="3922"/>
      <c r="J125" s="3922"/>
      <c r="K125" s="3922"/>
      <c r="L125" s="3922"/>
      <c r="M125" s="3922"/>
    </row>
    <row r="126" spans="1:15" ht="15.6" customHeight="1" x14ac:dyDescent="0.2">
      <c r="A126" s="2539"/>
      <c r="B126" s="3426" t="s">
        <v>32</v>
      </c>
      <c r="C126" s="3426"/>
      <c r="D126" s="3426"/>
      <c r="E126" s="3426"/>
      <c r="F126" s="3426"/>
      <c r="G126" s="3426"/>
      <c r="H126" s="3426"/>
      <c r="I126" s="3426"/>
      <c r="J126" s="3426"/>
      <c r="K126" s="3426"/>
      <c r="L126" s="3426"/>
      <c r="M126" s="3426"/>
      <c r="N126" s="3426"/>
      <c r="O126" s="3426"/>
    </row>
    <row r="127" spans="1:15" ht="15.6" customHeight="1" x14ac:dyDescent="0.2">
      <c r="A127" s="2539"/>
      <c r="B127" s="3426" t="s">
        <v>45</v>
      </c>
      <c r="C127" s="3426"/>
      <c r="D127" s="3426"/>
      <c r="E127" s="3426"/>
      <c r="F127" s="3426"/>
      <c r="G127" s="3426"/>
      <c r="H127" s="3426"/>
      <c r="I127" s="3426"/>
      <c r="J127" s="3426"/>
      <c r="K127" s="3426"/>
      <c r="L127" s="3426"/>
      <c r="M127" s="3426"/>
      <c r="N127" s="3426"/>
      <c r="O127" s="3426"/>
    </row>
    <row r="128" spans="1:15" ht="15.6" customHeight="1" x14ac:dyDescent="0.2">
      <c r="A128" s="2539"/>
      <c r="B128" s="3426" t="s">
        <v>46</v>
      </c>
      <c r="C128" s="3426"/>
      <c r="D128" s="3426"/>
      <c r="E128" s="3426"/>
      <c r="F128" s="3426"/>
      <c r="G128" s="3426"/>
      <c r="H128" s="3426"/>
      <c r="I128" s="3426"/>
      <c r="J128" s="3426"/>
      <c r="K128" s="3426"/>
      <c r="L128" s="3426"/>
      <c r="M128" s="3426"/>
      <c r="N128" s="3426"/>
      <c r="O128" s="3426"/>
    </row>
    <row r="129" spans="1:15" ht="15.6" customHeight="1" x14ac:dyDescent="0.2">
      <c r="A129" s="3427" t="s">
        <v>2004</v>
      </c>
      <c r="B129" s="3427"/>
      <c r="C129" s="3427"/>
      <c r="D129" s="3427"/>
      <c r="E129" s="3427"/>
      <c r="F129" s="3427"/>
      <c r="G129" s="3427"/>
      <c r="H129" s="3427"/>
      <c r="I129" s="3427"/>
      <c r="J129" s="3427"/>
      <c r="K129" s="3427"/>
      <c r="L129" s="3427"/>
      <c r="M129" s="3427"/>
      <c r="N129" s="3427"/>
      <c r="O129" s="2020"/>
    </row>
    <row r="130" spans="1:15" ht="15.6" customHeight="1" x14ac:dyDescent="0.2">
      <c r="A130" s="2539"/>
      <c r="B130" s="3916" t="s">
        <v>1014</v>
      </c>
      <c r="C130" s="3916"/>
      <c r="D130" s="2020"/>
      <c r="E130" s="2020"/>
      <c r="F130" s="2020"/>
      <c r="G130" s="2020"/>
      <c r="H130" s="2020"/>
      <c r="I130" s="2020"/>
      <c r="J130" s="2020"/>
      <c r="K130" s="2020"/>
      <c r="L130" s="3917" t="s">
        <v>194</v>
      </c>
      <c r="M130" s="3917"/>
      <c r="N130" s="2539"/>
      <c r="O130" s="2020"/>
    </row>
    <row r="131" spans="1:15" ht="15.6" customHeight="1" x14ac:dyDescent="0.2">
      <c r="A131" s="2539"/>
      <c r="B131" s="3910" t="s">
        <v>53</v>
      </c>
      <c r="C131" s="3912" t="s">
        <v>54</v>
      </c>
      <c r="D131" s="3900" t="s">
        <v>1391</v>
      </c>
      <c r="E131" s="3900"/>
      <c r="F131" s="3900"/>
      <c r="G131" s="2552"/>
      <c r="H131" s="3901" t="s">
        <v>1013</v>
      </c>
      <c r="I131" s="3918" t="s">
        <v>902</v>
      </c>
      <c r="J131" s="3919"/>
      <c r="K131" s="3900" t="s">
        <v>1986</v>
      </c>
      <c r="L131" s="3900"/>
      <c r="M131" s="3900"/>
      <c r="N131" s="2539"/>
      <c r="O131" s="2539"/>
    </row>
    <row r="132" spans="1:15" ht="15.6" customHeight="1" x14ac:dyDescent="0.2">
      <c r="A132" s="2539"/>
      <c r="B132" s="3910"/>
      <c r="C132" s="3912"/>
      <c r="D132" s="3900"/>
      <c r="E132" s="3900"/>
      <c r="F132" s="3900"/>
      <c r="G132" s="2552"/>
      <c r="H132" s="3901"/>
      <c r="I132" s="3920"/>
      <c r="J132" s="3921"/>
      <c r="K132" s="3900"/>
      <c r="L132" s="3900"/>
      <c r="M132" s="3900"/>
      <c r="N132" s="2539"/>
      <c r="O132" s="2539"/>
    </row>
    <row r="133" spans="1:15" ht="15.6" customHeight="1" x14ac:dyDescent="0.2">
      <c r="A133" s="2539"/>
      <c r="B133" s="3910"/>
      <c r="C133" s="3912"/>
      <c r="D133" s="3902" t="s">
        <v>415</v>
      </c>
      <c r="E133" s="3902" t="s">
        <v>416</v>
      </c>
      <c r="F133" s="3903" t="s">
        <v>417</v>
      </c>
      <c r="G133" s="2553"/>
      <c r="H133" s="3901"/>
      <c r="I133" s="3902" t="s">
        <v>415</v>
      </c>
      <c r="J133" s="3902" t="s">
        <v>416</v>
      </c>
      <c r="K133" s="3902" t="s">
        <v>415</v>
      </c>
      <c r="L133" s="3902" t="s">
        <v>416</v>
      </c>
      <c r="M133" s="3903" t="s">
        <v>417</v>
      </c>
      <c r="N133" s="2539"/>
      <c r="O133" s="2539"/>
    </row>
    <row r="134" spans="1:15" ht="15.6" customHeight="1" x14ac:dyDescent="0.2">
      <c r="A134" s="2539"/>
      <c r="B134" s="3911"/>
      <c r="C134" s="3913"/>
      <c r="D134" s="3902"/>
      <c r="E134" s="3902"/>
      <c r="F134" s="3903"/>
      <c r="G134" s="2553"/>
      <c r="H134" s="3901"/>
      <c r="I134" s="3902"/>
      <c r="J134" s="3902"/>
      <c r="K134" s="3902"/>
      <c r="L134" s="3902"/>
      <c r="M134" s="3903"/>
      <c r="N134" s="2539"/>
      <c r="O134" s="2539"/>
    </row>
    <row r="135" spans="1:15" ht="15.6" customHeight="1" x14ac:dyDescent="0.2">
      <c r="A135" s="2539"/>
      <c r="B135" s="3904" t="s">
        <v>181</v>
      </c>
      <c r="C135" s="3905"/>
      <c r="D135" s="2573">
        <f>D124</f>
        <v>517196746987</v>
      </c>
      <c r="E135" s="2573">
        <f t="shared" ref="E135:M135" si="12">E124</f>
        <v>4856507283</v>
      </c>
      <c r="F135" s="2573">
        <f t="shared" si="12"/>
        <v>522053254270</v>
      </c>
      <c r="G135" s="2573">
        <f t="shared" si="12"/>
        <v>0</v>
      </c>
      <c r="H135" s="2573">
        <f>H124</f>
        <v>1043317632522</v>
      </c>
      <c r="I135" s="2573">
        <f>I124</f>
        <v>-993907315740</v>
      </c>
      <c r="J135" s="2573">
        <f>J124</f>
        <v>-219789737</v>
      </c>
      <c r="K135" s="2573">
        <f>K124</f>
        <v>566607063769</v>
      </c>
      <c r="L135" s="2573">
        <f t="shared" si="12"/>
        <v>4636717546</v>
      </c>
      <c r="M135" s="2573">
        <f t="shared" si="12"/>
        <v>571178139499</v>
      </c>
      <c r="N135" s="2539"/>
      <c r="O135" s="2539"/>
    </row>
    <row r="136" spans="1:15" ht="15.6" customHeight="1" x14ac:dyDescent="0.2">
      <c r="A136" s="2539"/>
      <c r="B136" s="2596">
        <v>1502017008</v>
      </c>
      <c r="C136" s="2596" t="s">
        <v>2142</v>
      </c>
      <c r="D136" s="2559"/>
      <c r="E136" s="2559"/>
      <c r="F136" s="2558"/>
      <c r="H136" s="2558">
        <v>12288819521</v>
      </c>
      <c r="I136" s="2593">
        <v>-12288819521</v>
      </c>
      <c r="J136" s="2593"/>
      <c r="K136" s="2559">
        <f t="shared" ref="K136:K157" si="13">D136+H136+I136</f>
        <v>0</v>
      </c>
      <c r="L136" s="2559"/>
      <c r="M136" s="2556">
        <f t="shared" ref="M136:M157" si="14">SUM(K136:L136)</f>
        <v>0</v>
      </c>
      <c r="N136" s="2539"/>
    </row>
    <row r="137" spans="1:15" ht="15.6" customHeight="1" x14ac:dyDescent="0.2">
      <c r="A137" s="2539"/>
      <c r="B137" s="2596" t="s">
        <v>2049</v>
      </c>
      <c r="C137" s="2596" t="s">
        <v>2025</v>
      </c>
      <c r="D137" s="2559"/>
      <c r="E137" s="2559"/>
      <c r="F137" s="2558"/>
      <c r="H137" s="2558">
        <v>11470019318</v>
      </c>
      <c r="I137" s="2593">
        <v>-4574434639</v>
      </c>
      <c r="J137" s="2593"/>
      <c r="K137" s="2559">
        <f t="shared" si="13"/>
        <v>6895584679</v>
      </c>
      <c r="L137" s="2559"/>
      <c r="M137" s="2556">
        <f t="shared" si="14"/>
        <v>6895584679</v>
      </c>
      <c r="N137" s="2539"/>
    </row>
    <row r="138" spans="1:15" ht="15.6" customHeight="1" x14ac:dyDescent="0.2">
      <c r="A138" s="2539"/>
      <c r="B138" s="2596" t="s">
        <v>2057</v>
      </c>
      <c r="C138" s="2596" t="s">
        <v>2034</v>
      </c>
      <c r="D138" s="2559"/>
      <c r="E138" s="2559"/>
      <c r="F138" s="2558"/>
      <c r="H138" s="2558">
        <v>24535784992</v>
      </c>
      <c r="I138" s="2593">
        <v>-5563001737</v>
      </c>
      <c r="J138" s="2593"/>
      <c r="K138" s="2559">
        <f t="shared" si="13"/>
        <v>18972783255</v>
      </c>
      <c r="L138" s="2559"/>
      <c r="M138" s="2556">
        <f t="shared" si="14"/>
        <v>18972783255</v>
      </c>
      <c r="N138" s="2539"/>
    </row>
    <row r="139" spans="1:15" ht="15.6" customHeight="1" x14ac:dyDescent="0.2">
      <c r="A139" s="2539"/>
      <c r="B139" s="2596" t="s">
        <v>2067</v>
      </c>
      <c r="C139" s="2596" t="s">
        <v>2045</v>
      </c>
      <c r="D139" s="2559"/>
      <c r="E139" s="2559"/>
      <c r="F139" s="2558"/>
      <c r="H139" s="2558">
        <v>11964200728</v>
      </c>
      <c r="I139" s="2593">
        <v>-7452276419</v>
      </c>
      <c r="J139" s="2593"/>
      <c r="K139" s="2559">
        <f t="shared" si="13"/>
        <v>4511924309</v>
      </c>
      <c r="L139" s="2559"/>
      <c r="M139" s="2556">
        <f t="shared" si="14"/>
        <v>4511924309</v>
      </c>
      <c r="N139" s="2539"/>
    </row>
    <row r="140" spans="1:15" ht="15.6" customHeight="1" x14ac:dyDescent="0.2">
      <c r="A140" s="2539"/>
      <c r="B140" s="2596" t="s">
        <v>2056</v>
      </c>
      <c r="C140" s="2596" t="s">
        <v>2197</v>
      </c>
      <c r="D140" s="2559"/>
      <c r="E140" s="2559"/>
      <c r="F140" s="2558"/>
      <c r="H140" s="2558">
        <v>33716385371</v>
      </c>
      <c r="I140" s="2593">
        <v>-7746483795</v>
      </c>
      <c r="J140" s="2593"/>
      <c r="K140" s="2559">
        <f t="shared" si="13"/>
        <v>25969901576</v>
      </c>
      <c r="L140" s="2559"/>
      <c r="M140" s="2556">
        <f t="shared" si="14"/>
        <v>25969901576</v>
      </c>
      <c r="N140" s="2539"/>
    </row>
    <row r="141" spans="1:15" ht="15.6" customHeight="1" x14ac:dyDescent="0.2">
      <c r="A141" s="2539"/>
      <c r="B141" s="2596" t="s">
        <v>2068</v>
      </c>
      <c r="C141" s="2596" t="s">
        <v>2046</v>
      </c>
      <c r="D141" s="2559"/>
      <c r="E141" s="2559"/>
      <c r="F141" s="2558"/>
      <c r="H141" s="2558">
        <v>2127463746</v>
      </c>
      <c r="I141" s="2593">
        <v>-647324603</v>
      </c>
      <c r="J141" s="2593"/>
      <c r="K141" s="2559">
        <f t="shared" si="13"/>
        <v>1480139143</v>
      </c>
      <c r="L141" s="2559"/>
      <c r="M141" s="2556">
        <f t="shared" si="14"/>
        <v>1480139143</v>
      </c>
      <c r="N141" s="2539"/>
    </row>
    <row r="142" spans="1:15" ht="15.6" customHeight="1" x14ac:dyDescent="0.2">
      <c r="A142" s="2539"/>
      <c r="B142" s="2596" t="s">
        <v>2062</v>
      </c>
      <c r="C142" s="2596" t="s">
        <v>2144</v>
      </c>
      <c r="D142" s="2559"/>
      <c r="E142" s="2559"/>
      <c r="F142" s="2558"/>
      <c r="H142" s="2558">
        <v>6432764457</v>
      </c>
      <c r="I142" s="2593">
        <v>-2822431207</v>
      </c>
      <c r="J142" s="2593"/>
      <c r="K142" s="2559">
        <f t="shared" si="13"/>
        <v>3610333250</v>
      </c>
      <c r="L142" s="2559"/>
      <c r="M142" s="2556">
        <f t="shared" si="14"/>
        <v>3610333250</v>
      </c>
      <c r="N142" s="2539"/>
    </row>
    <row r="143" spans="1:15" ht="15.6" customHeight="1" x14ac:dyDescent="0.2">
      <c r="A143" s="2539"/>
      <c r="B143" s="2596" t="s">
        <v>2053</v>
      </c>
      <c r="C143" s="2596" t="s">
        <v>2031</v>
      </c>
      <c r="D143" s="2559"/>
      <c r="E143" s="2559"/>
      <c r="F143" s="2558"/>
      <c r="H143" s="2558">
        <v>2013163327</v>
      </c>
      <c r="I143" s="2593">
        <v>-1849750406</v>
      </c>
      <c r="J143" s="2593"/>
      <c r="K143" s="2559">
        <f t="shared" si="13"/>
        <v>163412921</v>
      </c>
      <c r="L143" s="2559"/>
      <c r="M143" s="2556">
        <f t="shared" si="14"/>
        <v>163412921</v>
      </c>
      <c r="N143" s="2539"/>
    </row>
    <row r="144" spans="1:15" ht="15.6" customHeight="1" x14ac:dyDescent="0.2">
      <c r="A144" s="2539"/>
      <c r="B144" s="2596" t="s">
        <v>2058</v>
      </c>
      <c r="C144" s="2596" t="s">
        <v>2035</v>
      </c>
      <c r="D144" s="2559"/>
      <c r="E144" s="2559"/>
      <c r="F144" s="2558"/>
      <c r="H144" s="2558">
        <v>7627165786</v>
      </c>
      <c r="I144" s="2593">
        <v>-4413318459</v>
      </c>
      <c r="J144" s="2593"/>
      <c r="K144" s="2559">
        <f t="shared" si="13"/>
        <v>3213847327</v>
      </c>
      <c r="L144" s="2559"/>
      <c r="M144" s="2556">
        <f t="shared" si="14"/>
        <v>3213847327</v>
      </c>
      <c r="N144" s="2539"/>
    </row>
    <row r="145" spans="1:14" ht="15.6" customHeight="1" x14ac:dyDescent="0.2">
      <c r="A145" s="2539"/>
      <c r="B145" s="2596" t="s">
        <v>2051</v>
      </c>
      <c r="C145" s="2596" t="s">
        <v>2029</v>
      </c>
      <c r="D145" s="2559"/>
      <c r="E145" s="2559"/>
      <c r="F145" s="2558"/>
      <c r="H145" s="2558">
        <v>8769709056</v>
      </c>
      <c r="I145" s="2593">
        <v>-8282022334</v>
      </c>
      <c r="J145" s="2593"/>
      <c r="K145" s="2559">
        <f t="shared" si="13"/>
        <v>487686722</v>
      </c>
      <c r="L145" s="2559"/>
      <c r="M145" s="2556">
        <f t="shared" si="14"/>
        <v>487686722</v>
      </c>
      <c r="N145" s="2539"/>
    </row>
    <row r="146" spans="1:14" ht="15.6" customHeight="1" x14ac:dyDescent="0.2">
      <c r="A146" s="2539"/>
      <c r="B146" s="2596" t="s">
        <v>2050</v>
      </c>
      <c r="C146" s="2596" t="s">
        <v>2028</v>
      </c>
      <c r="D146" s="2559"/>
      <c r="E146" s="2559"/>
      <c r="F146" s="2558"/>
      <c r="H146" s="2558">
        <v>16777503457</v>
      </c>
      <c r="I146" s="2593">
        <v>-6079160100</v>
      </c>
      <c r="J146" s="2593"/>
      <c r="K146" s="2559">
        <f t="shared" si="13"/>
        <v>10698343357</v>
      </c>
      <c r="L146" s="2559"/>
      <c r="M146" s="2556">
        <f t="shared" si="14"/>
        <v>10698343357</v>
      </c>
      <c r="N146" s="2539"/>
    </row>
    <row r="147" spans="1:14" ht="15.6" customHeight="1" x14ac:dyDescent="0.2">
      <c r="A147" s="2539"/>
      <c r="B147" s="2596" t="s">
        <v>2071</v>
      </c>
      <c r="C147" s="2596" t="s">
        <v>2048</v>
      </c>
      <c r="D147" s="2559"/>
      <c r="E147" s="2559"/>
      <c r="F147" s="2558"/>
      <c r="H147" s="2558">
        <v>1374203705</v>
      </c>
      <c r="I147" s="2593">
        <v>-1059851853</v>
      </c>
      <c r="J147" s="2593"/>
      <c r="K147" s="2559">
        <f t="shared" si="13"/>
        <v>314351852</v>
      </c>
      <c r="L147" s="2559"/>
      <c r="M147" s="2556">
        <f t="shared" si="14"/>
        <v>314351852</v>
      </c>
      <c r="N147" s="2539"/>
    </row>
    <row r="148" spans="1:14" ht="15.6" customHeight="1" x14ac:dyDescent="0.2">
      <c r="A148" s="2539"/>
      <c r="B148" s="2596" t="s">
        <v>2055</v>
      </c>
      <c r="C148" s="2596" t="s">
        <v>2033</v>
      </c>
      <c r="D148" s="2559"/>
      <c r="E148" s="2559"/>
      <c r="F148" s="2558"/>
      <c r="H148" s="2558">
        <v>5363986062</v>
      </c>
      <c r="I148" s="2593">
        <v>-2743518432</v>
      </c>
      <c r="J148" s="2593"/>
      <c r="K148" s="2559">
        <f t="shared" si="13"/>
        <v>2620467630</v>
      </c>
      <c r="L148" s="2559"/>
      <c r="M148" s="2556">
        <f t="shared" si="14"/>
        <v>2620467630</v>
      </c>
      <c r="N148" s="2539"/>
    </row>
    <row r="149" spans="1:14" ht="15.6" customHeight="1" x14ac:dyDescent="0.2">
      <c r="A149" s="2539"/>
      <c r="B149" s="2596" t="s">
        <v>2061</v>
      </c>
      <c r="C149" s="2596" t="s">
        <v>2038</v>
      </c>
      <c r="D149" s="2559"/>
      <c r="E149" s="2559"/>
      <c r="F149" s="2558"/>
      <c r="H149" s="2558">
        <v>4636765457</v>
      </c>
      <c r="I149" s="2593">
        <v>-1029073316</v>
      </c>
      <c r="J149" s="2593"/>
      <c r="K149" s="2559">
        <f t="shared" si="13"/>
        <v>3607692141</v>
      </c>
      <c r="L149" s="2559"/>
      <c r="M149" s="2556">
        <f t="shared" si="14"/>
        <v>3607692141</v>
      </c>
      <c r="N149" s="2539"/>
    </row>
    <row r="150" spans="1:14" ht="15.6" customHeight="1" x14ac:dyDescent="0.2">
      <c r="A150" s="2539"/>
      <c r="B150" s="2596" t="s">
        <v>2052</v>
      </c>
      <c r="C150" s="2596" t="s">
        <v>2030</v>
      </c>
      <c r="D150" s="2559"/>
      <c r="E150" s="2559"/>
      <c r="F150" s="2558"/>
      <c r="H150" s="2558">
        <v>5688803205</v>
      </c>
      <c r="I150" s="2593">
        <v>-2148232142</v>
      </c>
      <c r="J150" s="2593"/>
      <c r="K150" s="2559">
        <f t="shared" si="13"/>
        <v>3540571063</v>
      </c>
      <c r="L150" s="2559"/>
      <c r="M150" s="2556">
        <f t="shared" si="14"/>
        <v>3540571063</v>
      </c>
      <c r="N150" s="2539"/>
    </row>
    <row r="151" spans="1:14" ht="15.6" customHeight="1" x14ac:dyDescent="0.2">
      <c r="A151" s="2539"/>
      <c r="B151" s="2596" t="s">
        <v>2054</v>
      </c>
      <c r="C151" s="2596" t="s">
        <v>2032</v>
      </c>
      <c r="D151" s="2559"/>
      <c r="E151" s="2559"/>
      <c r="F151" s="2558"/>
      <c r="H151" s="2558">
        <v>55277169</v>
      </c>
      <c r="I151" s="2593">
        <v>-55277169</v>
      </c>
      <c r="J151" s="2593"/>
      <c r="K151" s="2559">
        <f t="shared" si="13"/>
        <v>0</v>
      </c>
      <c r="L151" s="2559"/>
      <c r="M151" s="2556">
        <f t="shared" si="14"/>
        <v>0</v>
      </c>
      <c r="N151" s="2539"/>
    </row>
    <row r="152" spans="1:14" ht="15.6" customHeight="1" x14ac:dyDescent="0.2">
      <c r="A152" s="2539"/>
      <c r="B152" s="2596" t="s">
        <v>2059</v>
      </c>
      <c r="C152" s="2596" t="s">
        <v>2036</v>
      </c>
      <c r="D152" s="2559"/>
      <c r="E152" s="2559"/>
      <c r="F152" s="2558"/>
      <c r="H152" s="2558">
        <v>21678903567</v>
      </c>
      <c r="I152" s="2593">
        <v>-8176571311</v>
      </c>
      <c r="J152" s="2593"/>
      <c r="K152" s="2559">
        <f t="shared" si="13"/>
        <v>13502332256</v>
      </c>
      <c r="L152" s="2559"/>
      <c r="M152" s="2556">
        <f t="shared" si="14"/>
        <v>13502332256</v>
      </c>
      <c r="N152" s="2539"/>
    </row>
    <row r="153" spans="1:14" ht="15.6" customHeight="1" x14ac:dyDescent="0.2">
      <c r="A153" s="2539"/>
      <c r="B153" s="2596" t="s">
        <v>2060</v>
      </c>
      <c r="C153" s="2596" t="s">
        <v>2037</v>
      </c>
      <c r="D153" s="2559"/>
      <c r="E153" s="2559"/>
      <c r="F153" s="2558"/>
      <c r="H153" s="2558">
        <v>17269440048</v>
      </c>
      <c r="I153" s="2593">
        <v>-5537030042</v>
      </c>
      <c r="J153" s="2593"/>
      <c r="K153" s="2559">
        <f t="shared" si="13"/>
        <v>11732410006</v>
      </c>
      <c r="L153" s="2559"/>
      <c r="M153" s="2556">
        <f t="shared" si="14"/>
        <v>11732410006</v>
      </c>
      <c r="N153" s="2539"/>
    </row>
    <row r="154" spans="1:14" ht="15.6" customHeight="1" x14ac:dyDescent="0.2">
      <c r="A154" s="2539"/>
      <c r="B154" s="2596" t="s">
        <v>2064</v>
      </c>
      <c r="C154" s="2596" t="s">
        <v>2042</v>
      </c>
      <c r="D154" s="2559"/>
      <c r="E154" s="2559"/>
      <c r="F154" s="2558"/>
      <c r="H154" s="2558">
        <v>114676766</v>
      </c>
      <c r="I154" s="2593">
        <v>-6310296</v>
      </c>
      <c r="J154" s="2593"/>
      <c r="K154" s="2559">
        <f t="shared" si="13"/>
        <v>108366470</v>
      </c>
      <c r="L154" s="2559"/>
      <c r="M154" s="2556">
        <f t="shared" si="14"/>
        <v>108366470</v>
      </c>
      <c r="N154" s="2539"/>
    </row>
    <row r="155" spans="1:14" ht="15.6" customHeight="1" x14ac:dyDescent="0.2">
      <c r="A155" s="2539"/>
      <c r="B155" s="2596" t="s">
        <v>2063</v>
      </c>
      <c r="C155" s="2596" t="s">
        <v>2039</v>
      </c>
      <c r="D155" s="2559"/>
      <c r="E155" s="2559"/>
      <c r="F155" s="2558"/>
      <c r="H155" s="2558">
        <v>390138996</v>
      </c>
      <c r="I155" s="2593">
        <v>-40000000</v>
      </c>
      <c r="J155" s="2593"/>
      <c r="K155" s="2559">
        <f t="shared" si="13"/>
        <v>350138996</v>
      </c>
      <c r="L155" s="2559"/>
      <c r="M155" s="2556">
        <f t="shared" si="14"/>
        <v>350138996</v>
      </c>
      <c r="N155" s="2539"/>
    </row>
    <row r="156" spans="1:14" ht="15.6" customHeight="1" x14ac:dyDescent="0.2">
      <c r="A156" s="2539"/>
      <c r="B156" s="2596">
        <v>1307002321</v>
      </c>
      <c r="C156" s="2596" t="s">
        <v>2040</v>
      </c>
      <c r="D156" s="2559"/>
      <c r="E156" s="2559"/>
      <c r="F156" s="2558"/>
      <c r="H156" s="2558">
        <v>49308607210</v>
      </c>
      <c r="I156" s="2593">
        <v>-34627178341</v>
      </c>
      <c r="J156" s="2593"/>
      <c r="K156" s="2559">
        <f t="shared" si="13"/>
        <v>14681428869</v>
      </c>
      <c r="L156" s="2559"/>
      <c r="M156" s="2556">
        <f t="shared" si="14"/>
        <v>14681428869</v>
      </c>
      <c r="N156" s="2539"/>
    </row>
    <row r="157" spans="1:14" ht="15.6" customHeight="1" x14ac:dyDescent="0.2">
      <c r="A157" s="2539"/>
      <c r="B157" s="2596" t="s">
        <v>2066</v>
      </c>
      <c r="C157" s="2596" t="s">
        <v>2044</v>
      </c>
      <c r="D157" s="2559"/>
      <c r="E157" s="2559"/>
      <c r="F157" s="2558"/>
      <c r="H157" s="2558">
        <v>1665883023</v>
      </c>
      <c r="I157" s="2593">
        <v>-754026669</v>
      </c>
      <c r="J157" s="2593"/>
      <c r="K157" s="2559">
        <f t="shared" si="13"/>
        <v>911856354</v>
      </c>
      <c r="L157" s="2559"/>
      <c r="M157" s="2556">
        <f t="shared" si="14"/>
        <v>911856354</v>
      </c>
      <c r="N157" s="2539"/>
    </row>
    <row r="158" spans="1:14" ht="15.6" customHeight="1" x14ac:dyDescent="0.2">
      <c r="A158" s="2539"/>
      <c r="B158" s="3906" t="s">
        <v>1760</v>
      </c>
      <c r="C158" s="3907"/>
      <c r="D158" s="2559">
        <v>670558392</v>
      </c>
      <c r="E158" s="2559" t="s">
        <v>30</v>
      </c>
      <c r="F158" s="2558">
        <v>670558392</v>
      </c>
      <c r="H158" s="2571"/>
      <c r="I158" s="2558">
        <f>-55296797-16783084</f>
        <v>-72079881</v>
      </c>
      <c r="J158" s="2558"/>
      <c r="K158" s="2559">
        <f>13631043+54880490+55296797+252977487+10450146+60432594+229069+75140448+797188+68640947+78082183+I158</f>
        <v>598478511</v>
      </c>
      <c r="L158" s="2559" t="s">
        <v>30</v>
      </c>
      <c r="M158" s="2556">
        <f>SUM(K158:L158)</f>
        <v>598478511</v>
      </c>
      <c r="N158" s="2539"/>
    </row>
    <row r="159" spans="1:14" ht="14.45" customHeight="1" thickBot="1" x14ac:dyDescent="0.25">
      <c r="A159" s="2539"/>
      <c r="B159" s="3908" t="s">
        <v>195</v>
      </c>
      <c r="C159" s="3909"/>
      <c r="D159" s="2597">
        <f>SUM(D135:D158)</f>
        <v>517867305379</v>
      </c>
      <c r="E159" s="2597">
        <f t="shared" ref="E159:M159" si="15">SUM(E135:E158)</f>
        <v>4856507283</v>
      </c>
      <c r="F159" s="2597">
        <f t="shared" si="15"/>
        <v>522723812662</v>
      </c>
      <c r="G159" s="2597">
        <f t="shared" si="15"/>
        <v>0</v>
      </c>
      <c r="H159" s="2597">
        <f>SUM(H135:H158)</f>
        <v>1288587297489</v>
      </c>
      <c r="I159" s="2597">
        <f>SUM(I135:I158)</f>
        <v>-1111875488412</v>
      </c>
      <c r="J159" s="2597">
        <f>SUM(J135:J158)</f>
        <v>-219789737</v>
      </c>
      <c r="K159" s="2597">
        <f>SUM(K135:K158)</f>
        <v>694579114456</v>
      </c>
      <c r="L159" s="2597">
        <f t="shared" si="15"/>
        <v>4636717546</v>
      </c>
      <c r="M159" s="2597">
        <f t="shared" si="15"/>
        <v>699150190186</v>
      </c>
      <c r="N159" s="2539"/>
    </row>
    <row r="160" spans="1:14" ht="14.45" customHeight="1" thickTop="1" x14ac:dyDescent="0.2">
      <c r="A160" s="2539"/>
      <c r="B160" s="2598"/>
      <c r="C160" s="2598"/>
      <c r="D160" s="2048"/>
      <c r="E160" s="2048"/>
      <c r="F160" s="2048"/>
      <c r="G160" s="2048"/>
      <c r="H160" s="3898" t="s">
        <v>1370</v>
      </c>
      <c r="I160" s="3898"/>
      <c r="J160" s="2599"/>
      <c r="K160" s="2048"/>
      <c r="L160" s="2048"/>
      <c r="M160" s="2048"/>
      <c r="N160" s="2539"/>
    </row>
    <row r="161" spans="1:16" ht="14.45" customHeight="1" x14ac:dyDescent="0.2">
      <c r="A161" s="3899">
        <v>83000000</v>
      </c>
      <c r="B161" s="3899"/>
      <c r="C161" s="3899"/>
      <c r="D161" s="3899"/>
      <c r="E161" s="3899"/>
      <c r="F161" s="3899"/>
      <c r="G161" s="3899"/>
      <c r="H161" s="3899"/>
      <c r="I161" s="3899"/>
      <c r="J161" s="3899"/>
      <c r="K161" s="3899"/>
      <c r="L161" s="3899"/>
      <c r="M161" s="3899"/>
      <c r="N161" s="3899"/>
    </row>
    <row r="162" spans="1:16" ht="14.45" customHeight="1" x14ac:dyDescent="0.2">
      <c r="A162" s="2600"/>
      <c r="B162" s="2600"/>
      <c r="C162" s="2600"/>
      <c r="D162" s="2600"/>
      <c r="E162" s="2600"/>
      <c r="F162" s="2600"/>
      <c r="G162" s="2600"/>
      <c r="H162" s="2600"/>
      <c r="I162" s="2600"/>
      <c r="J162" s="2600"/>
      <c r="K162" s="2600"/>
      <c r="L162" s="2600"/>
      <c r="M162" s="2600"/>
      <c r="N162" s="2600"/>
    </row>
    <row r="163" spans="1:16" ht="15.75" customHeight="1" x14ac:dyDescent="0.2">
      <c r="H163" s="2548">
        <v>142476669916</v>
      </c>
      <c r="I163" s="2548">
        <v>-65640311069</v>
      </c>
    </row>
    <row r="164" spans="1:16" ht="15.75" customHeight="1" x14ac:dyDescent="0.2">
      <c r="D164" s="2548">
        <f t="shared" ref="D164:K164" si="16">SUM(D92:D158)</f>
        <v>1552260799353</v>
      </c>
      <c r="E164" s="2548">
        <f t="shared" si="16"/>
        <v>14569521849</v>
      </c>
      <c r="F164" s="2548">
        <f t="shared" si="16"/>
        <v>1566830321202</v>
      </c>
      <c r="G164" s="2548">
        <f t="shared" si="16"/>
        <v>0</v>
      </c>
      <c r="H164" s="2548">
        <f t="shared" si="16"/>
        <v>3375222562533</v>
      </c>
      <c r="I164" s="2548">
        <f t="shared" si="16"/>
        <v>-3099690119892</v>
      </c>
      <c r="K164" s="2548">
        <f t="shared" si="16"/>
        <v>1827793241994</v>
      </c>
    </row>
    <row r="165" spans="1:16" ht="15.75" customHeight="1" x14ac:dyDescent="0.2">
      <c r="H165" s="2548">
        <f>H163-H159</f>
        <v>-1146110627573</v>
      </c>
      <c r="I165" s="2548">
        <f>I163-I159</f>
        <v>1046235177343</v>
      </c>
    </row>
    <row r="166" spans="1:16" ht="15.75" customHeight="1" x14ac:dyDescent="0.2">
      <c r="K166" s="2548">
        <f>D159+H159+I159</f>
        <v>694579114456</v>
      </c>
    </row>
    <row r="167" spans="1:16" ht="15.75" customHeight="1" x14ac:dyDescent="0.2">
      <c r="H167" s="2548">
        <f>D159+H159+I159</f>
        <v>694579114456</v>
      </c>
      <c r="P167" s="2540">
        <f>D159+H159+I159</f>
        <v>694579114456</v>
      </c>
    </row>
    <row r="168" spans="1:16" ht="15.75" customHeight="1" x14ac:dyDescent="0.2">
      <c r="K168" s="2548">
        <f>K166-K159</f>
        <v>0</v>
      </c>
    </row>
    <row r="169" spans="1:16" ht="15.75" customHeight="1" x14ac:dyDescent="0.2">
      <c r="P169" s="2540">
        <f>E159-L159</f>
        <v>219789737</v>
      </c>
    </row>
  </sheetData>
  <mergeCells count="94">
    <mergeCell ref="B135:C135"/>
    <mergeCell ref="A129:N129"/>
    <mergeCell ref="B130:C130"/>
    <mergeCell ref="L130:M130"/>
    <mergeCell ref="B131:B134"/>
    <mergeCell ref="C131:C134"/>
    <mergeCell ref="D131:F132"/>
    <mergeCell ref="H131:H134"/>
    <mergeCell ref="K131:M132"/>
    <mergeCell ref="D133:D134"/>
    <mergeCell ref="E133:E134"/>
    <mergeCell ref="F133:F134"/>
    <mergeCell ref="I133:I134"/>
    <mergeCell ref="K133:K134"/>
    <mergeCell ref="L133:L134"/>
    <mergeCell ref="M133:M134"/>
    <mergeCell ref="B124:C124"/>
    <mergeCell ref="B126:O126"/>
    <mergeCell ref="B127:O127"/>
    <mergeCell ref="B128:O128"/>
    <mergeCell ref="I131:J132"/>
    <mergeCell ref="J133:J134"/>
    <mergeCell ref="B125:M125"/>
    <mergeCell ref="B14:F14"/>
    <mergeCell ref="L14:M14"/>
    <mergeCell ref="B16:B19"/>
    <mergeCell ref="C16:C19"/>
    <mergeCell ref="D16:F17"/>
    <mergeCell ref="H16:H19"/>
    <mergeCell ref="K16:M17"/>
    <mergeCell ref="D18:D19"/>
    <mergeCell ref="E18:E19"/>
    <mergeCell ref="F18:F19"/>
    <mergeCell ref="I18:I19"/>
    <mergeCell ref="K18:K19"/>
    <mergeCell ref="L18:L19"/>
    <mergeCell ref="M18:M19"/>
    <mergeCell ref="I16:J17"/>
    <mergeCell ref="J18:J19"/>
    <mergeCell ref="B38:C38"/>
    <mergeCell ref="A40:N40"/>
    <mergeCell ref="B43:O43"/>
    <mergeCell ref="B41:O41"/>
    <mergeCell ref="B42:O42"/>
    <mergeCell ref="B45:C45"/>
    <mergeCell ref="K45:M45"/>
    <mergeCell ref="B46:B49"/>
    <mergeCell ref="B44:O44"/>
    <mergeCell ref="I48:I49"/>
    <mergeCell ref="I46:J47"/>
    <mergeCell ref="J48:J49"/>
    <mergeCell ref="K48:K49"/>
    <mergeCell ref="L48:L49"/>
    <mergeCell ref="M48:M49"/>
    <mergeCell ref="K46:M47"/>
    <mergeCell ref="B81:C81"/>
    <mergeCell ref="C46:C49"/>
    <mergeCell ref="D46:F47"/>
    <mergeCell ref="H46:H49"/>
    <mergeCell ref="D48:D49"/>
    <mergeCell ref="E48:E49"/>
    <mergeCell ref="F48:F49"/>
    <mergeCell ref="B50:C50"/>
    <mergeCell ref="I90:I91"/>
    <mergeCell ref="B82:N82"/>
    <mergeCell ref="B83:O83"/>
    <mergeCell ref="B84:O84"/>
    <mergeCell ref="B85:O85"/>
    <mergeCell ref="A86:N86"/>
    <mergeCell ref="B87:C87"/>
    <mergeCell ref="L87:M87"/>
    <mergeCell ref="I88:J89"/>
    <mergeCell ref="J90:J91"/>
    <mergeCell ref="A1:N1"/>
    <mergeCell ref="A2:N2"/>
    <mergeCell ref="A3:N3"/>
    <mergeCell ref="A4:N4"/>
    <mergeCell ref="B5:F5"/>
    <mergeCell ref="H160:I160"/>
    <mergeCell ref="A161:N161"/>
    <mergeCell ref="D88:F89"/>
    <mergeCell ref="H88:H91"/>
    <mergeCell ref="K88:M89"/>
    <mergeCell ref="D90:D91"/>
    <mergeCell ref="M90:M91"/>
    <mergeCell ref="B92:C92"/>
    <mergeCell ref="B158:C158"/>
    <mergeCell ref="B159:C159"/>
    <mergeCell ref="K90:K91"/>
    <mergeCell ref="L90:L91"/>
    <mergeCell ref="B88:B91"/>
    <mergeCell ref="C88:C91"/>
    <mergeCell ref="E90:E91"/>
    <mergeCell ref="F90:F91"/>
  </mergeCells>
  <phoneticPr fontId="123" type="noConversion"/>
  <printOptions horizontalCentered="1"/>
  <pageMargins left="0.15748031496063" right="0.35433070866141703" top="0.35433070866141703" bottom="0" header="0.511811023622047" footer="0.196850393700787"/>
  <pageSetup scale="81" fitToWidth="0" fitToHeight="0" orientation="landscape" r:id="rId1"/>
  <headerFooter alignWithMargins="0"/>
  <rowBreaks count="2" manualBreakCount="2">
    <brk id="40" max="12" man="1"/>
    <brk id="82" max="1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2060"/>
  </sheetPr>
  <dimension ref="A1:Y88"/>
  <sheetViews>
    <sheetView rightToLeft="1" view="pageBreakPreview" topLeftCell="A70" zoomScale="102" zoomScaleNormal="100" zoomScaleSheetLayoutView="102" workbookViewId="0">
      <selection activeCell="A89" sqref="A89"/>
    </sheetView>
  </sheetViews>
  <sheetFormatPr defaultColWidth="8.85546875" defaultRowHeight="15" x14ac:dyDescent="0.35"/>
  <cols>
    <col min="1" max="1" width="2.7109375" style="721" customWidth="1"/>
    <col min="2" max="2" width="15.7109375" style="721" customWidth="1"/>
    <col min="3" max="3" width="8" style="744" customWidth="1"/>
    <col min="4" max="4" width="9.28515625" style="744" customWidth="1"/>
    <col min="5" max="5" width="11.140625" style="744" customWidth="1"/>
    <col min="6" max="6" width="10.28515625" style="744" customWidth="1"/>
    <col min="7" max="7" width="8.7109375" style="744" customWidth="1"/>
    <col min="8" max="8" width="15.7109375" style="744" customWidth="1"/>
    <col min="9" max="9" width="1.28515625" style="744" customWidth="1"/>
    <col min="10" max="11" width="1.140625" style="744" customWidth="1"/>
    <col min="12" max="19" width="1.140625" style="1502" customWidth="1"/>
    <col min="20" max="20" width="9.85546875" style="721" bestFit="1" customWidth="1"/>
    <col min="21" max="21" width="8.85546875" style="721"/>
    <col min="22" max="23" width="17.28515625" style="580" bestFit="1" customWidth="1"/>
    <col min="24" max="16384" width="8.85546875" style="721"/>
  </cols>
  <sheetData>
    <row r="1" spans="1:23" ht="15.6" customHeight="1" x14ac:dyDescent="0.35">
      <c r="A1" s="25"/>
      <c r="B1" s="3895" t="s">
        <v>32</v>
      </c>
      <c r="C1" s="3895"/>
      <c r="D1" s="3895"/>
      <c r="E1" s="3895"/>
      <c r="F1" s="3895"/>
      <c r="G1" s="3895"/>
      <c r="H1" s="3895"/>
      <c r="I1" s="3895"/>
      <c r="J1" s="3895"/>
      <c r="K1" s="1596"/>
      <c r="L1" s="1480"/>
      <c r="M1" s="1480"/>
      <c r="N1" s="1480"/>
      <c r="O1" s="1480"/>
      <c r="P1" s="1480"/>
      <c r="Q1" s="1480"/>
      <c r="R1" s="1480"/>
      <c r="S1" s="1480"/>
    </row>
    <row r="2" spans="1:23" ht="15.6" customHeight="1" x14ac:dyDescent="0.35">
      <c r="A2" s="25"/>
      <c r="B2" s="3895" t="s">
        <v>45</v>
      </c>
      <c r="C2" s="3895"/>
      <c r="D2" s="3895"/>
      <c r="E2" s="3895"/>
      <c r="F2" s="3895"/>
      <c r="G2" s="3895"/>
      <c r="H2" s="3895"/>
      <c r="I2" s="3895"/>
      <c r="J2" s="3895"/>
      <c r="K2" s="1596"/>
      <c r="L2" s="1480"/>
      <c r="M2" s="1480"/>
      <c r="N2" s="1480"/>
      <c r="O2" s="1480"/>
      <c r="P2" s="1480"/>
      <c r="Q2" s="1480"/>
      <c r="R2" s="1480"/>
      <c r="S2" s="1480"/>
    </row>
    <row r="3" spans="1:23" ht="15.6" customHeight="1" x14ac:dyDescent="0.35">
      <c r="A3" s="25"/>
      <c r="B3" s="3895" t="s">
        <v>46</v>
      </c>
      <c r="C3" s="3895"/>
      <c r="D3" s="3895"/>
      <c r="E3" s="3895"/>
      <c r="F3" s="3895"/>
      <c r="G3" s="3895"/>
      <c r="H3" s="3895"/>
      <c r="I3" s="3895"/>
      <c r="J3" s="3895"/>
      <c r="K3" s="1596"/>
      <c r="L3" s="1480"/>
      <c r="M3" s="1480"/>
      <c r="N3" s="1480"/>
      <c r="O3" s="1480"/>
      <c r="P3" s="1480"/>
      <c r="Q3" s="1480"/>
      <c r="R3" s="1480"/>
      <c r="S3" s="1480"/>
    </row>
    <row r="4" spans="1:23" ht="15.6" customHeight="1" x14ac:dyDescent="0.35">
      <c r="A4" s="25"/>
      <c r="B4" s="3897" t="s">
        <v>1998</v>
      </c>
      <c r="C4" s="3897"/>
      <c r="D4" s="3897"/>
      <c r="E4" s="3897"/>
      <c r="F4" s="3897"/>
      <c r="G4" s="3897"/>
      <c r="H4" s="3897"/>
      <c r="I4" s="3897"/>
      <c r="J4" s="3897"/>
      <c r="K4" s="1597"/>
      <c r="L4" s="1470"/>
      <c r="M4" s="1470"/>
      <c r="N4" s="1470"/>
      <c r="O4" s="1470"/>
      <c r="P4" s="1470"/>
      <c r="Q4" s="1470"/>
      <c r="R4" s="1470"/>
      <c r="S4" s="1470"/>
    </row>
    <row r="5" spans="1:23" ht="11.45" customHeight="1" x14ac:dyDescent="0.35">
      <c r="A5" s="25"/>
      <c r="F5" s="1598"/>
      <c r="G5" s="1599"/>
      <c r="H5" s="1599"/>
      <c r="I5" s="1599"/>
      <c r="J5" s="1600"/>
      <c r="K5" s="1600"/>
      <c r="L5" s="45"/>
      <c r="M5" s="45"/>
      <c r="N5" s="45"/>
      <c r="O5" s="45"/>
      <c r="P5" s="45"/>
      <c r="Q5" s="45"/>
      <c r="R5" s="45"/>
      <c r="S5" s="45"/>
    </row>
    <row r="6" spans="1:23" ht="13.15" customHeight="1" x14ac:dyDescent="0.35">
      <c r="A6" s="25"/>
      <c r="B6" s="3928" t="s">
        <v>1123</v>
      </c>
      <c r="C6" s="3928"/>
      <c r="D6" s="3928"/>
      <c r="E6" s="3928"/>
      <c r="F6" s="1601"/>
      <c r="G6" s="1600"/>
      <c r="H6" s="1600"/>
      <c r="I6" s="1600"/>
      <c r="J6" s="1600"/>
      <c r="K6" s="1600"/>
      <c r="L6" s="45"/>
      <c r="M6" s="45"/>
      <c r="N6" s="45"/>
      <c r="O6" s="45"/>
      <c r="P6" s="45"/>
      <c r="Q6" s="45"/>
      <c r="R6" s="45"/>
      <c r="S6" s="45"/>
    </row>
    <row r="7" spans="1:23" ht="13.15" customHeight="1" x14ac:dyDescent="0.35">
      <c r="A7" s="25"/>
      <c r="B7" s="385"/>
      <c r="C7" s="1602"/>
      <c r="D7" s="1602"/>
      <c r="E7" s="1600"/>
      <c r="F7" s="1600"/>
      <c r="G7" s="3924" t="s">
        <v>194</v>
      </c>
      <c r="H7" s="3924"/>
      <c r="I7" s="1600"/>
      <c r="J7" s="1600"/>
      <c r="K7" s="1600"/>
      <c r="L7" s="45"/>
      <c r="M7" s="45"/>
      <c r="N7" s="45"/>
      <c r="O7" s="45"/>
      <c r="P7" s="45"/>
      <c r="Q7" s="45"/>
      <c r="R7" s="45"/>
      <c r="S7" s="45"/>
    </row>
    <row r="8" spans="1:23" ht="10.15" customHeight="1" x14ac:dyDescent="0.35">
      <c r="A8" s="25"/>
      <c r="B8" s="3925" t="s">
        <v>452</v>
      </c>
      <c r="C8" s="3926" t="s">
        <v>2005</v>
      </c>
      <c r="D8" s="3926"/>
      <c r="E8" s="3926"/>
      <c r="F8" s="3926" t="s">
        <v>1399</v>
      </c>
      <c r="G8" s="3926"/>
      <c r="H8" s="3926"/>
    </row>
    <row r="9" spans="1:23" ht="6" customHeight="1" x14ac:dyDescent="0.35">
      <c r="A9" s="25"/>
      <c r="B9" s="3925"/>
      <c r="C9" s="3926"/>
      <c r="D9" s="3926"/>
      <c r="E9" s="3926"/>
      <c r="F9" s="3926"/>
      <c r="G9" s="3926"/>
      <c r="H9" s="3926"/>
    </row>
    <row r="10" spans="1:23" ht="10.15" customHeight="1" x14ac:dyDescent="0.35">
      <c r="A10" s="25"/>
      <c r="B10" s="3925"/>
      <c r="C10" s="3926" t="s">
        <v>415</v>
      </c>
      <c r="D10" s="3926" t="s">
        <v>416</v>
      </c>
      <c r="E10" s="3927" t="s">
        <v>417</v>
      </c>
      <c r="F10" s="3926" t="s">
        <v>415</v>
      </c>
      <c r="G10" s="3926" t="s">
        <v>416</v>
      </c>
      <c r="H10" s="3927" t="s">
        <v>417</v>
      </c>
    </row>
    <row r="11" spans="1:23" ht="12" customHeight="1" x14ac:dyDescent="0.35">
      <c r="A11" s="25"/>
      <c r="B11" s="3925"/>
      <c r="C11" s="3926"/>
      <c r="D11" s="3926"/>
      <c r="E11" s="3927"/>
      <c r="F11" s="3926"/>
      <c r="G11" s="3926"/>
      <c r="H11" s="3927"/>
      <c r="V11" s="721"/>
      <c r="W11" s="721"/>
    </row>
    <row r="12" spans="1:23" ht="15" customHeight="1" x14ac:dyDescent="0.4">
      <c r="B12" s="1543" t="s">
        <v>1164</v>
      </c>
      <c r="C12" s="1630">
        <v>145423755852</v>
      </c>
      <c r="D12" s="1603"/>
      <c r="E12" s="1603">
        <f>C12+D12</f>
        <v>145423755852</v>
      </c>
      <c r="F12" s="1630">
        <v>99072913085</v>
      </c>
      <c r="G12" s="1604"/>
      <c r="H12" s="1603">
        <f>F12+G12</f>
        <v>99072913085</v>
      </c>
      <c r="V12" s="721"/>
      <c r="W12" s="721"/>
    </row>
    <row r="13" spans="1:23" ht="15" customHeight="1" x14ac:dyDescent="0.4">
      <c r="B13" s="1543" t="s">
        <v>390</v>
      </c>
      <c r="C13" s="1630">
        <v>83942456929</v>
      </c>
      <c r="D13" s="1603">
        <v>918370805</v>
      </c>
      <c r="E13" s="1603">
        <f t="shared" ref="E13:E48" si="0">C13+D13</f>
        <v>84860827734</v>
      </c>
      <c r="F13" s="1630">
        <v>78589298852</v>
      </c>
      <c r="G13" s="1603">
        <v>918370805</v>
      </c>
      <c r="H13" s="1603">
        <f t="shared" ref="H13:H49" si="1">F13+G13</f>
        <v>79507669657</v>
      </c>
      <c r="V13" s="721"/>
      <c r="W13" s="721"/>
    </row>
    <row r="14" spans="1:23" s="1502" customFormat="1" ht="15" customHeight="1" x14ac:dyDescent="0.4">
      <c r="B14" s="1543" t="s">
        <v>1409</v>
      </c>
      <c r="C14" s="1630">
        <v>44390279645</v>
      </c>
      <c r="D14" s="1603"/>
      <c r="E14" s="1603">
        <f t="shared" si="0"/>
        <v>44390279645</v>
      </c>
      <c r="F14" s="1630">
        <v>5834263635</v>
      </c>
      <c r="G14" s="1604"/>
      <c r="H14" s="1603">
        <f t="shared" si="1"/>
        <v>5834263635</v>
      </c>
      <c r="I14" s="744"/>
      <c r="J14" s="744"/>
      <c r="K14" s="744"/>
    </row>
    <row r="15" spans="1:23" s="1502" customFormat="1" ht="15" customHeight="1" x14ac:dyDescent="0.4">
      <c r="B15" s="1543" t="s">
        <v>395</v>
      </c>
      <c r="C15" s="1630">
        <v>20613146407</v>
      </c>
      <c r="D15" s="1631"/>
      <c r="E15" s="1603">
        <f t="shared" si="0"/>
        <v>20613146407</v>
      </c>
      <c r="F15" s="1630">
        <v>8085134584</v>
      </c>
      <c r="G15" s="1631"/>
      <c r="H15" s="1603">
        <f t="shared" si="1"/>
        <v>8085134584</v>
      </c>
      <c r="I15" s="744"/>
      <c r="J15" s="744"/>
      <c r="K15" s="744"/>
    </row>
    <row r="16" spans="1:23" s="1502" customFormat="1" ht="15" customHeight="1" x14ac:dyDescent="0.4">
      <c r="B16" s="1543" t="s">
        <v>1091</v>
      </c>
      <c r="C16" s="1630">
        <v>20202731140</v>
      </c>
      <c r="D16" s="1603"/>
      <c r="E16" s="1603">
        <f t="shared" si="0"/>
        <v>20202731140</v>
      </c>
      <c r="F16" s="1630">
        <v>8691266517</v>
      </c>
      <c r="G16" s="1604"/>
      <c r="H16" s="1603">
        <f t="shared" si="1"/>
        <v>8691266517</v>
      </c>
      <c r="I16" s="744"/>
      <c r="J16" s="744"/>
      <c r="K16" s="744"/>
    </row>
    <row r="17" spans="2:23" s="1502" customFormat="1" ht="15" customHeight="1" x14ac:dyDescent="0.4">
      <c r="B17" s="1543" t="s">
        <v>391</v>
      </c>
      <c r="C17" s="1630">
        <v>19472548633</v>
      </c>
      <c r="D17" s="1603"/>
      <c r="E17" s="1603">
        <f t="shared" si="0"/>
        <v>19472548633</v>
      </c>
      <c r="F17" s="1630">
        <v>8838248872</v>
      </c>
      <c r="G17" s="1604"/>
      <c r="H17" s="1603">
        <f t="shared" si="1"/>
        <v>8838248872</v>
      </c>
      <c r="I17" s="744"/>
      <c r="J17" s="744"/>
      <c r="K17" s="744"/>
    </row>
    <row r="18" spans="2:23" s="1502" customFormat="1" ht="15" customHeight="1" x14ac:dyDescent="0.4">
      <c r="B18" s="1543" t="s">
        <v>650</v>
      </c>
      <c r="C18" s="1630">
        <v>18031534276</v>
      </c>
      <c r="D18" s="1603">
        <v>262938905</v>
      </c>
      <c r="E18" s="1603">
        <f t="shared" si="0"/>
        <v>18294473181</v>
      </c>
      <c r="F18" s="1630">
        <v>15993420366</v>
      </c>
      <c r="G18" s="1603">
        <v>262938905</v>
      </c>
      <c r="H18" s="1603">
        <f t="shared" si="1"/>
        <v>16256359271</v>
      </c>
      <c r="I18" s="744"/>
      <c r="J18" s="744"/>
      <c r="K18" s="744"/>
    </row>
    <row r="19" spans="2:23" s="1502" customFormat="1" ht="15" customHeight="1" x14ac:dyDescent="0.4">
      <c r="B19" s="1543" t="s">
        <v>399</v>
      </c>
      <c r="C19" s="1630">
        <v>17882765715</v>
      </c>
      <c r="D19" s="1631"/>
      <c r="E19" s="1603">
        <f t="shared" si="0"/>
        <v>17882765715</v>
      </c>
      <c r="F19" s="1630">
        <v>4878955211</v>
      </c>
      <c r="G19" s="1631"/>
      <c r="H19" s="1603">
        <f t="shared" si="1"/>
        <v>4878955211</v>
      </c>
      <c r="I19" s="744"/>
      <c r="J19" s="744"/>
      <c r="K19" s="744"/>
    </row>
    <row r="20" spans="2:23" s="1502" customFormat="1" ht="15" customHeight="1" x14ac:dyDescent="0.4">
      <c r="B20" s="1543" t="s">
        <v>1549</v>
      </c>
      <c r="C20" s="1630">
        <v>16237897128</v>
      </c>
      <c r="D20" s="1603"/>
      <c r="E20" s="1603">
        <f t="shared" si="0"/>
        <v>16237897128</v>
      </c>
      <c r="F20" s="1630">
        <v>25523320885</v>
      </c>
      <c r="G20" s="1604"/>
      <c r="H20" s="1603">
        <f t="shared" si="1"/>
        <v>25523320885</v>
      </c>
      <c r="I20" s="744"/>
      <c r="J20" s="744"/>
      <c r="K20" s="744"/>
    </row>
    <row r="21" spans="2:23" s="1502" customFormat="1" ht="15" customHeight="1" x14ac:dyDescent="0.4">
      <c r="B21" s="1543" t="s">
        <v>394</v>
      </c>
      <c r="C21" s="1630">
        <v>13750156674</v>
      </c>
      <c r="D21" s="1603"/>
      <c r="E21" s="1603">
        <f t="shared" si="0"/>
        <v>13750156674</v>
      </c>
      <c r="F21" s="1630">
        <v>9540834489</v>
      </c>
      <c r="G21" s="1604"/>
      <c r="H21" s="1603">
        <f t="shared" si="1"/>
        <v>9540834489</v>
      </c>
      <c r="I21" s="744"/>
      <c r="J21" s="744"/>
      <c r="K21" s="744"/>
    </row>
    <row r="22" spans="2:23" s="1502" customFormat="1" ht="15" customHeight="1" x14ac:dyDescent="0.4">
      <c r="B22" s="1543" t="s">
        <v>406</v>
      </c>
      <c r="C22" s="1630">
        <v>13052529815</v>
      </c>
      <c r="D22" s="1603">
        <v>175706625</v>
      </c>
      <c r="E22" s="1603">
        <f t="shared" si="0"/>
        <v>13228236440</v>
      </c>
      <c r="F22" s="1630">
        <v>1079862894</v>
      </c>
      <c r="G22" s="1603">
        <v>175706625</v>
      </c>
      <c r="H22" s="1603">
        <f t="shared" si="1"/>
        <v>1255569519</v>
      </c>
      <c r="I22" s="744"/>
      <c r="J22" s="744"/>
      <c r="K22" s="744"/>
    </row>
    <row r="23" spans="2:23" s="1502" customFormat="1" ht="15" customHeight="1" x14ac:dyDescent="0.4">
      <c r="B23" s="1543" t="s">
        <v>1163</v>
      </c>
      <c r="C23" s="1630">
        <v>10393566934</v>
      </c>
      <c r="D23" s="1603"/>
      <c r="E23" s="1603">
        <f t="shared" si="0"/>
        <v>10393566934</v>
      </c>
      <c r="F23" s="1630">
        <v>16610494541</v>
      </c>
      <c r="G23" s="1604"/>
      <c r="H23" s="1603">
        <f t="shared" si="1"/>
        <v>16610494541</v>
      </c>
      <c r="I23" s="744"/>
      <c r="J23" s="744"/>
      <c r="K23" s="744"/>
    </row>
    <row r="24" spans="2:23" s="1502" customFormat="1" ht="15" customHeight="1" x14ac:dyDescent="0.4">
      <c r="B24" s="1543" t="s">
        <v>398</v>
      </c>
      <c r="C24" s="1630">
        <v>9749270254</v>
      </c>
      <c r="D24" s="1603">
        <v>349363378</v>
      </c>
      <c r="E24" s="1603">
        <f t="shared" si="0"/>
        <v>10098633632</v>
      </c>
      <c r="F24" s="1630">
        <v>12356652591</v>
      </c>
      <c r="G24" s="1603">
        <v>349363378</v>
      </c>
      <c r="H24" s="1603">
        <f t="shared" si="1"/>
        <v>12706015969</v>
      </c>
      <c r="I24" s="744"/>
      <c r="J24" s="744"/>
      <c r="K24" s="744"/>
    </row>
    <row r="25" spans="2:23" s="1502" customFormat="1" ht="15" customHeight="1" x14ac:dyDescent="0.4">
      <c r="B25" s="1543" t="s">
        <v>1176</v>
      </c>
      <c r="C25" s="1630">
        <v>9242285043</v>
      </c>
      <c r="D25" s="1603"/>
      <c r="E25" s="1603">
        <f t="shared" si="0"/>
        <v>9242285043</v>
      </c>
      <c r="F25" s="1630">
        <v>9114636028</v>
      </c>
      <c r="G25" s="1604"/>
      <c r="H25" s="1603">
        <f t="shared" si="1"/>
        <v>9114636028</v>
      </c>
      <c r="I25" s="744"/>
      <c r="J25" s="744"/>
      <c r="K25" s="744"/>
    </row>
    <row r="26" spans="2:23" ht="15" customHeight="1" x14ac:dyDescent="0.4">
      <c r="B26" s="1543" t="s">
        <v>1174</v>
      </c>
      <c r="C26" s="1630">
        <v>9194148861</v>
      </c>
      <c r="D26" s="1632"/>
      <c r="E26" s="1603">
        <f t="shared" si="0"/>
        <v>9194148861</v>
      </c>
      <c r="F26" s="1630">
        <v>1462293675</v>
      </c>
      <c r="G26" s="1632"/>
      <c r="H26" s="1603">
        <f t="shared" si="1"/>
        <v>1462293675</v>
      </c>
      <c r="V26" s="721"/>
      <c r="W26" s="721"/>
    </row>
    <row r="27" spans="2:23" s="1502" customFormat="1" ht="15" customHeight="1" x14ac:dyDescent="0.4">
      <c r="B27" s="1543" t="s">
        <v>1214</v>
      </c>
      <c r="C27" s="1630">
        <v>8910280698</v>
      </c>
      <c r="D27" s="1631"/>
      <c r="E27" s="1603">
        <f t="shared" si="0"/>
        <v>8910280698</v>
      </c>
      <c r="F27" s="1630">
        <v>4533473192</v>
      </c>
      <c r="G27" s="1631"/>
      <c r="H27" s="1603">
        <f t="shared" si="1"/>
        <v>4533473192</v>
      </c>
      <c r="I27" s="744"/>
      <c r="J27" s="744"/>
      <c r="K27" s="744"/>
    </row>
    <row r="28" spans="2:23" s="1502" customFormat="1" ht="15" customHeight="1" x14ac:dyDescent="0.4">
      <c r="B28" s="1543" t="s">
        <v>1241</v>
      </c>
      <c r="C28" s="1632">
        <v>8282648061</v>
      </c>
      <c r="D28" s="1632"/>
      <c r="E28" s="1603">
        <f t="shared" si="0"/>
        <v>8282648061</v>
      </c>
      <c r="F28" s="1630">
        <v>5586888590</v>
      </c>
      <c r="G28" s="1632"/>
      <c r="H28" s="1603">
        <f t="shared" si="1"/>
        <v>5586888590</v>
      </c>
      <c r="I28" s="744"/>
      <c r="J28" s="744"/>
      <c r="K28" s="744"/>
    </row>
    <row r="29" spans="2:23" s="1502" customFormat="1" ht="15" customHeight="1" x14ac:dyDescent="0.4">
      <c r="B29" s="1543" t="s">
        <v>551</v>
      </c>
      <c r="C29" s="1632">
        <v>7867291798</v>
      </c>
      <c r="D29" s="1632"/>
      <c r="E29" s="1603">
        <f t="shared" si="0"/>
        <v>7867291798</v>
      </c>
      <c r="F29" s="1630">
        <v>8764310054</v>
      </c>
      <c r="G29" s="1632"/>
      <c r="H29" s="1603">
        <f t="shared" si="1"/>
        <v>8764310054</v>
      </c>
      <c r="I29" s="744"/>
      <c r="J29" s="744"/>
      <c r="K29" s="744"/>
    </row>
    <row r="30" spans="2:23" s="1502" customFormat="1" ht="15" customHeight="1" x14ac:dyDescent="0.4">
      <c r="B30" s="1543" t="s">
        <v>1167</v>
      </c>
      <c r="C30" s="1632">
        <v>7825163103</v>
      </c>
      <c r="D30" s="1632"/>
      <c r="E30" s="1603">
        <f t="shared" si="0"/>
        <v>7825163103</v>
      </c>
      <c r="F30" s="1630">
        <v>7910055537</v>
      </c>
      <c r="G30" s="1632"/>
      <c r="H30" s="1603">
        <f t="shared" si="1"/>
        <v>7910055537</v>
      </c>
      <c r="I30" s="744"/>
      <c r="J30" s="744"/>
      <c r="K30" s="744"/>
    </row>
    <row r="31" spans="2:23" ht="15" customHeight="1" x14ac:dyDescent="0.4">
      <c r="B31" s="1543" t="s">
        <v>1094</v>
      </c>
      <c r="C31" s="1633">
        <v>7633374532</v>
      </c>
      <c r="D31" s="1603"/>
      <c r="E31" s="1603">
        <f t="shared" si="0"/>
        <v>7633374532</v>
      </c>
      <c r="F31" s="1630">
        <v>633200071</v>
      </c>
      <c r="G31" s="1604"/>
      <c r="H31" s="1603">
        <f t="shared" si="1"/>
        <v>633200071</v>
      </c>
      <c r="V31" s="721"/>
      <c r="W31" s="721"/>
    </row>
    <row r="32" spans="2:23" ht="15" customHeight="1" x14ac:dyDescent="0.4">
      <c r="B32" s="1543" t="s">
        <v>392</v>
      </c>
      <c r="C32" s="1633">
        <v>7600310956</v>
      </c>
      <c r="D32" s="1603">
        <v>196915005</v>
      </c>
      <c r="E32" s="1603">
        <f t="shared" si="0"/>
        <v>7797225961</v>
      </c>
      <c r="F32" s="1630">
        <v>1776660884</v>
      </c>
      <c r="G32" s="1603">
        <v>416704742</v>
      </c>
      <c r="H32" s="1603">
        <f t="shared" si="1"/>
        <v>2193365626</v>
      </c>
      <c r="V32" s="721"/>
      <c r="W32" s="721"/>
    </row>
    <row r="33" spans="2:23" ht="15" customHeight="1" x14ac:dyDescent="0.4">
      <c r="B33" s="1543" t="s">
        <v>649</v>
      </c>
      <c r="C33" s="1632">
        <v>6763470450</v>
      </c>
      <c r="D33" s="1632"/>
      <c r="E33" s="1603">
        <f t="shared" si="0"/>
        <v>6763470450</v>
      </c>
      <c r="F33" s="1630">
        <v>4636367303</v>
      </c>
      <c r="G33" s="1632"/>
      <c r="H33" s="1603">
        <f t="shared" si="1"/>
        <v>4636367303</v>
      </c>
      <c r="V33" s="721"/>
      <c r="W33" s="721"/>
    </row>
    <row r="34" spans="2:23" ht="15" customHeight="1" x14ac:dyDescent="0.4">
      <c r="B34" s="1543" t="s">
        <v>1427</v>
      </c>
      <c r="C34" s="1633">
        <v>6497331778</v>
      </c>
      <c r="D34" s="1603"/>
      <c r="E34" s="1603">
        <f t="shared" si="0"/>
        <v>6497331778</v>
      </c>
      <c r="F34" s="1630">
        <v>1296057301</v>
      </c>
      <c r="G34" s="1604"/>
      <c r="H34" s="1603">
        <f t="shared" si="1"/>
        <v>1296057301</v>
      </c>
    </row>
    <row r="35" spans="2:23" ht="15" customHeight="1" x14ac:dyDescent="0.4">
      <c r="B35" s="1543" t="s">
        <v>1788</v>
      </c>
      <c r="C35" s="1632">
        <v>6458775506</v>
      </c>
      <c r="D35" s="1632"/>
      <c r="E35" s="1603">
        <f t="shared" si="0"/>
        <v>6458775506</v>
      </c>
      <c r="F35" s="1630">
        <v>1168052853</v>
      </c>
      <c r="G35" s="1632"/>
      <c r="H35" s="1603">
        <f t="shared" si="1"/>
        <v>1168052853</v>
      </c>
    </row>
    <row r="36" spans="2:23" ht="15" customHeight="1" x14ac:dyDescent="0.4">
      <c r="B36" s="1543" t="s">
        <v>1165</v>
      </c>
      <c r="C36" s="1632">
        <v>6342358824</v>
      </c>
      <c r="D36" s="1632"/>
      <c r="E36" s="1603">
        <f t="shared" si="0"/>
        <v>6342358824</v>
      </c>
      <c r="F36" s="1630">
        <v>11473580313</v>
      </c>
      <c r="G36" s="1632"/>
      <c r="H36" s="1603">
        <f t="shared" si="1"/>
        <v>11473580313</v>
      </c>
    </row>
    <row r="37" spans="2:23" ht="15" customHeight="1" x14ac:dyDescent="0.4">
      <c r="B37" s="1543" t="s">
        <v>407</v>
      </c>
      <c r="C37" s="1633">
        <v>6277689385</v>
      </c>
      <c r="D37" s="1603"/>
      <c r="E37" s="1603">
        <f t="shared" si="0"/>
        <v>6277689385</v>
      </c>
      <c r="F37" s="1630">
        <v>0</v>
      </c>
      <c r="G37" s="1604"/>
      <c r="H37" s="1603">
        <f t="shared" si="1"/>
        <v>0</v>
      </c>
    </row>
    <row r="38" spans="2:23" ht="15" customHeight="1" x14ac:dyDescent="0.4">
      <c r="B38" s="1543" t="s">
        <v>393</v>
      </c>
      <c r="C38" s="1632">
        <v>6268137397</v>
      </c>
      <c r="D38" s="1632"/>
      <c r="E38" s="1603">
        <f t="shared" si="0"/>
        <v>6268137397</v>
      </c>
      <c r="F38" s="1630">
        <v>1730630270</v>
      </c>
      <c r="G38" s="1632"/>
      <c r="H38" s="1603">
        <f t="shared" si="1"/>
        <v>1730630270</v>
      </c>
    </row>
    <row r="39" spans="2:23" ht="15" customHeight="1" x14ac:dyDescent="0.4">
      <c r="B39" s="1543" t="s">
        <v>480</v>
      </c>
      <c r="C39" s="1632">
        <v>6076797218</v>
      </c>
      <c r="D39" s="1632"/>
      <c r="E39" s="1603">
        <f t="shared" si="0"/>
        <v>6076797218</v>
      </c>
      <c r="F39" s="1630">
        <v>3151844059</v>
      </c>
      <c r="G39" s="1632"/>
      <c r="H39" s="1603">
        <f t="shared" si="1"/>
        <v>3151844059</v>
      </c>
    </row>
    <row r="40" spans="2:23" ht="15" customHeight="1" x14ac:dyDescent="0.4">
      <c r="B40" s="1543" t="s">
        <v>2165</v>
      </c>
      <c r="C40" s="1632">
        <v>5948300738</v>
      </c>
      <c r="D40" s="1632"/>
      <c r="E40" s="1603">
        <f t="shared" si="0"/>
        <v>5948300738</v>
      </c>
      <c r="F40" s="1630">
        <v>0</v>
      </c>
      <c r="G40" s="1632"/>
      <c r="H40" s="1603">
        <f t="shared" si="1"/>
        <v>0</v>
      </c>
    </row>
    <row r="41" spans="2:23" ht="15" customHeight="1" x14ac:dyDescent="0.4">
      <c r="B41" s="1543" t="s">
        <v>2164</v>
      </c>
      <c r="C41" s="1633">
        <v>5807625056</v>
      </c>
      <c r="D41" s="1603"/>
      <c r="E41" s="1603">
        <f t="shared" si="0"/>
        <v>5807625056</v>
      </c>
      <c r="F41" s="1630">
        <v>0</v>
      </c>
      <c r="G41" s="1604"/>
      <c r="H41" s="1603">
        <f t="shared" si="1"/>
        <v>0</v>
      </c>
    </row>
    <row r="42" spans="2:23" ht="15" customHeight="1" x14ac:dyDescent="0.4">
      <c r="B42" s="1543" t="s">
        <v>1170</v>
      </c>
      <c r="C42" s="1632">
        <v>5294662973</v>
      </c>
      <c r="D42" s="1632"/>
      <c r="E42" s="1603">
        <f t="shared" si="0"/>
        <v>5294662973</v>
      </c>
      <c r="F42" s="1630">
        <v>3358922367</v>
      </c>
      <c r="G42" s="1632"/>
      <c r="H42" s="1603">
        <f t="shared" si="1"/>
        <v>3358922367</v>
      </c>
    </row>
    <row r="43" spans="2:23" ht="15" customHeight="1" x14ac:dyDescent="0.4">
      <c r="B43" s="1543" t="s">
        <v>477</v>
      </c>
      <c r="C43" s="1632">
        <v>5273780341</v>
      </c>
      <c r="D43" s="1632"/>
      <c r="E43" s="1603">
        <f t="shared" si="0"/>
        <v>5273780341</v>
      </c>
      <c r="F43" s="1630">
        <v>17810182116</v>
      </c>
      <c r="G43" s="1632"/>
      <c r="H43" s="1603">
        <f t="shared" si="1"/>
        <v>17810182116</v>
      </c>
    </row>
    <row r="44" spans="2:23" ht="15" customHeight="1" x14ac:dyDescent="0.4">
      <c r="B44" s="1543" t="s">
        <v>1413</v>
      </c>
      <c r="C44" s="1633">
        <v>4857757400</v>
      </c>
      <c r="D44" s="1631"/>
      <c r="E44" s="1603">
        <f t="shared" si="0"/>
        <v>4857757400</v>
      </c>
      <c r="F44" s="1630">
        <v>2445763321</v>
      </c>
      <c r="G44" s="1631"/>
      <c r="H44" s="1603">
        <f t="shared" si="1"/>
        <v>2445763321</v>
      </c>
    </row>
    <row r="45" spans="2:23" ht="15" customHeight="1" x14ac:dyDescent="0.4">
      <c r="B45" s="1543" t="s">
        <v>485</v>
      </c>
      <c r="C45" s="1632">
        <v>4641272135</v>
      </c>
      <c r="D45" s="1632"/>
      <c r="E45" s="1603">
        <f t="shared" si="0"/>
        <v>4641272135</v>
      </c>
      <c r="F45" s="1630">
        <v>182521174</v>
      </c>
      <c r="G45" s="1632"/>
      <c r="H45" s="1603">
        <f t="shared" si="1"/>
        <v>182521174</v>
      </c>
    </row>
    <row r="46" spans="2:23" ht="15" customHeight="1" x14ac:dyDescent="0.4">
      <c r="B46" s="1543" t="s">
        <v>1442</v>
      </c>
      <c r="C46" s="1633">
        <v>4474155159</v>
      </c>
      <c r="D46" s="1603">
        <v>132577370</v>
      </c>
      <c r="E46" s="1603">
        <f t="shared" si="0"/>
        <v>4606732529</v>
      </c>
      <c r="F46" s="1630">
        <v>3255655677</v>
      </c>
      <c r="G46" s="1603">
        <v>132577370</v>
      </c>
      <c r="H46" s="1603">
        <f t="shared" si="1"/>
        <v>3388233047</v>
      </c>
    </row>
    <row r="47" spans="2:23" ht="15" customHeight="1" x14ac:dyDescent="0.4">
      <c r="B47" s="1543" t="s">
        <v>1095</v>
      </c>
      <c r="C47" s="1633">
        <v>3952401194</v>
      </c>
      <c r="D47" s="1603"/>
      <c r="E47" s="1603">
        <f t="shared" si="0"/>
        <v>3952401194</v>
      </c>
      <c r="F47" s="1630">
        <v>2757702007</v>
      </c>
      <c r="G47" s="1604"/>
      <c r="H47" s="1603">
        <f t="shared" si="1"/>
        <v>2757702007</v>
      </c>
    </row>
    <row r="48" spans="2:23" ht="15" customHeight="1" x14ac:dyDescent="0.4">
      <c r="B48" s="1543" t="s">
        <v>2167</v>
      </c>
      <c r="C48" s="1633">
        <v>3850421260</v>
      </c>
      <c r="D48" s="1603"/>
      <c r="E48" s="1603">
        <f t="shared" si="0"/>
        <v>3850421260</v>
      </c>
      <c r="F48" s="1634"/>
      <c r="G48" s="1604"/>
      <c r="H48" s="1603">
        <f t="shared" si="1"/>
        <v>0</v>
      </c>
    </row>
    <row r="49" spans="1:25" ht="15" customHeight="1" x14ac:dyDescent="0.35">
      <c r="B49" s="383" t="s">
        <v>2192</v>
      </c>
      <c r="C49" s="1604">
        <v>106096083680</v>
      </c>
      <c r="D49" s="1603">
        <v>2600845458</v>
      </c>
      <c r="E49" s="1603">
        <f>C49+D49</f>
        <v>108696929138</v>
      </c>
      <c r="F49" s="1603">
        <v>129723778638</v>
      </c>
      <c r="G49" s="1603">
        <v>2600845458</v>
      </c>
      <c r="H49" s="1603">
        <f t="shared" si="1"/>
        <v>132324624096</v>
      </c>
    </row>
    <row r="50" spans="1:25" ht="12.6" customHeight="1" thickBot="1" x14ac:dyDescent="0.4">
      <c r="B50" s="1370" t="s">
        <v>386</v>
      </c>
      <c r="C50" s="1605">
        <f>'يادداشت 11 -سايربدهي_هاي_جاري'!K159</f>
        <v>694579114456</v>
      </c>
      <c r="D50" s="1606">
        <f>'يادداشت 11 -سايربدهي_هاي_جاري'!L159</f>
        <v>4636717546</v>
      </c>
      <c r="E50" s="1606">
        <f>'يادداشت 11 -سايربدهي_هاي_جاري'!M159</f>
        <v>699150190186</v>
      </c>
      <c r="F50" s="1606">
        <f>'يادداشت 11 -سايربدهي_هاي_جاري'!D159</f>
        <v>517867305379</v>
      </c>
      <c r="G50" s="1605">
        <f>'يادداشت 11 -سايربدهي_هاي_جاري'!E159</f>
        <v>4856507283</v>
      </c>
      <c r="H50" s="1607">
        <f>'يادداشت 11 -سايربدهي_هاي_جاري'!F159</f>
        <v>522723812662</v>
      </c>
    </row>
    <row r="51" spans="1:25" ht="13.9" customHeight="1" thickTop="1" x14ac:dyDescent="0.35">
      <c r="B51" s="740"/>
      <c r="C51" s="1608"/>
      <c r="D51" s="1608"/>
      <c r="E51" s="1608"/>
      <c r="F51" s="1608"/>
      <c r="G51" s="1608"/>
      <c r="H51" s="1608"/>
      <c r="T51" s="744">
        <f>SUM(C12:C48)</f>
        <v>588483079268</v>
      </c>
      <c r="U51" s="744">
        <f t="shared" ref="U51:Y51" si="2">SUM(D12:D48)</f>
        <v>2035872088</v>
      </c>
      <c r="V51" s="580">
        <f t="shared" si="2"/>
        <v>590518951356</v>
      </c>
      <c r="W51" s="580">
        <f t="shared" si="2"/>
        <v>388143463314</v>
      </c>
      <c r="X51" s="744">
        <f t="shared" si="2"/>
        <v>2255661825</v>
      </c>
      <c r="Y51" s="744">
        <f t="shared" si="2"/>
        <v>390399125139</v>
      </c>
    </row>
    <row r="52" spans="1:25" ht="18.75" x14ac:dyDescent="0.45">
      <c r="A52" s="3860">
        <v>84</v>
      </c>
      <c r="B52" s="3860"/>
      <c r="C52" s="3860"/>
      <c r="D52" s="3860"/>
      <c r="E52" s="3860"/>
      <c r="F52" s="3860"/>
      <c r="G52" s="3860"/>
      <c r="H52" s="3860"/>
      <c r="T52" s="721">
        <v>694579162948</v>
      </c>
      <c r="W52" s="580">
        <v>517867241952</v>
      </c>
    </row>
    <row r="53" spans="1:25" ht="24.6" customHeight="1" x14ac:dyDescent="0.35">
      <c r="A53" s="3895" t="s">
        <v>32</v>
      </c>
      <c r="B53" s="3895"/>
      <c r="C53" s="3895"/>
      <c r="D53" s="3895"/>
      <c r="E53" s="3895"/>
      <c r="F53" s="3895"/>
      <c r="G53" s="3895"/>
      <c r="H53" s="3895"/>
      <c r="I53" s="3895"/>
      <c r="T53" s="744">
        <f>T52-T51</f>
        <v>106096083680</v>
      </c>
      <c r="W53" s="580">
        <f>W52-W51</f>
        <v>129723778638</v>
      </c>
    </row>
    <row r="54" spans="1:25" ht="24.6" customHeight="1" x14ac:dyDescent="0.35">
      <c r="A54" s="3895" t="s">
        <v>45</v>
      </c>
      <c r="B54" s="3895"/>
      <c r="C54" s="3895"/>
      <c r="D54" s="3895"/>
      <c r="E54" s="3895"/>
      <c r="F54" s="3895"/>
      <c r="G54" s="3895"/>
      <c r="H54" s="3895"/>
      <c r="I54" s="3895"/>
      <c r="T54" s="744">
        <f>T53+T51</f>
        <v>694579162948</v>
      </c>
    </row>
    <row r="55" spans="1:25" ht="24.6" customHeight="1" x14ac:dyDescent="0.35">
      <c r="A55" s="3895" t="s">
        <v>46</v>
      </c>
      <c r="B55" s="3895"/>
      <c r="C55" s="3895"/>
      <c r="D55" s="3895"/>
      <c r="E55" s="3895"/>
      <c r="F55" s="3895"/>
      <c r="G55" s="3895"/>
      <c r="H55" s="3895"/>
      <c r="I55" s="3895"/>
      <c r="T55" s="744">
        <f>SUM(D12:D49)</f>
        <v>4636717546</v>
      </c>
      <c r="U55" s="744">
        <f t="shared" ref="U55:W55" si="3">SUM(E12:E49)</f>
        <v>699215880494</v>
      </c>
      <c r="V55" s="744"/>
      <c r="W55" s="744">
        <f t="shared" si="3"/>
        <v>4856507283</v>
      </c>
    </row>
    <row r="56" spans="1:25" ht="24.6" customHeight="1" x14ac:dyDescent="0.35">
      <c r="A56" s="3897" t="s">
        <v>1390</v>
      </c>
      <c r="B56" s="3897"/>
      <c r="C56" s="3897"/>
      <c r="D56" s="3897"/>
      <c r="E56" s="3897"/>
      <c r="F56" s="3897"/>
      <c r="G56" s="3897"/>
      <c r="H56" s="3897"/>
      <c r="I56" s="3897"/>
    </row>
    <row r="57" spans="1:25" ht="6.75" customHeight="1" x14ac:dyDescent="0.35"/>
    <row r="58" spans="1:25" ht="6.75" customHeight="1" x14ac:dyDescent="0.35"/>
    <row r="59" spans="1:25" ht="6.75" customHeight="1" x14ac:dyDescent="0.35"/>
    <row r="60" spans="1:25" ht="6.75" customHeight="1" x14ac:dyDescent="0.35"/>
    <row r="61" spans="1:25" ht="6.75" customHeight="1" x14ac:dyDescent="0.35"/>
    <row r="62" spans="1:25" ht="19.899999999999999" customHeight="1" x14ac:dyDescent="0.35">
      <c r="A62" s="3931" t="s">
        <v>1347</v>
      </c>
      <c r="B62" s="3931"/>
      <c r="C62" s="3931"/>
      <c r="D62" s="3931"/>
      <c r="E62" s="3931"/>
      <c r="F62" s="3931"/>
      <c r="G62" s="3931"/>
      <c r="H62" s="3931"/>
    </row>
    <row r="63" spans="1:25" ht="60" customHeight="1" x14ac:dyDescent="0.35">
      <c r="A63" s="3931"/>
      <c r="B63" s="3931"/>
      <c r="C63" s="3931"/>
      <c r="D63" s="3931"/>
      <c r="E63" s="3931"/>
      <c r="F63" s="3931"/>
      <c r="G63" s="3931"/>
      <c r="H63" s="3931"/>
    </row>
    <row r="64" spans="1:25" ht="34.15" customHeight="1" x14ac:dyDescent="0.35">
      <c r="A64" s="1371"/>
      <c r="B64" s="1371"/>
      <c r="C64" s="1609"/>
      <c r="D64" s="1609"/>
      <c r="E64" s="1609"/>
      <c r="F64" s="1609"/>
      <c r="G64" s="1609"/>
      <c r="H64" s="1609"/>
    </row>
    <row r="65" spans="1:20" ht="39" customHeight="1" x14ac:dyDescent="0.35">
      <c r="A65" s="3930" t="s">
        <v>1895</v>
      </c>
      <c r="B65" s="3930"/>
      <c r="C65" s="3930"/>
      <c r="D65" s="3930"/>
      <c r="E65" s="3930"/>
      <c r="F65" s="3930"/>
      <c r="G65" s="3930"/>
      <c r="H65" s="1609"/>
    </row>
    <row r="66" spans="1:20" ht="60" customHeight="1" x14ac:dyDescent="0.35">
      <c r="A66" s="3930" t="s">
        <v>1905</v>
      </c>
      <c r="B66" s="3930"/>
      <c r="C66" s="3930"/>
      <c r="D66" s="3930"/>
      <c r="E66" s="3930"/>
      <c r="F66" s="3930"/>
      <c r="G66" s="3930"/>
      <c r="H66" s="3930"/>
    </row>
    <row r="67" spans="1:20" ht="28.15" customHeight="1" x14ac:dyDescent="0.35">
      <c r="A67" s="3930" t="s">
        <v>1882</v>
      </c>
      <c r="B67" s="3930"/>
      <c r="C67" s="3930"/>
      <c r="D67" s="3930"/>
      <c r="E67" s="3930"/>
      <c r="F67" s="3930"/>
      <c r="G67" s="3930"/>
    </row>
    <row r="68" spans="1:20" ht="24" customHeight="1" x14ac:dyDescent="0.35">
      <c r="A68" s="982"/>
      <c r="B68" s="982"/>
      <c r="C68" s="1610"/>
      <c r="D68" s="1610"/>
      <c r="E68" s="1610"/>
      <c r="F68" s="1610"/>
      <c r="G68" s="3932" t="s">
        <v>194</v>
      </c>
      <c r="H68" s="3932"/>
    </row>
    <row r="69" spans="1:20" ht="36.6" customHeight="1" x14ac:dyDescent="0.35">
      <c r="A69" s="438"/>
      <c r="B69" s="486" t="s">
        <v>1896</v>
      </c>
      <c r="C69" s="1611"/>
      <c r="D69" s="3929" t="s">
        <v>1136</v>
      </c>
      <c r="E69" s="3929"/>
      <c r="F69" s="3929"/>
      <c r="G69" s="1600"/>
      <c r="H69" s="1612" t="s">
        <v>1897</v>
      </c>
      <c r="I69" s="1613"/>
      <c r="J69" s="1613"/>
      <c r="K69" s="1613"/>
      <c r="L69" s="437"/>
      <c r="M69" s="437"/>
      <c r="N69" s="437"/>
      <c r="O69" s="437"/>
      <c r="P69" s="437"/>
      <c r="Q69" s="437"/>
      <c r="R69" s="437"/>
      <c r="S69" s="437"/>
    </row>
    <row r="70" spans="1:20" ht="21.6" customHeight="1" x14ac:dyDescent="0.35">
      <c r="B70" s="439"/>
      <c r="C70" s="1614"/>
      <c r="D70" s="1615" t="s">
        <v>934</v>
      </c>
      <c r="E70" s="1616"/>
      <c r="F70" s="1615" t="s">
        <v>935</v>
      </c>
      <c r="G70" s="1611"/>
      <c r="H70" s="1615"/>
      <c r="I70" s="1600"/>
    </row>
    <row r="71" spans="1:20" ht="21.6" customHeight="1" thickBot="1" x14ac:dyDescent="0.45">
      <c r="B71" s="440">
        <v>473143077367</v>
      </c>
      <c r="C71" s="1617"/>
      <c r="D71" s="1618">
        <f>839663622320-134588040000</f>
        <v>705075582320</v>
      </c>
      <c r="E71" s="1615"/>
      <c r="F71" s="1619">
        <f>669945005780</f>
        <v>669945005780</v>
      </c>
      <c r="G71" s="1613"/>
      <c r="H71" s="1618">
        <f>642861694209-134588040000</f>
        <v>508273654209</v>
      </c>
      <c r="I71" s="1600"/>
    </row>
    <row r="72" spans="1:20" ht="21.6" customHeight="1" thickTop="1" x14ac:dyDescent="0.35">
      <c r="B72" s="179"/>
      <c r="C72" s="1620"/>
      <c r="D72" s="1621" t="s">
        <v>1370</v>
      </c>
      <c r="E72" s="1614"/>
      <c r="F72" s="1621" t="s">
        <v>1370</v>
      </c>
      <c r="G72" s="1611"/>
      <c r="H72" s="1611"/>
      <c r="I72" s="1600"/>
      <c r="T72" s="361">
        <f>B71+D71-F71</f>
        <v>508273653907</v>
      </c>
    </row>
    <row r="73" spans="1:20" ht="18.75" x14ac:dyDescent="0.35">
      <c r="B73" s="485"/>
      <c r="C73" s="1620"/>
      <c r="D73" s="1622"/>
      <c r="E73" s="1614"/>
      <c r="F73" s="1623"/>
      <c r="G73" s="1623"/>
      <c r="H73" s="1621"/>
      <c r="I73" s="1600"/>
      <c r="J73" s="1624"/>
      <c r="K73" s="1624"/>
      <c r="L73" s="441"/>
      <c r="M73" s="441"/>
      <c r="N73" s="441"/>
      <c r="O73" s="441"/>
      <c r="P73" s="441"/>
      <c r="Q73" s="441"/>
      <c r="R73" s="441"/>
      <c r="S73" s="441"/>
    </row>
    <row r="74" spans="1:20" ht="18.75" x14ac:dyDescent="0.35">
      <c r="B74" s="498"/>
      <c r="C74" s="1625"/>
      <c r="D74" s="1626"/>
      <c r="E74" s="1614"/>
      <c r="F74" s="1624"/>
      <c r="G74" s="1624"/>
      <c r="H74" s="1627"/>
      <c r="I74" s="1600"/>
      <c r="J74" s="1624"/>
      <c r="K74" s="1624"/>
      <c r="L74" s="441"/>
      <c r="M74" s="441"/>
      <c r="N74" s="441"/>
      <c r="O74" s="441"/>
      <c r="P74" s="441"/>
      <c r="Q74" s="441"/>
      <c r="R74" s="441"/>
      <c r="S74" s="441"/>
      <c r="T74" s="361">
        <f>B71+D74-F74</f>
        <v>473143077367</v>
      </c>
    </row>
    <row r="75" spans="1:20" ht="7.5" customHeight="1" x14ac:dyDescent="0.35">
      <c r="I75" s="1628"/>
      <c r="J75" s="1628"/>
      <c r="K75" s="1628"/>
      <c r="L75" s="442"/>
      <c r="M75" s="442"/>
      <c r="N75" s="442"/>
      <c r="O75" s="442"/>
      <c r="P75" s="442"/>
      <c r="Q75" s="442"/>
      <c r="R75" s="442"/>
      <c r="S75" s="442"/>
    </row>
    <row r="76" spans="1:20" ht="7.5" customHeight="1" x14ac:dyDescent="0.35"/>
    <row r="79" spans="1:20" ht="3.75" customHeight="1" x14ac:dyDescent="0.35"/>
    <row r="80" spans="1:20" ht="3.75" customHeight="1" x14ac:dyDescent="0.35"/>
    <row r="81" spans="1:19" ht="3.75" customHeight="1" x14ac:dyDescent="0.35"/>
    <row r="83" spans="1:19" ht="9.75" customHeight="1" x14ac:dyDescent="0.35"/>
    <row r="86" spans="1:19" ht="5.25" customHeight="1" x14ac:dyDescent="0.35"/>
    <row r="88" spans="1:19" ht="15.6" customHeight="1" x14ac:dyDescent="0.45">
      <c r="A88" s="3860">
        <v>85</v>
      </c>
      <c r="B88" s="3860"/>
      <c r="C88" s="3860"/>
      <c r="D88" s="3860"/>
      <c r="E88" s="3860"/>
      <c r="F88" s="3860"/>
      <c r="G88" s="3860"/>
      <c r="H88" s="3860"/>
      <c r="I88" s="1629"/>
      <c r="J88" s="1629"/>
      <c r="K88" s="1629"/>
      <c r="L88" s="182"/>
      <c r="M88" s="182"/>
      <c r="N88" s="182"/>
      <c r="O88" s="182"/>
      <c r="P88" s="182"/>
      <c r="Q88" s="182"/>
      <c r="R88" s="182"/>
      <c r="S88" s="182"/>
    </row>
  </sheetData>
  <mergeCells count="27">
    <mergeCell ref="A88:H88"/>
    <mergeCell ref="A54:I54"/>
    <mergeCell ref="A55:I55"/>
    <mergeCell ref="A56:I56"/>
    <mergeCell ref="D69:F69"/>
    <mergeCell ref="A67:G67"/>
    <mergeCell ref="A62:H63"/>
    <mergeCell ref="G68:H68"/>
    <mergeCell ref="A66:H66"/>
    <mergeCell ref="A65:G65"/>
    <mergeCell ref="B1:J1"/>
    <mergeCell ref="B2:J2"/>
    <mergeCell ref="B3:J3"/>
    <mergeCell ref="B4:J4"/>
    <mergeCell ref="B6:E6"/>
    <mergeCell ref="A52:H52"/>
    <mergeCell ref="A53:I53"/>
    <mergeCell ref="G7:H7"/>
    <mergeCell ref="B8:B11"/>
    <mergeCell ref="F8:H9"/>
    <mergeCell ref="C8:E9"/>
    <mergeCell ref="F10:F11"/>
    <mergeCell ref="C10:C11"/>
    <mergeCell ref="D10:D11"/>
    <mergeCell ref="G10:G11"/>
    <mergeCell ref="H10:H11"/>
    <mergeCell ref="E10:E11"/>
  </mergeCells>
  <printOptions horizontalCentered="1" verticalCentered="1"/>
  <pageMargins left="0.70866141732283505" right="0.70866141732283505" top="0.74803149606299202" bottom="0.74803149606299202" header="0.31496062992126" footer="0.31496062992126"/>
  <pageSetup scale="93" orientation="portrait" r:id="rId1"/>
  <rowBreaks count="1" manualBreakCount="1">
    <brk id="52"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S44"/>
  <sheetViews>
    <sheetView rightToLeft="1" view="pageBreakPreview" topLeftCell="A28" zoomScale="107" zoomScaleNormal="100" zoomScaleSheetLayoutView="107" workbookViewId="0">
      <selection activeCell="F24" sqref="F24"/>
    </sheetView>
  </sheetViews>
  <sheetFormatPr defaultColWidth="9.140625" defaultRowHeight="15" x14ac:dyDescent="0.2"/>
  <cols>
    <col min="1" max="1" width="3.7109375" style="41" customWidth="1"/>
    <col min="2" max="2" width="40.5703125" style="42" customWidth="1"/>
    <col min="3" max="3" width="1.28515625" style="41" customWidth="1"/>
    <col min="4" max="4" width="8.140625" style="41" customWidth="1"/>
    <col min="5" max="5" width="1.42578125" style="41" customWidth="1"/>
    <col min="6" max="6" width="4" style="41" customWidth="1"/>
    <col min="7" max="7" width="7" style="41" customWidth="1"/>
    <col min="8" max="8" width="4" style="41" customWidth="1"/>
    <col min="9" max="9" width="1.42578125" style="41" customWidth="1"/>
    <col min="10" max="10" width="4" style="41" customWidth="1"/>
    <col min="11" max="11" width="7" style="41" customWidth="1"/>
    <col min="12" max="12" width="4" style="41" customWidth="1"/>
    <col min="13" max="14" width="9.140625" style="41" customWidth="1"/>
    <col min="15" max="15" width="14.85546875" style="41" customWidth="1"/>
    <col min="16" max="16" width="9.140625" style="41" customWidth="1"/>
    <col min="17" max="16384" width="9.140625" style="41"/>
  </cols>
  <sheetData>
    <row r="1" spans="1:19" ht="20.45" customHeight="1" x14ac:dyDescent="0.2">
      <c r="B1" s="3054" t="s">
        <v>24</v>
      </c>
      <c r="C1" s="3054"/>
      <c r="D1" s="3054"/>
      <c r="E1" s="3054"/>
      <c r="F1" s="3054"/>
      <c r="G1" s="3054"/>
      <c r="H1" s="3054"/>
      <c r="I1" s="3054"/>
      <c r="J1" s="3054"/>
      <c r="K1" s="3054"/>
      <c r="L1" s="3054"/>
    </row>
    <row r="2" spans="1:19" ht="20.45" customHeight="1" x14ac:dyDescent="0.2">
      <c r="B2" s="3054" t="s">
        <v>1</v>
      </c>
      <c r="C2" s="3054"/>
      <c r="D2" s="3054"/>
      <c r="E2" s="3054"/>
      <c r="F2" s="3054"/>
      <c r="G2" s="3054"/>
      <c r="H2" s="3054"/>
      <c r="I2" s="3054"/>
      <c r="J2" s="3054"/>
      <c r="K2" s="3054"/>
      <c r="L2" s="3054"/>
    </row>
    <row r="3" spans="1:19" ht="20.45" customHeight="1" x14ac:dyDescent="0.2">
      <c r="B3" s="3054" t="s">
        <v>25</v>
      </c>
      <c r="C3" s="3054"/>
      <c r="D3" s="3054"/>
      <c r="E3" s="3054"/>
      <c r="F3" s="3054"/>
      <c r="G3" s="3054"/>
      <c r="H3" s="3054"/>
      <c r="I3" s="3054"/>
      <c r="J3" s="3054"/>
      <c r="K3" s="3054"/>
      <c r="L3" s="3054"/>
    </row>
    <row r="4" spans="1:19" ht="20.45" customHeight="1" x14ac:dyDescent="0.45">
      <c r="B4" s="3077" t="s">
        <v>1381</v>
      </c>
      <c r="C4" s="3077"/>
      <c r="D4" s="3077"/>
      <c r="E4" s="3077"/>
      <c r="F4" s="3077"/>
      <c r="G4" s="3077"/>
      <c r="H4" s="3077"/>
      <c r="I4" s="3077"/>
      <c r="J4" s="3077"/>
      <c r="K4" s="3077"/>
      <c r="L4" s="3077"/>
    </row>
    <row r="5" spans="1:19" ht="48" customHeight="1" x14ac:dyDescent="0.55000000000000004">
      <c r="O5" s="43"/>
      <c r="P5" s="43"/>
      <c r="Q5" s="43"/>
      <c r="R5" s="43"/>
      <c r="S5" s="43"/>
    </row>
    <row r="6" spans="1:19" ht="18" customHeight="1" x14ac:dyDescent="0.55000000000000004">
      <c r="J6" s="3079" t="s">
        <v>1193</v>
      </c>
      <c r="K6" s="3079"/>
      <c r="L6" s="3079"/>
      <c r="O6" s="43"/>
      <c r="P6" s="43"/>
      <c r="Q6" s="43"/>
      <c r="R6" s="43"/>
      <c r="S6" s="43"/>
    </row>
    <row r="7" spans="1:19" ht="15.75" x14ac:dyDescent="0.2">
      <c r="J7" s="3078"/>
      <c r="K7" s="3078"/>
      <c r="L7" s="3078"/>
    </row>
    <row r="8" spans="1:19" s="938" customFormat="1" ht="18.75" x14ac:dyDescent="0.2">
      <c r="A8" s="936"/>
      <c r="B8" s="44"/>
      <c r="C8" s="936"/>
      <c r="D8" s="946" t="s">
        <v>9</v>
      </c>
      <c r="E8" s="936"/>
      <c r="F8" s="3074" t="s">
        <v>1382</v>
      </c>
      <c r="G8" s="3074"/>
      <c r="H8" s="3074"/>
      <c r="I8" s="936"/>
      <c r="J8" s="3074" t="s">
        <v>1149</v>
      </c>
      <c r="K8" s="3074"/>
      <c r="L8" s="3074"/>
    </row>
    <row r="9" spans="1:19" s="938" customFormat="1" ht="18.75" x14ac:dyDescent="0.2">
      <c r="A9" s="936"/>
      <c r="B9" s="936"/>
      <c r="C9" s="936"/>
      <c r="D9" s="936"/>
      <c r="E9" s="936"/>
      <c r="F9" s="3075"/>
      <c r="G9" s="3075"/>
      <c r="H9" s="3075"/>
      <c r="I9" s="936"/>
      <c r="J9" s="3075"/>
      <c r="K9" s="3075"/>
      <c r="L9" s="3075"/>
    </row>
    <row r="10" spans="1:19" ht="15" customHeight="1" x14ac:dyDescent="0.2">
      <c r="A10" s="942"/>
      <c r="B10" s="36" t="s">
        <v>26</v>
      </c>
      <c r="C10" s="942"/>
      <c r="D10" s="942"/>
      <c r="E10" s="942"/>
      <c r="F10" s="942"/>
      <c r="G10" s="942"/>
      <c r="H10" s="942"/>
      <c r="I10" s="942"/>
      <c r="J10" s="942"/>
      <c r="K10" s="942"/>
      <c r="L10" s="942"/>
    </row>
    <row r="11" spans="1:19" ht="8.25" customHeight="1" x14ac:dyDescent="0.4">
      <c r="A11" s="942"/>
      <c r="B11" s="44"/>
      <c r="C11" s="942"/>
      <c r="D11" s="942"/>
      <c r="E11" s="942"/>
      <c r="F11" s="944"/>
      <c r="G11" s="944"/>
      <c r="H11" s="944"/>
      <c r="I11" s="944"/>
      <c r="J11" s="944"/>
      <c r="K11" s="944"/>
      <c r="L11" s="944"/>
    </row>
    <row r="12" spans="1:19" ht="25.9" customHeight="1" x14ac:dyDescent="0.4">
      <c r="A12" s="942"/>
      <c r="B12" s="3076" t="s">
        <v>1942</v>
      </c>
      <c r="C12" s="3076"/>
      <c r="D12" s="318" t="s">
        <v>1814</v>
      </c>
      <c r="E12" s="942"/>
      <c r="F12" s="3071">
        <f>'يادداشت 1-13وجوهدريافتي ازخزانه'!AB54</f>
        <v>6273239000000</v>
      </c>
      <c r="G12" s="3071"/>
      <c r="H12" s="3071"/>
      <c r="I12" s="944"/>
      <c r="J12" s="3071">
        <v>3626040000000</v>
      </c>
      <c r="K12" s="3071"/>
      <c r="L12" s="3071"/>
    </row>
    <row r="13" spans="1:19" ht="25.9" customHeight="1" x14ac:dyDescent="0.4">
      <c r="A13" s="942"/>
      <c r="B13" s="947" t="s">
        <v>1276</v>
      </c>
      <c r="C13" s="947"/>
      <c r="D13" s="942">
        <v>13000000</v>
      </c>
      <c r="E13" s="942"/>
      <c r="F13" s="3071">
        <f>'يادداشت 14وجوه ساير (2)'!H25</f>
        <v>271494910293</v>
      </c>
      <c r="G13" s="3071"/>
      <c r="H13" s="3071"/>
      <c r="I13" s="944"/>
      <c r="J13" s="3071">
        <v>188495211531</v>
      </c>
      <c r="K13" s="3071"/>
      <c r="L13" s="3071"/>
    </row>
    <row r="14" spans="1:19" ht="25.9" customHeight="1" x14ac:dyDescent="0.2">
      <c r="A14" s="942"/>
      <c r="B14" s="947" t="s">
        <v>1199</v>
      </c>
      <c r="C14" s="942"/>
      <c r="D14" s="942">
        <v>14000000</v>
      </c>
      <c r="E14" s="942"/>
      <c r="F14" s="3063">
        <f>'يادداشت 15سایر درآمد ها و انتقا'!H11</f>
        <v>12064384280480</v>
      </c>
      <c r="G14" s="3063"/>
      <c r="H14" s="3063"/>
      <c r="I14" s="942"/>
      <c r="J14" s="3063">
        <v>7671978000000</v>
      </c>
      <c r="K14" s="3063"/>
      <c r="L14" s="3063"/>
      <c r="O14" s="41">
        <v>9777973286857</v>
      </c>
    </row>
    <row r="15" spans="1:19" ht="25.9" customHeight="1" x14ac:dyDescent="0.4">
      <c r="A15" s="942"/>
      <c r="B15" s="45" t="s">
        <v>1943</v>
      </c>
      <c r="C15" s="942"/>
      <c r="D15" s="942"/>
      <c r="E15" s="942"/>
      <c r="F15" s="3071">
        <f>SUM(F12:H14)-1000000</f>
        <v>18609117190773</v>
      </c>
      <c r="G15" s="3071"/>
      <c r="H15" s="3071"/>
      <c r="I15" s="944"/>
      <c r="J15" s="3071">
        <v>11486513211531</v>
      </c>
      <c r="K15" s="3071"/>
      <c r="L15" s="3071"/>
    </row>
    <row r="16" spans="1:19" ht="8.4499999999999993" customHeight="1" x14ac:dyDescent="0.4">
      <c r="A16" s="942"/>
      <c r="B16" s="947"/>
      <c r="C16" s="942"/>
      <c r="D16" s="942"/>
      <c r="E16" s="942"/>
      <c r="F16" s="944"/>
      <c r="G16" s="944"/>
      <c r="H16" s="944"/>
      <c r="I16" s="944"/>
      <c r="J16" s="944"/>
      <c r="K16" s="944"/>
      <c r="L16" s="944"/>
      <c r="O16" s="41">
        <v>270380000000</v>
      </c>
    </row>
    <row r="17" spans="1:15" ht="18.75" x14ac:dyDescent="0.4">
      <c r="A17" s="942"/>
      <c r="B17" s="36" t="s">
        <v>28</v>
      </c>
      <c r="C17" s="942"/>
      <c r="D17" s="942"/>
      <c r="E17" s="942"/>
      <c r="F17" s="944"/>
      <c r="G17" s="944"/>
      <c r="H17" s="944"/>
      <c r="I17" s="944"/>
      <c r="J17" s="944"/>
      <c r="K17" s="944"/>
      <c r="L17" s="944"/>
      <c r="O17" s="41">
        <v>11486514000000</v>
      </c>
    </row>
    <row r="18" spans="1:15" ht="7.5" customHeight="1" x14ac:dyDescent="0.2">
      <c r="A18" s="942"/>
      <c r="B18" s="947"/>
      <c r="C18" s="942"/>
      <c r="D18" s="942"/>
      <c r="E18" s="942"/>
      <c r="F18" s="46"/>
      <c r="G18" s="46"/>
      <c r="H18" s="46"/>
      <c r="I18" s="46"/>
      <c r="J18" s="46"/>
      <c r="K18" s="46"/>
      <c r="L18" s="46"/>
    </row>
    <row r="19" spans="1:15" ht="18.600000000000001" customHeight="1" x14ac:dyDescent="0.2">
      <c r="A19" s="942"/>
      <c r="B19" s="947" t="s">
        <v>1944</v>
      </c>
      <c r="C19" s="942"/>
      <c r="D19" s="942">
        <v>15000000</v>
      </c>
      <c r="E19" s="942"/>
      <c r="F19" s="3063">
        <f>'يادداشت 17 ارزش خالص'!W565</f>
        <v>-198367000000</v>
      </c>
      <c r="G19" s="3063"/>
      <c r="H19" s="3063"/>
      <c r="I19" s="46"/>
      <c r="J19" s="3063">
        <v>-183500723598</v>
      </c>
      <c r="K19" s="3063"/>
      <c r="L19" s="3063"/>
      <c r="O19" s="41">
        <v>9526662000000</v>
      </c>
    </row>
    <row r="20" spans="1:15" ht="23.45" customHeight="1" x14ac:dyDescent="0.2">
      <c r="A20" s="942"/>
      <c r="B20" s="947" t="s">
        <v>1945</v>
      </c>
      <c r="C20" s="942"/>
      <c r="D20" s="942"/>
      <c r="E20" s="942"/>
      <c r="F20" s="3069">
        <f>SUM(F15:H19)</f>
        <v>18410750190773</v>
      </c>
      <c r="G20" s="3069"/>
      <c r="H20" s="3069"/>
      <c r="I20" s="46"/>
      <c r="J20" s="3069">
        <f>SUM(J15:L19)</f>
        <v>11303012487933</v>
      </c>
      <c r="K20" s="3069"/>
      <c r="L20" s="3069"/>
    </row>
    <row r="21" spans="1:15" ht="8.4499999999999993" customHeight="1" x14ac:dyDescent="0.2">
      <c r="A21" s="942"/>
      <c r="B21" s="947"/>
      <c r="C21" s="942"/>
      <c r="D21" s="942"/>
      <c r="E21" s="942"/>
      <c r="F21" s="942"/>
      <c r="G21" s="942"/>
      <c r="H21" s="942"/>
      <c r="I21" s="46"/>
      <c r="J21" s="942"/>
      <c r="K21" s="942"/>
      <c r="L21" s="942"/>
    </row>
    <row r="22" spans="1:15" ht="15" customHeight="1" x14ac:dyDescent="0.2">
      <c r="A22" s="942"/>
      <c r="B22" s="947" t="s">
        <v>584</v>
      </c>
      <c r="C22" s="942"/>
      <c r="D22" s="942">
        <v>16000000</v>
      </c>
      <c r="E22" s="942"/>
      <c r="F22" s="3067">
        <f>'يادداشت 17 ارزش خالص'!P565</f>
        <v>-1582060020</v>
      </c>
      <c r="G22" s="3067"/>
      <c r="H22" s="3067"/>
      <c r="I22" s="941"/>
      <c r="J22" s="3068">
        <v>-4761511915</v>
      </c>
      <c r="K22" s="3068"/>
      <c r="L22" s="3068"/>
    </row>
    <row r="23" spans="1:15" ht="28.15" customHeight="1" thickBot="1" x14ac:dyDescent="0.25">
      <c r="A23" s="942"/>
      <c r="B23" s="947" t="s">
        <v>1946</v>
      </c>
      <c r="C23" s="942"/>
      <c r="D23" s="942"/>
      <c r="E23" s="942"/>
      <c r="F23" s="3073">
        <f>SUM(F20:H22)+2000000</f>
        <v>18409170130753</v>
      </c>
      <c r="G23" s="3073"/>
      <c r="H23" s="3073"/>
      <c r="I23" s="46"/>
      <c r="J23" s="3073">
        <f>SUM(J20:L22)-1000000</f>
        <v>11298249976018</v>
      </c>
      <c r="K23" s="3073"/>
      <c r="L23" s="3073"/>
      <c r="O23" s="41">
        <f>O19-J15</f>
        <v>-1959851211531</v>
      </c>
    </row>
    <row r="24" spans="1:15" ht="18.75" thickTop="1" x14ac:dyDescent="0.2">
      <c r="A24" s="942"/>
      <c r="B24" s="947"/>
      <c r="C24" s="942"/>
      <c r="D24" s="942"/>
      <c r="E24" s="942"/>
      <c r="F24" s="942"/>
      <c r="G24" s="942"/>
      <c r="H24" s="942"/>
      <c r="I24" s="942"/>
      <c r="J24" s="942"/>
      <c r="K24" s="942"/>
      <c r="L24" s="942"/>
    </row>
    <row r="25" spans="1:15" ht="11.45" customHeight="1" x14ac:dyDescent="0.2">
      <c r="A25" s="942"/>
      <c r="B25" s="947"/>
      <c r="C25" s="942"/>
      <c r="D25" s="942"/>
      <c r="E25" s="942"/>
      <c r="F25" s="942"/>
      <c r="G25" s="942"/>
      <c r="H25" s="942"/>
      <c r="I25" s="942"/>
      <c r="J25" s="942"/>
      <c r="K25" s="942"/>
      <c r="L25" s="942"/>
    </row>
    <row r="26" spans="1:15" ht="18.75" x14ac:dyDescent="0.2">
      <c r="A26" s="942"/>
      <c r="B26" s="3054"/>
      <c r="C26" s="3054"/>
      <c r="D26" s="3054"/>
      <c r="E26" s="3054"/>
      <c r="F26" s="3054"/>
      <c r="G26" s="3054"/>
      <c r="H26" s="3054"/>
      <c r="I26" s="3054"/>
      <c r="J26" s="3054"/>
      <c r="K26" s="3054"/>
      <c r="L26" s="3054"/>
    </row>
    <row r="27" spans="1:15" ht="9.75" customHeight="1" x14ac:dyDescent="0.2">
      <c r="A27" s="942"/>
      <c r="B27" s="947"/>
      <c r="C27" s="942"/>
      <c r="D27" s="942"/>
      <c r="E27" s="942"/>
      <c r="F27" s="942"/>
      <c r="G27" s="942"/>
      <c r="H27" s="942"/>
      <c r="I27" s="942"/>
      <c r="J27" s="942"/>
      <c r="K27" s="942"/>
      <c r="L27" s="942"/>
    </row>
    <row r="28" spans="1:15" ht="11.25" customHeight="1" x14ac:dyDescent="0.2">
      <c r="A28" s="942"/>
      <c r="B28" s="947"/>
      <c r="C28" s="942"/>
      <c r="D28" s="942"/>
      <c r="E28" s="942"/>
      <c r="F28" s="942"/>
      <c r="G28" s="942"/>
      <c r="H28" s="942"/>
      <c r="I28" s="942"/>
      <c r="J28" s="942"/>
      <c r="K28" s="942"/>
      <c r="L28" s="942"/>
    </row>
    <row r="29" spans="1:15" s="943" customFormat="1" ht="23.45" customHeight="1" x14ac:dyDescent="0.2">
      <c r="A29" s="942"/>
      <c r="B29" s="45"/>
      <c r="C29" s="942"/>
      <c r="D29" s="942"/>
      <c r="E29" s="942"/>
      <c r="F29" s="3064"/>
      <c r="G29" s="3064"/>
      <c r="H29" s="3064"/>
      <c r="I29" s="942"/>
      <c r="J29" s="3064"/>
      <c r="K29" s="3064"/>
      <c r="L29" s="3064"/>
    </row>
    <row r="30" spans="1:15" s="943" customFormat="1" ht="25.9" hidden="1" customHeight="1" x14ac:dyDescent="0.2">
      <c r="A30" s="942"/>
      <c r="B30" s="45"/>
      <c r="C30" s="942"/>
      <c r="D30" s="942"/>
      <c r="E30" s="942"/>
      <c r="F30" s="3064"/>
      <c r="G30" s="3064"/>
      <c r="H30" s="3064"/>
      <c r="I30" s="942"/>
      <c r="J30" s="3064"/>
      <c r="K30" s="3064"/>
      <c r="L30" s="3064"/>
    </row>
    <row r="31" spans="1:15" s="943" customFormat="1" ht="0.6" hidden="1" customHeight="1" x14ac:dyDescent="0.2">
      <c r="A31" s="942"/>
      <c r="B31" s="45"/>
      <c r="C31" s="942"/>
      <c r="D31" s="942"/>
      <c r="E31" s="942"/>
      <c r="F31" s="3066"/>
      <c r="G31" s="3066"/>
      <c r="H31" s="3066"/>
      <c r="I31" s="941"/>
      <c r="J31" s="3066"/>
      <c r="K31" s="3066"/>
      <c r="L31" s="3066"/>
    </row>
    <row r="32" spans="1:15" s="943" customFormat="1" ht="23.45" customHeight="1" x14ac:dyDescent="0.2">
      <c r="A32" s="942"/>
      <c r="B32" s="31"/>
      <c r="C32" s="942"/>
      <c r="D32" s="942"/>
      <c r="E32" s="942"/>
      <c r="F32" s="3064"/>
      <c r="G32" s="3064"/>
      <c r="H32" s="3064"/>
      <c r="I32" s="942"/>
      <c r="J32" s="3065"/>
      <c r="K32" s="3065"/>
      <c r="L32" s="3065"/>
    </row>
    <row r="33" spans="1:16" s="943" customFormat="1" ht="23.45" customHeight="1" x14ac:dyDescent="0.2">
      <c r="A33" s="942"/>
      <c r="B33" s="31"/>
      <c r="C33" s="942"/>
      <c r="D33" s="942"/>
      <c r="E33" s="942"/>
      <c r="F33" s="3064"/>
      <c r="G33" s="3064"/>
      <c r="H33" s="3064"/>
      <c r="I33" s="942"/>
      <c r="J33" s="3065"/>
      <c r="K33" s="3065"/>
      <c r="L33" s="3065"/>
    </row>
    <row r="34" spans="1:16" s="943" customFormat="1" ht="26.25" customHeight="1" x14ac:dyDescent="0.2">
      <c r="A34" s="942"/>
      <c r="B34" s="947"/>
      <c r="C34" s="942"/>
      <c r="D34" s="942"/>
      <c r="E34" s="942"/>
      <c r="F34" s="3064"/>
      <c r="G34" s="3064"/>
      <c r="H34" s="3064"/>
      <c r="I34" s="942"/>
      <c r="J34" s="3065"/>
      <c r="K34" s="3065"/>
      <c r="L34" s="3065"/>
    </row>
    <row r="35" spans="1:16" s="943" customFormat="1" ht="26.25" customHeight="1" x14ac:dyDescent="0.2">
      <c r="A35" s="942"/>
      <c r="B35" s="947"/>
      <c r="C35" s="942"/>
      <c r="D35" s="942"/>
      <c r="E35" s="942"/>
      <c r="F35" s="3064"/>
      <c r="G35" s="3064"/>
      <c r="H35" s="3064"/>
      <c r="I35" s="942"/>
      <c r="J35" s="3065"/>
      <c r="K35" s="3065"/>
      <c r="L35" s="3065"/>
    </row>
    <row r="36" spans="1:16" s="943" customFormat="1" ht="26.25" customHeight="1" x14ac:dyDescent="0.2">
      <c r="A36" s="942"/>
      <c r="B36" s="947"/>
      <c r="C36" s="942"/>
      <c r="D36" s="942"/>
      <c r="E36" s="942"/>
      <c r="F36" s="3066"/>
      <c r="G36" s="3066"/>
      <c r="H36" s="3066"/>
      <c r="I36" s="941"/>
      <c r="J36" s="3072"/>
      <c r="K36" s="3072"/>
      <c r="L36" s="3072"/>
    </row>
    <row r="37" spans="1:16" ht="18.75" x14ac:dyDescent="0.2">
      <c r="A37" s="942"/>
      <c r="B37" s="3054" t="s">
        <v>1940</v>
      </c>
      <c r="C37" s="3054"/>
      <c r="D37" s="3054"/>
      <c r="E37" s="3054"/>
      <c r="F37" s="3054"/>
      <c r="G37" s="3054"/>
      <c r="H37" s="3054"/>
      <c r="I37" s="3054"/>
      <c r="J37" s="3054"/>
      <c r="K37" s="3054"/>
      <c r="L37" s="3054"/>
      <c r="M37" s="25"/>
      <c r="N37" s="25"/>
      <c r="O37" s="25"/>
      <c r="P37" s="25"/>
    </row>
    <row r="38" spans="1:16" ht="33" customHeight="1" x14ac:dyDescent="0.2">
      <c r="A38" s="942"/>
      <c r="B38" s="936"/>
      <c r="C38" s="936"/>
      <c r="D38" s="936"/>
      <c r="E38" s="936"/>
      <c r="F38" s="936"/>
      <c r="G38" s="936"/>
      <c r="H38" s="936"/>
      <c r="I38" s="936"/>
      <c r="J38" s="936"/>
      <c r="K38" s="936"/>
      <c r="L38" s="936"/>
      <c r="M38" s="25"/>
      <c r="N38" s="25"/>
      <c r="O38" s="25"/>
      <c r="P38" s="25"/>
    </row>
    <row r="39" spans="1:16" ht="15.75" x14ac:dyDescent="0.2">
      <c r="A39" s="3070" t="s">
        <v>31</v>
      </c>
      <c r="B39" s="3070"/>
      <c r="C39" s="3070"/>
      <c r="D39" s="3070"/>
      <c r="E39" s="3070"/>
      <c r="F39" s="3070"/>
      <c r="G39" s="3070"/>
      <c r="H39" s="3070"/>
      <c r="I39" s="3070"/>
      <c r="J39" s="3070"/>
      <c r="K39" s="3070"/>
      <c r="L39" s="3070"/>
      <c r="M39" s="3070"/>
    </row>
    <row r="40" spans="1:16" ht="18" x14ac:dyDescent="0.2">
      <c r="A40" s="942"/>
      <c r="B40" s="947"/>
      <c r="C40" s="942"/>
      <c r="D40" s="942"/>
      <c r="E40" s="942"/>
      <c r="F40" s="942"/>
      <c r="G40" s="942"/>
      <c r="H40" s="942"/>
      <c r="I40" s="942"/>
      <c r="J40" s="942"/>
      <c r="K40" s="942"/>
      <c r="L40" s="942"/>
    </row>
    <row r="41" spans="1:16" ht="18" x14ac:dyDescent="0.2">
      <c r="A41" s="942"/>
      <c r="B41" s="947"/>
      <c r="C41" s="942"/>
      <c r="D41" s="942"/>
      <c r="E41" s="942"/>
      <c r="F41" s="942"/>
      <c r="G41" s="942"/>
      <c r="H41" s="942"/>
      <c r="I41" s="942"/>
      <c r="J41" s="942"/>
      <c r="K41" s="942"/>
      <c r="L41" s="942"/>
    </row>
    <row r="42" spans="1:16" ht="18" x14ac:dyDescent="0.2">
      <c r="A42" s="942"/>
      <c r="B42" s="947"/>
      <c r="C42" s="942"/>
      <c r="D42" s="942"/>
      <c r="E42" s="942"/>
      <c r="F42" s="942"/>
      <c r="G42" s="942"/>
      <c r="H42" s="942"/>
      <c r="I42" s="942"/>
      <c r="J42" s="942"/>
      <c r="K42" s="942"/>
      <c r="L42" s="942"/>
    </row>
    <row r="43" spans="1:16" ht="18" x14ac:dyDescent="0.2">
      <c r="A43" s="942"/>
      <c r="B43" s="3064">
        <v>3</v>
      </c>
      <c r="C43" s="3064"/>
      <c r="D43" s="3064"/>
      <c r="E43" s="3064"/>
      <c r="F43" s="3064"/>
      <c r="G43" s="3064"/>
      <c r="H43" s="3064"/>
      <c r="I43" s="3064"/>
      <c r="J43" s="3064"/>
      <c r="K43" s="3064"/>
      <c r="L43" s="3064"/>
    </row>
    <row r="44" spans="1:16" ht="12" customHeight="1" x14ac:dyDescent="0.2">
      <c r="A44" s="942"/>
      <c r="B44" s="942"/>
      <c r="C44" s="942"/>
      <c r="D44" s="942"/>
      <c r="E44" s="942"/>
      <c r="F44" s="942"/>
      <c r="G44" s="942"/>
      <c r="H44" s="942"/>
      <c r="I44" s="942"/>
      <c r="J44" s="942"/>
      <c r="K44" s="942"/>
      <c r="L44" s="942"/>
    </row>
  </sheetData>
  <mergeCells count="47">
    <mergeCell ref="B1:L1"/>
    <mergeCell ref="B2:L2"/>
    <mergeCell ref="B3:L3"/>
    <mergeCell ref="B4:L4"/>
    <mergeCell ref="J7:L7"/>
    <mergeCell ref="J6:L6"/>
    <mergeCell ref="F8:H8"/>
    <mergeCell ref="J8:L8"/>
    <mergeCell ref="F9:H9"/>
    <mergeCell ref="J9:L9"/>
    <mergeCell ref="B12:C12"/>
    <mergeCell ref="F12:H12"/>
    <mergeCell ref="J12:L12"/>
    <mergeCell ref="F13:H13"/>
    <mergeCell ref="J13:L13"/>
    <mergeCell ref="J36:L36"/>
    <mergeCell ref="F30:H30"/>
    <mergeCell ref="J30:L30"/>
    <mergeCell ref="F36:H36"/>
    <mergeCell ref="F15:H15"/>
    <mergeCell ref="J15:L15"/>
    <mergeCell ref="F19:H19"/>
    <mergeCell ref="J19:L19"/>
    <mergeCell ref="F23:H23"/>
    <mergeCell ref="J23:L23"/>
    <mergeCell ref="B26:L26"/>
    <mergeCell ref="F29:H29"/>
    <mergeCell ref="J29:L29"/>
    <mergeCell ref="F31:H31"/>
    <mergeCell ref="B43:L43"/>
    <mergeCell ref="F34:H34"/>
    <mergeCell ref="J34:L34"/>
    <mergeCell ref="F35:H35"/>
    <mergeCell ref="J35:L35"/>
    <mergeCell ref="B37:L37"/>
    <mergeCell ref="A39:M39"/>
    <mergeCell ref="F14:H14"/>
    <mergeCell ref="J14:L14"/>
    <mergeCell ref="F33:H33"/>
    <mergeCell ref="J33:L33"/>
    <mergeCell ref="J31:L31"/>
    <mergeCell ref="J32:L32"/>
    <mergeCell ref="F32:H32"/>
    <mergeCell ref="F22:H22"/>
    <mergeCell ref="J22:L22"/>
    <mergeCell ref="F20:H20"/>
    <mergeCell ref="J20:L20"/>
  </mergeCells>
  <pageMargins left="0.70866141732283505" right="0.70866141732283505" top="0.74803149606299202" bottom="0.74803149606299202" header="0.31496062992126" footer="0.31496062992126"/>
  <pageSetup scale="92" fitToWidth="0" fitToHeight="0"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2060"/>
  </sheetPr>
  <dimension ref="A1:AI90"/>
  <sheetViews>
    <sheetView rightToLeft="1" view="pageBreakPreview" topLeftCell="B40" zoomScale="88" zoomScaleNormal="98" zoomScaleSheetLayoutView="88" workbookViewId="0">
      <selection activeCell="C58" sqref="C58:AE58"/>
    </sheetView>
  </sheetViews>
  <sheetFormatPr defaultColWidth="9.140625" defaultRowHeight="15" x14ac:dyDescent="0.2"/>
  <cols>
    <col min="1" max="1" width="0.85546875" style="103" hidden="1" customWidth="1"/>
    <col min="2" max="2" width="0.85546875" style="103" customWidth="1"/>
    <col min="3" max="3" width="8.85546875" style="903" customWidth="1"/>
    <col min="4" max="4" width="33.5703125" style="904" customWidth="1"/>
    <col min="5" max="5" width="4" style="103" hidden="1" customWidth="1"/>
    <col min="6" max="6" width="4.7109375" style="103" hidden="1" customWidth="1"/>
    <col min="7" max="7" width="6.7109375" style="103" hidden="1" customWidth="1"/>
    <col min="8" max="8" width="9.5703125" style="103" hidden="1" customWidth="1"/>
    <col min="9" max="9" width="11" style="103" hidden="1" customWidth="1"/>
    <col min="10" max="10" width="9.28515625" style="103" customWidth="1"/>
    <col min="11" max="11" width="8.5703125" style="103" hidden="1" customWidth="1"/>
    <col min="12" max="12" width="8.42578125" style="103" customWidth="1"/>
    <col min="13" max="13" width="8.28515625" style="103" customWidth="1"/>
    <col min="14" max="14" width="7.7109375" style="103" hidden="1" customWidth="1"/>
    <col min="15" max="15" width="4.7109375" style="103" hidden="1" customWidth="1"/>
    <col min="16" max="16" width="9.28515625" style="103" hidden="1" customWidth="1"/>
    <col min="17" max="17" width="8" style="103" customWidth="1"/>
    <col min="18" max="18" width="7.28515625" style="103" hidden="1" customWidth="1"/>
    <col min="19" max="19" width="7.42578125" style="103" hidden="1" customWidth="1"/>
    <col min="20" max="20" width="11.140625" style="103" hidden="1" customWidth="1"/>
    <col min="21" max="21" width="12.5703125" style="103" hidden="1" customWidth="1"/>
    <col min="22" max="22" width="8.7109375" style="1586" customWidth="1"/>
    <col min="23" max="24" width="9.5703125" style="103" hidden="1" customWidth="1"/>
    <col min="25" max="25" width="6.42578125" style="103" hidden="1" customWidth="1"/>
    <col min="26" max="26" width="6.28515625" style="103" hidden="1" customWidth="1"/>
    <col min="27" max="27" width="7.5703125" style="103" hidden="1" customWidth="1"/>
    <col min="28" max="28" width="11.7109375" style="103" customWidth="1"/>
    <col min="29" max="29" width="7.7109375" style="103" hidden="1" customWidth="1"/>
    <col min="30" max="30" width="15.7109375" style="103" hidden="1" customWidth="1"/>
    <col min="31" max="31" width="10.140625" style="103" customWidth="1"/>
    <col min="32" max="32" width="0.7109375" style="103" customWidth="1"/>
    <col min="33" max="33" width="4.5703125" style="103" customWidth="1"/>
    <col min="34" max="16384" width="9.140625" style="103"/>
  </cols>
  <sheetData>
    <row r="1" spans="1:31" s="878" customFormat="1" ht="21.6" customHeight="1" x14ac:dyDescent="0.2">
      <c r="C1" s="3937" t="s">
        <v>295</v>
      </c>
      <c r="D1" s="3937"/>
      <c r="E1" s="3937"/>
      <c r="F1" s="3937"/>
      <c r="G1" s="3937"/>
      <c r="H1" s="3937"/>
      <c r="I1" s="3937"/>
      <c r="J1" s="3937"/>
      <c r="K1" s="3937"/>
      <c r="L1" s="3937"/>
      <c r="M1" s="3937"/>
      <c r="N1" s="3937"/>
      <c r="O1" s="3937"/>
      <c r="P1" s="3937"/>
      <c r="Q1" s="3937"/>
      <c r="R1" s="3937"/>
      <c r="S1" s="3937"/>
      <c r="T1" s="3937"/>
      <c r="U1" s="3937"/>
      <c r="V1" s="3937"/>
      <c r="W1" s="3937"/>
      <c r="X1" s="3937"/>
      <c r="Y1" s="3937"/>
      <c r="Z1" s="3937"/>
      <c r="AA1" s="3937"/>
      <c r="AB1" s="3937"/>
      <c r="AC1" s="3937"/>
      <c r="AD1" s="3937"/>
      <c r="AE1" s="3937"/>
    </row>
    <row r="2" spans="1:31" s="878" customFormat="1" ht="21.6" customHeight="1" x14ac:dyDescent="0.2">
      <c r="C2" s="3937" t="s">
        <v>45</v>
      </c>
      <c r="D2" s="3937"/>
      <c r="E2" s="3937"/>
      <c r="F2" s="3937"/>
      <c r="G2" s="3937"/>
      <c r="H2" s="3937"/>
      <c r="I2" s="3937"/>
      <c r="J2" s="3937"/>
      <c r="K2" s="3937"/>
      <c r="L2" s="3937"/>
      <c r="M2" s="3937"/>
      <c r="N2" s="3937"/>
      <c r="O2" s="3937"/>
      <c r="P2" s="3937"/>
      <c r="Q2" s="3937"/>
      <c r="R2" s="3937"/>
      <c r="S2" s="3937"/>
      <c r="T2" s="3937"/>
      <c r="U2" s="3937"/>
      <c r="V2" s="3937"/>
      <c r="W2" s="3937"/>
      <c r="X2" s="3937"/>
      <c r="Y2" s="3937"/>
      <c r="Z2" s="3937"/>
      <c r="AA2" s="3937"/>
      <c r="AB2" s="3937"/>
      <c r="AC2" s="3937"/>
      <c r="AD2" s="3937"/>
      <c r="AE2" s="3937"/>
    </row>
    <row r="3" spans="1:31" s="878" customFormat="1" ht="21.6" customHeight="1" x14ac:dyDescent="0.2">
      <c r="C3" s="3937" t="s">
        <v>46</v>
      </c>
      <c r="D3" s="3937"/>
      <c r="E3" s="3937"/>
      <c r="F3" s="3937"/>
      <c r="G3" s="3937"/>
      <c r="H3" s="3937"/>
      <c r="I3" s="3937"/>
      <c r="J3" s="3937"/>
      <c r="K3" s="3937"/>
      <c r="L3" s="3937"/>
      <c r="M3" s="3937"/>
      <c r="N3" s="3937"/>
      <c r="O3" s="3937"/>
      <c r="P3" s="3937"/>
      <c r="Q3" s="3937"/>
      <c r="R3" s="3937"/>
      <c r="S3" s="3937"/>
      <c r="T3" s="3937"/>
      <c r="U3" s="3937"/>
      <c r="V3" s="3937"/>
      <c r="W3" s="3937"/>
      <c r="X3" s="3937"/>
      <c r="Y3" s="3937"/>
      <c r="Z3" s="3937"/>
      <c r="AA3" s="3937"/>
      <c r="AB3" s="3937"/>
      <c r="AC3" s="3937"/>
      <c r="AD3" s="3937"/>
      <c r="AE3" s="3937"/>
    </row>
    <row r="4" spans="1:31" s="878" customFormat="1" ht="27.75" customHeight="1" x14ac:dyDescent="0.2">
      <c r="C4" s="3938" t="s">
        <v>1988</v>
      </c>
      <c r="D4" s="3938"/>
      <c r="E4" s="3938"/>
      <c r="F4" s="3938"/>
      <c r="G4" s="3938"/>
      <c r="H4" s="3938"/>
      <c r="I4" s="3938"/>
      <c r="J4" s="3938"/>
      <c r="K4" s="3938"/>
      <c r="L4" s="3938"/>
      <c r="M4" s="3938"/>
      <c r="N4" s="3938"/>
      <c r="O4" s="3938"/>
      <c r="P4" s="3938"/>
      <c r="Q4" s="3938"/>
      <c r="R4" s="3938"/>
      <c r="S4" s="3938"/>
      <c r="T4" s="3938"/>
      <c r="U4" s="3938"/>
      <c r="V4" s="3938"/>
      <c r="W4" s="3938"/>
      <c r="X4" s="3938"/>
      <c r="Y4" s="3938"/>
      <c r="Z4" s="3938"/>
      <c r="AA4" s="3938"/>
      <c r="AB4" s="3938"/>
      <c r="AC4" s="3938"/>
      <c r="AD4" s="3938"/>
      <c r="AE4" s="3938"/>
    </row>
    <row r="5" spans="1:31" s="878" customFormat="1" ht="63" customHeight="1" x14ac:dyDescent="0.2">
      <c r="C5" s="1088"/>
      <c r="D5" s="1088"/>
      <c r="E5" s="1088"/>
      <c r="F5" s="1088"/>
      <c r="G5" s="1088"/>
      <c r="H5" s="1088"/>
      <c r="I5" s="1088"/>
      <c r="J5" s="1088"/>
      <c r="K5" s="1088"/>
      <c r="L5" s="1088"/>
      <c r="M5" s="1088"/>
      <c r="N5" s="1088"/>
      <c r="O5" s="1088"/>
      <c r="P5" s="1088"/>
      <c r="Q5" s="1088"/>
      <c r="R5" s="1088"/>
      <c r="S5" s="1088"/>
      <c r="T5" s="1088"/>
      <c r="U5" s="1088"/>
      <c r="V5" s="1576"/>
      <c r="W5" s="1088"/>
      <c r="X5" s="1477"/>
      <c r="Y5" s="1088"/>
      <c r="Z5" s="1088"/>
      <c r="AA5" s="1088"/>
      <c r="AB5" s="1088"/>
      <c r="AC5" s="1088"/>
      <c r="AD5" s="1088"/>
      <c r="AE5" s="1088"/>
    </row>
    <row r="6" spans="1:31" s="50" customFormat="1" ht="81.75" customHeight="1" x14ac:dyDescent="0.2">
      <c r="C6" s="3939" t="s">
        <v>1838</v>
      </c>
      <c r="D6" s="3939"/>
      <c r="E6" s="3939"/>
      <c r="F6" s="3939"/>
      <c r="G6" s="3939"/>
      <c r="H6" s="3939"/>
      <c r="I6" s="3939"/>
      <c r="J6" s="3939"/>
      <c r="K6" s="3939"/>
      <c r="L6" s="3939"/>
      <c r="M6" s="3939"/>
      <c r="N6" s="3939"/>
      <c r="O6" s="3939"/>
      <c r="P6" s="3939"/>
      <c r="Q6" s="3939"/>
      <c r="R6" s="3939"/>
      <c r="S6" s="3939"/>
      <c r="T6" s="3939"/>
      <c r="U6" s="3939"/>
      <c r="V6" s="3939"/>
      <c r="W6" s="3939"/>
      <c r="X6" s="3939"/>
      <c r="Y6" s="3939"/>
      <c r="Z6" s="3939"/>
      <c r="AA6" s="3939"/>
      <c r="AB6" s="3939"/>
      <c r="AC6" s="3939"/>
    </row>
    <row r="7" spans="1:31" s="50" customFormat="1" ht="8.4499999999999993" customHeight="1" x14ac:dyDescent="0.2">
      <c r="C7" s="3940"/>
      <c r="D7" s="3940"/>
      <c r="E7" s="3940"/>
      <c r="F7" s="3940"/>
      <c r="G7" s="3940"/>
      <c r="H7" s="3940"/>
      <c r="I7" s="3940"/>
      <c r="J7" s="3940"/>
      <c r="K7" s="3940"/>
      <c r="L7" s="3940"/>
      <c r="M7" s="3940"/>
      <c r="N7" s="3940"/>
      <c r="O7" s="3940"/>
      <c r="P7" s="3940"/>
      <c r="Q7" s="3940"/>
      <c r="R7" s="3940"/>
      <c r="S7" s="3940"/>
      <c r="T7" s="3940"/>
      <c r="U7" s="3940"/>
      <c r="V7" s="3940"/>
      <c r="W7" s="983"/>
      <c r="X7" s="1481"/>
      <c r="Y7" s="983"/>
      <c r="Z7" s="983"/>
      <c r="AA7" s="983"/>
      <c r="AB7" s="3941" t="s">
        <v>194</v>
      </c>
      <c r="AC7" s="3941"/>
      <c r="AD7" s="3941"/>
      <c r="AE7" s="3941"/>
    </row>
    <row r="8" spans="1:31" s="879" customFormat="1" ht="8.4499999999999993" customHeight="1" x14ac:dyDescent="0.2">
      <c r="C8" s="3940"/>
      <c r="D8" s="3940"/>
      <c r="E8" s="3940"/>
      <c r="F8" s="3940"/>
      <c r="G8" s="3940"/>
      <c r="H8" s="3940"/>
      <c r="I8" s="3940"/>
      <c r="J8" s="3940"/>
      <c r="K8" s="3940"/>
      <c r="L8" s="3940"/>
      <c r="M8" s="3940"/>
      <c r="N8" s="3940"/>
      <c r="O8" s="3940"/>
      <c r="P8" s="3940"/>
      <c r="Q8" s="3940"/>
      <c r="R8" s="3940"/>
      <c r="S8" s="3940"/>
      <c r="T8" s="3940"/>
      <c r="U8" s="3940"/>
      <c r="V8" s="3940"/>
      <c r="W8" s="983"/>
      <c r="X8" s="1481"/>
      <c r="Y8" s="983"/>
      <c r="Z8" s="983"/>
      <c r="AA8" s="983"/>
      <c r="AB8" s="3941"/>
      <c r="AC8" s="3941"/>
      <c r="AD8" s="3941"/>
      <c r="AE8" s="3941"/>
    </row>
    <row r="9" spans="1:31" s="879" customFormat="1" ht="12" customHeight="1" x14ac:dyDescent="0.2">
      <c r="C9" s="3946" t="s">
        <v>196</v>
      </c>
      <c r="D9" s="3936" t="s">
        <v>439</v>
      </c>
      <c r="E9" s="3942" t="s">
        <v>1096</v>
      </c>
      <c r="F9" s="880" t="s">
        <v>1149</v>
      </c>
      <c r="G9" s="3947" t="s">
        <v>2006</v>
      </c>
      <c r="H9" s="3953"/>
      <c r="I9" s="3953"/>
      <c r="J9" s="3953"/>
      <c r="K9" s="3953"/>
      <c r="L9" s="3953"/>
      <c r="M9" s="3953"/>
      <c r="N9" s="3953"/>
      <c r="O9" s="3953"/>
      <c r="P9" s="3953"/>
      <c r="Q9" s="3949"/>
      <c r="R9" s="3947" t="s">
        <v>2007</v>
      </c>
      <c r="S9" s="3948"/>
      <c r="T9" s="3948"/>
      <c r="U9" s="3948"/>
      <c r="V9" s="3948"/>
      <c r="W9" s="3948"/>
      <c r="X9" s="3948"/>
      <c r="Y9" s="3948"/>
      <c r="Z9" s="3948"/>
      <c r="AA9" s="3949"/>
      <c r="AB9" s="3934" t="s">
        <v>135</v>
      </c>
      <c r="AC9" s="3945" t="s">
        <v>1382</v>
      </c>
      <c r="AD9" s="3945"/>
      <c r="AE9" s="3945"/>
    </row>
    <row r="10" spans="1:31" s="879" customFormat="1" ht="6.6" customHeight="1" x14ac:dyDescent="0.2">
      <c r="C10" s="3946"/>
      <c r="D10" s="3936"/>
      <c r="E10" s="3943"/>
      <c r="F10" s="881"/>
      <c r="G10" s="3950"/>
      <c r="H10" s="3951"/>
      <c r="I10" s="3951"/>
      <c r="J10" s="3951"/>
      <c r="K10" s="3951"/>
      <c r="L10" s="3951"/>
      <c r="M10" s="3951"/>
      <c r="N10" s="3951"/>
      <c r="O10" s="3951"/>
      <c r="P10" s="3951"/>
      <c r="Q10" s="3952"/>
      <c r="R10" s="3950"/>
      <c r="S10" s="3951"/>
      <c r="T10" s="3951"/>
      <c r="U10" s="3951"/>
      <c r="V10" s="3951"/>
      <c r="W10" s="3951"/>
      <c r="X10" s="3951"/>
      <c r="Y10" s="3951"/>
      <c r="Z10" s="3951"/>
      <c r="AA10" s="3952"/>
      <c r="AB10" s="3934"/>
      <c r="AC10" s="3945"/>
      <c r="AD10" s="3945"/>
      <c r="AE10" s="3945"/>
    </row>
    <row r="11" spans="1:31" s="879" customFormat="1" ht="73.900000000000006" customHeight="1" x14ac:dyDescent="0.2">
      <c r="C11" s="3946"/>
      <c r="D11" s="3936"/>
      <c r="E11" s="981" t="s">
        <v>440</v>
      </c>
      <c r="G11" s="882" t="s">
        <v>1034</v>
      </c>
      <c r="H11" s="882" t="s">
        <v>1015</v>
      </c>
      <c r="J11" s="883" t="s">
        <v>1257</v>
      </c>
      <c r="K11" s="883" t="s">
        <v>1782</v>
      </c>
      <c r="L11" s="883" t="s">
        <v>1258</v>
      </c>
      <c r="M11" s="883" t="s">
        <v>1259</v>
      </c>
      <c r="N11" s="883" t="s">
        <v>27</v>
      </c>
      <c r="O11" s="980" t="s">
        <v>2174</v>
      </c>
      <c r="P11" s="980" t="s">
        <v>1034</v>
      </c>
      <c r="Q11" s="980" t="s">
        <v>27</v>
      </c>
      <c r="R11" s="883" t="s">
        <v>1257</v>
      </c>
      <c r="S11" s="883" t="s">
        <v>1782</v>
      </c>
      <c r="T11" s="883" t="s">
        <v>1258</v>
      </c>
      <c r="U11" s="883" t="s">
        <v>1259</v>
      </c>
      <c r="V11" s="1577" t="s">
        <v>1034</v>
      </c>
      <c r="W11" s="882"/>
      <c r="X11" s="882" t="s">
        <v>2174</v>
      </c>
      <c r="Y11" s="882" t="s">
        <v>1918</v>
      </c>
      <c r="Z11" s="1401" t="s">
        <v>1919</v>
      </c>
      <c r="AA11" s="980" t="s">
        <v>27</v>
      </c>
      <c r="AB11" s="3934"/>
      <c r="AC11" s="3945"/>
      <c r="AD11" s="3945"/>
      <c r="AE11" s="3945"/>
    </row>
    <row r="12" spans="1:31" s="879" customFormat="1" ht="21" hidden="1" customHeight="1" x14ac:dyDescent="0.2">
      <c r="C12" s="845">
        <v>1307002010</v>
      </c>
      <c r="D12" s="884" t="s">
        <v>203</v>
      </c>
      <c r="E12" s="870">
        <v>45082000000</v>
      </c>
      <c r="G12" s="870"/>
      <c r="H12" s="870"/>
      <c r="J12" s="870"/>
      <c r="K12" s="870"/>
      <c r="L12" s="870"/>
      <c r="M12" s="885"/>
      <c r="N12" s="885"/>
      <c r="O12" s="870"/>
      <c r="P12" s="870"/>
      <c r="Q12" s="870"/>
      <c r="R12" s="870"/>
      <c r="S12" s="870"/>
      <c r="T12" s="870"/>
      <c r="U12" s="870"/>
      <c r="V12" s="1578"/>
      <c r="W12" s="870"/>
      <c r="X12" s="870"/>
      <c r="Y12" s="870"/>
      <c r="Z12" s="870"/>
      <c r="AA12" s="870"/>
      <c r="AB12" s="870"/>
      <c r="AC12" s="870"/>
      <c r="AD12" s="870"/>
      <c r="AE12" s="870"/>
    </row>
    <row r="13" spans="1:31" s="879" customFormat="1" ht="21" hidden="1" customHeight="1" x14ac:dyDescent="0.2">
      <c r="A13" s="879" t="s">
        <v>199</v>
      </c>
      <c r="C13" s="734">
        <v>1503002046</v>
      </c>
      <c r="D13" s="735" t="s">
        <v>83</v>
      </c>
      <c r="E13" s="960">
        <v>198283000000</v>
      </c>
      <c r="G13" s="960"/>
      <c r="H13" s="960"/>
      <c r="J13" s="870"/>
      <c r="K13" s="870"/>
      <c r="L13" s="870"/>
      <c r="M13" s="886"/>
      <c r="N13" s="886"/>
      <c r="O13" s="960"/>
      <c r="P13" s="870"/>
      <c r="Q13" s="870"/>
      <c r="R13" s="870"/>
      <c r="S13" s="870"/>
      <c r="T13" s="870"/>
      <c r="U13" s="870"/>
      <c r="V13" s="1578"/>
      <c r="W13" s="870"/>
      <c r="X13" s="870"/>
      <c r="Y13" s="870"/>
      <c r="Z13" s="870"/>
      <c r="AA13" s="870"/>
      <c r="AB13" s="870"/>
      <c r="AC13" s="960"/>
      <c r="AD13" s="960"/>
      <c r="AE13" s="960"/>
    </row>
    <row r="14" spans="1:31" s="879" customFormat="1" ht="21" hidden="1" customHeight="1" x14ac:dyDescent="0.2">
      <c r="C14" s="734">
        <v>1503002096</v>
      </c>
      <c r="D14" s="735" t="s">
        <v>84</v>
      </c>
      <c r="E14" s="960">
        <v>20589000000</v>
      </c>
      <c r="G14" s="960"/>
      <c r="H14" s="960"/>
      <c r="J14" s="870"/>
      <c r="K14" s="870"/>
      <c r="L14" s="870"/>
      <c r="M14" s="886"/>
      <c r="N14" s="886"/>
      <c r="O14" s="960"/>
      <c r="P14" s="870"/>
      <c r="Q14" s="870"/>
      <c r="R14" s="870"/>
      <c r="S14" s="870"/>
      <c r="T14" s="870"/>
      <c r="U14" s="870"/>
      <c r="V14" s="1578"/>
      <c r="W14" s="870"/>
      <c r="X14" s="870"/>
      <c r="Y14" s="870"/>
      <c r="Z14" s="870"/>
      <c r="AA14" s="870"/>
      <c r="AB14" s="870"/>
      <c r="AC14" s="960"/>
      <c r="AD14" s="960"/>
      <c r="AE14" s="960"/>
    </row>
    <row r="15" spans="1:31" s="879" customFormat="1" ht="21" hidden="1" customHeight="1" x14ac:dyDescent="0.2">
      <c r="C15" s="734">
        <v>1503002173</v>
      </c>
      <c r="D15" s="735" t="s">
        <v>85</v>
      </c>
      <c r="E15" s="960"/>
      <c r="G15" s="960"/>
      <c r="H15" s="960"/>
      <c r="J15" s="870">
        <f>E15-G15</f>
        <v>0</v>
      </c>
      <c r="K15" s="870"/>
      <c r="L15" s="870"/>
      <c r="M15" s="886"/>
      <c r="N15" s="886"/>
      <c r="O15" s="960">
        <v>300000000000</v>
      </c>
      <c r="P15" s="870"/>
      <c r="Q15" s="870"/>
      <c r="R15" s="870"/>
      <c r="S15" s="870"/>
      <c r="T15" s="870"/>
      <c r="U15" s="870"/>
      <c r="V15" s="1578"/>
      <c r="W15" s="870"/>
      <c r="X15" s="870"/>
      <c r="Y15" s="870"/>
      <c r="Z15" s="870"/>
      <c r="AA15" s="870"/>
      <c r="AB15" s="870" t="e">
        <f>J15+L15+M15+#REF!</f>
        <v>#REF!</v>
      </c>
      <c r="AC15" s="960"/>
      <c r="AD15" s="960"/>
    </row>
    <row r="16" spans="1:31" s="879" customFormat="1" ht="21" hidden="1" customHeight="1" x14ac:dyDescent="0.2">
      <c r="C16" s="734">
        <v>1503002067</v>
      </c>
      <c r="D16" s="735" t="s">
        <v>86</v>
      </c>
      <c r="E16" s="960"/>
      <c r="G16" s="960"/>
      <c r="H16" s="960"/>
      <c r="J16" s="870">
        <f>E16-G16</f>
        <v>0</v>
      </c>
      <c r="K16" s="870"/>
      <c r="L16" s="870"/>
      <c r="M16" s="886"/>
      <c r="N16" s="886"/>
      <c r="O16" s="960">
        <v>2820000000</v>
      </c>
      <c r="P16" s="870"/>
      <c r="Q16" s="870"/>
      <c r="R16" s="870"/>
      <c r="S16" s="870"/>
      <c r="T16" s="870"/>
      <c r="U16" s="870"/>
      <c r="V16" s="1578"/>
      <c r="W16" s="870"/>
      <c r="X16" s="870"/>
      <c r="Y16" s="870"/>
      <c r="Z16" s="870"/>
      <c r="AA16" s="870"/>
      <c r="AB16" s="870" t="e">
        <f>J16+L16+M16+#REF!</f>
        <v>#REF!</v>
      </c>
      <c r="AC16" s="960"/>
      <c r="AD16" s="960"/>
    </row>
    <row r="17" spans="1:31" s="879" customFormat="1" ht="33" hidden="1" customHeight="1" x14ac:dyDescent="0.2">
      <c r="A17" s="879" t="s">
        <v>6</v>
      </c>
      <c r="C17" s="734">
        <v>1307006001</v>
      </c>
      <c r="D17" s="295" t="s">
        <v>87</v>
      </c>
      <c r="E17" s="960"/>
      <c r="G17" s="960"/>
      <c r="H17" s="960"/>
      <c r="J17" s="870">
        <f>E17-G17</f>
        <v>0</v>
      </c>
      <c r="K17" s="870"/>
      <c r="L17" s="870"/>
      <c r="M17" s="886"/>
      <c r="N17" s="886"/>
      <c r="O17" s="960">
        <v>21635000000</v>
      </c>
      <c r="P17" s="870"/>
      <c r="Q17" s="870"/>
      <c r="R17" s="870"/>
      <c r="S17" s="870"/>
      <c r="T17" s="870"/>
      <c r="U17" s="870"/>
      <c r="V17" s="1578"/>
      <c r="W17" s="870"/>
      <c r="X17" s="870"/>
      <c r="Y17" s="870"/>
      <c r="Z17" s="870"/>
      <c r="AA17" s="870"/>
      <c r="AB17" s="870" t="e">
        <f>J17+L17+M17+#REF!</f>
        <v>#REF!</v>
      </c>
      <c r="AC17" s="960"/>
      <c r="AD17" s="960"/>
    </row>
    <row r="18" spans="1:31" s="879" customFormat="1" ht="30" hidden="1" customHeight="1" x14ac:dyDescent="0.2">
      <c r="C18" s="734">
        <v>1307002080</v>
      </c>
      <c r="D18" s="735" t="s">
        <v>418</v>
      </c>
      <c r="E18" s="960">
        <v>730711000000</v>
      </c>
      <c r="G18" s="887">
        <v>50000000000</v>
      </c>
      <c r="H18" s="960"/>
      <c r="J18" s="960"/>
      <c r="K18" s="960"/>
      <c r="L18" s="960"/>
      <c r="M18" s="960"/>
      <c r="N18" s="960"/>
      <c r="O18" s="960">
        <v>1533000000000</v>
      </c>
      <c r="P18" s="960"/>
      <c r="Q18" s="960"/>
      <c r="R18" s="960"/>
      <c r="S18" s="960"/>
      <c r="T18" s="960"/>
      <c r="U18" s="960"/>
      <c r="V18" s="1579"/>
      <c r="W18" s="870"/>
      <c r="X18" s="870"/>
      <c r="Y18" s="870"/>
      <c r="Z18" s="870"/>
      <c r="AA18" s="870"/>
      <c r="AB18" s="870" t="e">
        <f>J18+L18+M18+#REF!</f>
        <v>#REF!</v>
      </c>
      <c r="AC18" s="960"/>
      <c r="AD18" s="960"/>
      <c r="AE18" s="888"/>
    </row>
    <row r="19" spans="1:31" s="879" customFormat="1" ht="28.15" hidden="1" customHeight="1" x14ac:dyDescent="0.2">
      <c r="C19" s="734">
        <v>1502001005</v>
      </c>
      <c r="D19" s="735" t="s">
        <v>233</v>
      </c>
      <c r="E19" s="960">
        <v>75340000000</v>
      </c>
      <c r="G19" s="887">
        <v>90000000000</v>
      </c>
      <c r="H19" s="960"/>
      <c r="J19" s="960"/>
      <c r="K19" s="960"/>
      <c r="L19" s="960"/>
      <c r="M19" s="960"/>
      <c r="N19" s="960"/>
      <c r="O19" s="960">
        <v>20000000000</v>
      </c>
      <c r="P19" s="960"/>
      <c r="Q19" s="960"/>
      <c r="R19" s="960"/>
      <c r="S19" s="960"/>
      <c r="T19" s="960"/>
      <c r="U19" s="960"/>
      <c r="V19" s="1579"/>
      <c r="W19" s="870"/>
      <c r="X19" s="870"/>
      <c r="Y19" s="870"/>
      <c r="Z19" s="870"/>
      <c r="AA19" s="870"/>
      <c r="AB19" s="870" t="e">
        <f>J19+L19+M19+#REF!</f>
        <v>#REF!</v>
      </c>
      <c r="AC19" s="960"/>
      <c r="AD19" s="960"/>
      <c r="AE19" s="888"/>
    </row>
    <row r="20" spans="1:31" s="879" customFormat="1" ht="19.149999999999999" hidden="1" customHeight="1" x14ac:dyDescent="0.2">
      <c r="C20" s="229">
        <v>1503003007</v>
      </c>
      <c r="D20" s="315" t="s">
        <v>155</v>
      </c>
      <c r="E20" s="960">
        <v>9000000000</v>
      </c>
      <c r="G20" s="887">
        <v>9000000000</v>
      </c>
      <c r="H20" s="960"/>
      <c r="J20" s="960">
        <f>E20-G20</f>
        <v>0</v>
      </c>
      <c r="K20" s="960"/>
      <c r="L20" s="960"/>
      <c r="M20" s="960"/>
      <c r="N20" s="960"/>
      <c r="O20" s="960">
        <v>10590000000</v>
      </c>
      <c r="P20" s="960"/>
      <c r="Q20" s="960"/>
      <c r="R20" s="960"/>
      <c r="S20" s="960"/>
      <c r="T20" s="960"/>
      <c r="U20" s="960"/>
      <c r="V20" s="1579"/>
      <c r="W20" s="870"/>
      <c r="X20" s="870"/>
      <c r="Y20" s="870"/>
      <c r="Z20" s="870"/>
      <c r="AA20" s="870"/>
      <c r="AB20" s="870" t="e">
        <f>J20+L20+M20+#REF!</f>
        <v>#REF!</v>
      </c>
      <c r="AC20" s="960"/>
      <c r="AD20" s="960"/>
      <c r="AE20" s="888"/>
    </row>
    <row r="21" spans="1:31" s="879" customFormat="1" ht="19.149999999999999" hidden="1" customHeight="1" x14ac:dyDescent="0.2">
      <c r="C21" s="734" t="s">
        <v>555</v>
      </c>
      <c r="D21" s="314" t="s">
        <v>545</v>
      </c>
      <c r="E21" s="888"/>
      <c r="G21" s="871"/>
      <c r="H21" s="871"/>
      <c r="J21" s="960">
        <f>E21-G21</f>
        <v>0</v>
      </c>
      <c r="K21" s="960"/>
      <c r="L21" s="960"/>
      <c r="M21" s="871"/>
      <c r="N21" s="871"/>
      <c r="O21" s="871"/>
      <c r="P21" s="871"/>
      <c r="Q21" s="871"/>
      <c r="R21" s="871"/>
      <c r="S21" s="871"/>
      <c r="T21" s="871"/>
      <c r="U21" s="871"/>
      <c r="V21" s="1580"/>
      <c r="W21" s="873"/>
      <c r="X21" s="873"/>
      <c r="Y21" s="873"/>
      <c r="Z21" s="873"/>
      <c r="AA21" s="873"/>
      <c r="AB21" s="870" t="e">
        <f>J21+L21+M21+#REF!</f>
        <v>#REF!</v>
      </c>
      <c r="AC21" s="871"/>
      <c r="AD21" s="871"/>
      <c r="AE21" s="871">
        <v>0</v>
      </c>
    </row>
    <row r="22" spans="1:31" s="879" customFormat="1" ht="18.600000000000001" customHeight="1" x14ac:dyDescent="0.4">
      <c r="C22" s="970" t="s">
        <v>540</v>
      </c>
      <c r="D22" s="735" t="s">
        <v>541</v>
      </c>
      <c r="E22" s="871">
        <v>81220000000</v>
      </c>
      <c r="G22" s="871"/>
      <c r="H22" s="871"/>
      <c r="J22" s="754">
        <f>K22-L22-M22</f>
        <v>15000000000</v>
      </c>
      <c r="K22" s="754">
        <v>9696000000</v>
      </c>
      <c r="L22" s="754">
        <v>-1851000000</v>
      </c>
      <c r="M22" s="890">
        <v>-3453000000</v>
      </c>
      <c r="N22" s="890"/>
      <c r="O22" s="890"/>
      <c r="P22" s="890"/>
      <c r="Q22" s="890">
        <f>J22+L22+M22+P22</f>
        <v>9696000000</v>
      </c>
      <c r="R22" s="890"/>
      <c r="S22" s="890"/>
      <c r="T22" s="890"/>
      <c r="U22" s="893"/>
      <c r="V22" s="1386"/>
      <c r="W22" s="891"/>
      <c r="X22" s="891"/>
      <c r="Y22" s="891"/>
      <c r="Z22" s="891"/>
      <c r="AA22" s="891">
        <f t="shared" ref="AA22:AA52" si="0">V22+Z22</f>
        <v>0</v>
      </c>
      <c r="AB22" s="892">
        <f t="shared" ref="AB22:AB52" si="1">J22+L22+M22+V22+Z22</f>
        <v>9696000000</v>
      </c>
      <c r="AC22" s="890"/>
      <c r="AD22" s="890"/>
      <c r="AE22" s="890">
        <v>220000000000</v>
      </c>
    </row>
    <row r="23" spans="1:31" s="879" customFormat="1" ht="18.600000000000001" customHeight="1" x14ac:dyDescent="0.4">
      <c r="C23" s="734" t="s">
        <v>609</v>
      </c>
      <c r="D23" s="736" t="s">
        <v>607</v>
      </c>
      <c r="E23" s="871">
        <v>469160000000</v>
      </c>
      <c r="F23" s="888"/>
      <c r="G23" s="871"/>
      <c r="H23" s="871"/>
      <c r="I23" s="888"/>
      <c r="J23" s="754">
        <f t="shared" ref="J23:J30" si="2">K23-L23-M23</f>
        <v>5000000000</v>
      </c>
      <c r="K23" s="754">
        <v>3210000000</v>
      </c>
      <c r="L23" s="754">
        <v>-559000000</v>
      </c>
      <c r="M23" s="890">
        <v>-1231000000</v>
      </c>
      <c r="N23" s="890"/>
      <c r="O23" s="890"/>
      <c r="P23" s="890"/>
      <c r="Q23" s="890">
        <f t="shared" ref="Q23:Q52" si="3">J23+L23+M23+P23</f>
        <v>3210000000</v>
      </c>
      <c r="R23" s="890"/>
      <c r="S23" s="890"/>
      <c r="T23" s="890"/>
      <c r="U23" s="890"/>
      <c r="V23" s="1386"/>
      <c r="W23" s="891"/>
      <c r="X23" s="891"/>
      <c r="Y23" s="891"/>
      <c r="Z23" s="891" t="e">
        <f>#REF!</f>
        <v>#REF!</v>
      </c>
      <c r="AA23" s="891" t="e">
        <f t="shared" si="0"/>
        <v>#REF!</v>
      </c>
      <c r="AB23" s="892">
        <f>J23+L23+M23</f>
        <v>3210000000</v>
      </c>
      <c r="AC23" s="890"/>
      <c r="AD23" s="890"/>
      <c r="AE23" s="890">
        <v>555986000000</v>
      </c>
    </row>
    <row r="24" spans="1:31" s="879" customFormat="1" ht="18.600000000000001" customHeight="1" x14ac:dyDescent="0.4">
      <c r="C24" s="734" t="s">
        <v>634</v>
      </c>
      <c r="D24" s="736" t="s">
        <v>598</v>
      </c>
      <c r="E24" s="871">
        <v>32223000000</v>
      </c>
      <c r="F24" s="888"/>
      <c r="G24" s="871"/>
      <c r="H24" s="871"/>
      <c r="I24" s="888"/>
      <c r="J24" s="754">
        <f t="shared" si="2"/>
        <v>7500000000</v>
      </c>
      <c r="K24" s="754">
        <v>5071000000</v>
      </c>
      <c r="L24" s="754">
        <v>-623000000</v>
      </c>
      <c r="M24" s="890">
        <v>-1806000000</v>
      </c>
      <c r="N24" s="890"/>
      <c r="O24" s="890"/>
      <c r="P24" s="890"/>
      <c r="Q24" s="890">
        <f t="shared" si="3"/>
        <v>5071000000</v>
      </c>
      <c r="R24" s="890"/>
      <c r="S24" s="890"/>
      <c r="T24" s="890"/>
      <c r="U24" s="890"/>
      <c r="V24" s="1386"/>
      <c r="W24" s="891"/>
      <c r="X24" s="891"/>
      <c r="Y24" s="891"/>
      <c r="Z24" s="891"/>
      <c r="AA24" s="891">
        <f t="shared" si="0"/>
        <v>0</v>
      </c>
      <c r="AB24" s="892">
        <f t="shared" si="1"/>
        <v>5071000000</v>
      </c>
      <c r="AC24" s="890"/>
      <c r="AD24" s="890"/>
      <c r="AE24" s="890">
        <v>154279000000</v>
      </c>
    </row>
    <row r="25" spans="1:31" s="879" customFormat="1" ht="18.600000000000001" customHeight="1" x14ac:dyDescent="0.4">
      <c r="C25" s="734" t="s">
        <v>622</v>
      </c>
      <c r="D25" s="894" t="s">
        <v>620</v>
      </c>
      <c r="E25" s="873">
        <v>193331000000</v>
      </c>
      <c r="G25" s="873"/>
      <c r="H25" s="873"/>
      <c r="J25" s="754">
        <f t="shared" si="2"/>
        <v>30091000000</v>
      </c>
      <c r="K25" s="889">
        <v>19719000000</v>
      </c>
      <c r="L25" s="892">
        <v>-3085000000</v>
      </c>
      <c r="M25" s="895">
        <v>-7287000000</v>
      </c>
      <c r="N25" s="895"/>
      <c r="O25" s="895"/>
      <c r="P25" s="895"/>
      <c r="Q25" s="890">
        <f t="shared" si="3"/>
        <v>19719000000</v>
      </c>
      <c r="R25" s="895"/>
      <c r="S25" s="895"/>
      <c r="T25" s="895"/>
      <c r="U25" s="893"/>
      <c r="V25" s="1386"/>
      <c r="W25" s="891"/>
      <c r="X25" s="891"/>
      <c r="Y25" s="891"/>
      <c r="Z25" s="891"/>
      <c r="AA25" s="891">
        <f t="shared" si="0"/>
        <v>0</v>
      </c>
      <c r="AB25" s="892">
        <f t="shared" si="1"/>
        <v>19719000000</v>
      </c>
      <c r="AC25" s="895"/>
      <c r="AD25" s="895"/>
      <c r="AE25" s="895">
        <v>709147018106</v>
      </c>
    </row>
    <row r="26" spans="1:31" s="879" customFormat="1" ht="18.600000000000001" customHeight="1" x14ac:dyDescent="0.4">
      <c r="C26" s="734" t="s">
        <v>642</v>
      </c>
      <c r="D26" s="736" t="s">
        <v>631</v>
      </c>
      <c r="E26" s="871">
        <v>137575000000</v>
      </c>
      <c r="G26" s="871"/>
      <c r="H26" s="871"/>
      <c r="J26" s="754">
        <f t="shared" si="2"/>
        <v>30000000000</v>
      </c>
      <c r="K26" s="889">
        <v>18597000000</v>
      </c>
      <c r="L26" s="754">
        <v>-4270000000</v>
      </c>
      <c r="M26" s="890">
        <v>-7133000000</v>
      </c>
      <c r="N26" s="890"/>
      <c r="O26" s="890"/>
      <c r="P26" s="890"/>
      <c r="Q26" s="890">
        <f t="shared" si="3"/>
        <v>18597000000</v>
      </c>
      <c r="R26" s="890"/>
      <c r="S26" s="890"/>
      <c r="T26" s="890"/>
      <c r="U26" s="890"/>
      <c r="V26" s="1386"/>
      <c r="W26" s="891"/>
      <c r="X26" s="891"/>
      <c r="Y26" s="891"/>
      <c r="Z26" s="891"/>
      <c r="AA26" s="891">
        <f t="shared" si="0"/>
        <v>0</v>
      </c>
      <c r="AB26" s="892">
        <f t="shared" si="1"/>
        <v>18597000000</v>
      </c>
      <c r="AC26" s="890"/>
      <c r="AD26" s="890"/>
      <c r="AE26" s="890">
        <v>297665899205</v>
      </c>
    </row>
    <row r="27" spans="1:31" s="879" customFormat="1" ht="18.600000000000001" customHeight="1" x14ac:dyDescent="0.4">
      <c r="C27" s="734" t="s">
        <v>624</v>
      </c>
      <c r="D27" s="736" t="s">
        <v>600</v>
      </c>
      <c r="E27" s="871">
        <v>142871000000</v>
      </c>
      <c r="G27" s="871"/>
      <c r="H27" s="871"/>
      <c r="J27" s="754">
        <f t="shared" si="2"/>
        <v>10000000000</v>
      </c>
      <c r="K27" s="889">
        <v>6365000000</v>
      </c>
      <c r="L27" s="754">
        <v>-1369000000</v>
      </c>
      <c r="M27" s="890">
        <v>-2266000000</v>
      </c>
      <c r="N27" s="890"/>
      <c r="O27" s="890"/>
      <c r="P27" s="890"/>
      <c r="Q27" s="890">
        <f t="shared" si="3"/>
        <v>6365000000</v>
      </c>
      <c r="R27" s="890"/>
      <c r="S27" s="890"/>
      <c r="T27" s="890"/>
      <c r="U27" s="890"/>
      <c r="V27" s="1386"/>
      <c r="W27" s="891"/>
      <c r="X27" s="891"/>
      <c r="Y27" s="891"/>
      <c r="Z27" s="891" t="e">
        <f>#REF!</f>
        <v>#REF!</v>
      </c>
      <c r="AA27" s="891" t="e">
        <f t="shared" si="0"/>
        <v>#REF!</v>
      </c>
      <c r="AB27" s="892">
        <f>J27+L27+M27</f>
        <v>6365000000</v>
      </c>
      <c r="AC27" s="890"/>
      <c r="AD27" s="890"/>
      <c r="AE27" s="890">
        <v>188176000000</v>
      </c>
    </row>
    <row r="28" spans="1:31" s="879" customFormat="1" ht="18.600000000000001" customHeight="1" x14ac:dyDescent="0.4">
      <c r="C28" s="384" t="s">
        <v>677</v>
      </c>
      <c r="D28" s="445" t="s">
        <v>676</v>
      </c>
      <c r="E28" s="871">
        <v>158257000000</v>
      </c>
      <c r="G28" s="871"/>
      <c r="H28" s="871"/>
      <c r="J28" s="754">
        <f t="shared" si="2"/>
        <v>10000000000</v>
      </c>
      <c r="K28" s="754">
        <v>5844000000</v>
      </c>
      <c r="L28" s="754">
        <v>-1914000000</v>
      </c>
      <c r="M28" s="890">
        <v>-2242000000</v>
      </c>
      <c r="N28" s="890"/>
      <c r="O28" s="890"/>
      <c r="P28" s="890"/>
      <c r="Q28" s="890">
        <f t="shared" si="3"/>
        <v>5844000000</v>
      </c>
      <c r="R28" s="890"/>
      <c r="S28" s="890"/>
      <c r="T28" s="890"/>
      <c r="U28" s="890"/>
      <c r="V28" s="1386"/>
      <c r="W28" s="891"/>
      <c r="X28" s="891"/>
      <c r="Y28" s="891"/>
      <c r="Z28" s="891" t="e">
        <f>#REF!</f>
        <v>#REF!</v>
      </c>
      <c r="AA28" s="891" t="e">
        <f t="shared" si="0"/>
        <v>#REF!</v>
      </c>
      <c r="AB28" s="892">
        <f>J28+L28+M28</f>
        <v>5844000000</v>
      </c>
      <c r="AC28" s="890"/>
      <c r="AD28" s="890"/>
      <c r="AE28" s="890">
        <v>217588000000</v>
      </c>
    </row>
    <row r="29" spans="1:31" s="879" customFormat="1" ht="18.600000000000001" customHeight="1" x14ac:dyDescent="0.4">
      <c r="C29" s="1469" t="s">
        <v>1083</v>
      </c>
      <c r="D29" s="624" t="s">
        <v>1082</v>
      </c>
      <c r="E29" s="871">
        <v>7113000000</v>
      </c>
      <c r="F29" s="888"/>
      <c r="G29" s="871"/>
      <c r="H29" s="871"/>
      <c r="I29" s="888"/>
      <c r="J29" s="754">
        <f t="shared" si="2"/>
        <v>7500000000</v>
      </c>
      <c r="K29" s="754">
        <v>4863000000</v>
      </c>
      <c r="L29" s="754">
        <v>-906000000</v>
      </c>
      <c r="M29" s="890">
        <v>-1731000000</v>
      </c>
      <c r="N29" s="890"/>
      <c r="O29" s="890"/>
      <c r="P29" s="890"/>
      <c r="Q29" s="890">
        <f t="shared" si="3"/>
        <v>4863000000</v>
      </c>
      <c r="R29" s="890"/>
      <c r="S29" s="890"/>
      <c r="T29" s="890"/>
      <c r="U29" s="890"/>
      <c r="V29" s="1386"/>
      <c r="W29" s="889"/>
      <c r="X29" s="889"/>
      <c r="Y29" s="889"/>
      <c r="Z29" s="889"/>
      <c r="AA29" s="891">
        <f t="shared" si="0"/>
        <v>0</v>
      </c>
      <c r="AB29" s="892">
        <f t="shared" si="1"/>
        <v>4863000000</v>
      </c>
      <c r="AC29" s="890"/>
      <c r="AD29" s="890"/>
      <c r="AE29" s="890">
        <v>291029000000</v>
      </c>
    </row>
    <row r="30" spans="1:31" s="879" customFormat="1" ht="18.600000000000001" customHeight="1" x14ac:dyDescent="0.4">
      <c r="C30" s="1544" t="s">
        <v>1078</v>
      </c>
      <c r="D30" s="1545" t="s">
        <v>1077</v>
      </c>
      <c r="E30" s="890">
        <v>59258000000</v>
      </c>
      <c r="F30" s="1546"/>
      <c r="G30" s="890"/>
      <c r="H30" s="890"/>
      <c r="I30" s="1546"/>
      <c r="J30" s="754">
        <f t="shared" si="2"/>
        <v>40000000000</v>
      </c>
      <c r="K30" s="889">
        <v>24679000000</v>
      </c>
      <c r="L30" s="754">
        <v>-6536000000</v>
      </c>
      <c r="M30" s="890">
        <v>-8785000000</v>
      </c>
      <c r="N30" s="890"/>
      <c r="O30" s="890"/>
      <c r="P30" s="890"/>
      <c r="Q30" s="890">
        <f t="shared" si="3"/>
        <v>24679000000</v>
      </c>
      <c r="R30" s="890"/>
      <c r="S30" s="890"/>
      <c r="T30" s="890"/>
      <c r="U30" s="890"/>
      <c r="V30" s="1581"/>
      <c r="W30" s="890"/>
      <c r="X30" s="890"/>
      <c r="Y30" s="890"/>
      <c r="Z30" s="890"/>
      <c r="AA30" s="891">
        <f t="shared" si="0"/>
        <v>0</v>
      </c>
      <c r="AB30" s="892">
        <f t="shared" si="1"/>
        <v>24679000000</v>
      </c>
      <c r="AC30" s="890"/>
      <c r="AD30" s="890"/>
      <c r="AE30" s="890">
        <v>72438829781</v>
      </c>
    </row>
    <row r="31" spans="1:31" s="1466" customFormat="1" ht="18.600000000000001" customHeight="1" x14ac:dyDescent="0.4">
      <c r="C31" s="1549" t="s">
        <v>2068</v>
      </c>
      <c r="D31" s="1550" t="s">
        <v>2070</v>
      </c>
      <c r="E31" s="890"/>
      <c r="F31" s="1546"/>
      <c r="G31" s="890"/>
      <c r="H31" s="890"/>
      <c r="I31" s="1546"/>
      <c r="J31" s="754"/>
      <c r="K31" s="754"/>
      <c r="L31" s="754"/>
      <c r="M31" s="890"/>
      <c r="N31" s="890"/>
      <c r="O31" s="890"/>
      <c r="P31" s="890"/>
      <c r="Q31" s="890">
        <f t="shared" si="3"/>
        <v>0</v>
      </c>
      <c r="R31" s="890"/>
      <c r="S31" s="890"/>
      <c r="T31" s="890"/>
      <c r="U31" s="890"/>
      <c r="V31" s="1582">
        <f>65800000000+X31</f>
        <v>70000000000</v>
      </c>
      <c r="W31" s="1386"/>
      <c r="X31" s="1386">
        <v>4200000000</v>
      </c>
      <c r="Y31" s="1386"/>
      <c r="Z31" s="1386"/>
      <c r="AA31" s="891">
        <f t="shared" si="0"/>
        <v>70000000000</v>
      </c>
      <c r="AB31" s="892">
        <f>J31+L31+M31+V31+Z31</f>
        <v>70000000000</v>
      </c>
      <c r="AC31" s="890"/>
      <c r="AD31" s="890"/>
      <c r="AE31" s="890"/>
    </row>
    <row r="32" spans="1:31" s="1466" customFormat="1" ht="18.600000000000001" customHeight="1" x14ac:dyDescent="0.4">
      <c r="C32" s="1551" t="s">
        <v>2069</v>
      </c>
      <c r="D32" s="1551" t="s">
        <v>2047</v>
      </c>
      <c r="E32" s="890"/>
      <c r="F32" s="1546"/>
      <c r="G32" s="890"/>
      <c r="H32" s="890"/>
      <c r="I32" s="1546"/>
      <c r="J32" s="754"/>
      <c r="K32" s="754"/>
      <c r="L32" s="754"/>
      <c r="M32" s="890"/>
      <c r="N32" s="890"/>
      <c r="O32" s="890"/>
      <c r="P32" s="890"/>
      <c r="Q32" s="890">
        <f t="shared" si="3"/>
        <v>0</v>
      </c>
      <c r="R32" s="890"/>
      <c r="S32" s="890"/>
      <c r="T32" s="890"/>
      <c r="U32" s="890"/>
      <c r="V32" s="1582">
        <v>20000000000</v>
      </c>
      <c r="W32" s="1386"/>
      <c r="X32" s="1386"/>
      <c r="Y32" s="1386"/>
      <c r="Z32" s="1386"/>
      <c r="AA32" s="891">
        <f t="shared" si="0"/>
        <v>20000000000</v>
      </c>
      <c r="AB32" s="892">
        <f t="shared" si="1"/>
        <v>20000000000</v>
      </c>
      <c r="AC32" s="890"/>
      <c r="AD32" s="890"/>
      <c r="AE32" s="890"/>
    </row>
    <row r="33" spans="3:31" s="1466" customFormat="1" ht="18.600000000000001" customHeight="1" x14ac:dyDescent="0.4">
      <c r="C33" s="1551" t="s">
        <v>2071</v>
      </c>
      <c r="D33" s="1551" t="s">
        <v>2048</v>
      </c>
      <c r="E33" s="890"/>
      <c r="F33" s="1546"/>
      <c r="G33" s="890"/>
      <c r="H33" s="890"/>
      <c r="I33" s="1546"/>
      <c r="J33" s="754"/>
      <c r="K33" s="754"/>
      <c r="L33" s="754"/>
      <c r="M33" s="890"/>
      <c r="N33" s="890"/>
      <c r="O33" s="890"/>
      <c r="P33" s="890"/>
      <c r="Q33" s="890">
        <f t="shared" si="3"/>
        <v>0</v>
      </c>
      <c r="R33" s="890"/>
      <c r="S33" s="890"/>
      <c r="T33" s="890"/>
      <c r="U33" s="890"/>
      <c r="V33" s="1582">
        <v>19433000000</v>
      </c>
      <c r="W33" s="1386"/>
      <c r="X33" s="1386"/>
      <c r="Y33" s="1386"/>
      <c r="Z33" s="1386"/>
      <c r="AA33" s="891">
        <f t="shared" si="0"/>
        <v>19433000000</v>
      </c>
      <c r="AB33" s="892">
        <f t="shared" si="1"/>
        <v>19433000000</v>
      </c>
      <c r="AC33" s="890"/>
      <c r="AD33" s="890"/>
      <c r="AE33" s="890"/>
    </row>
    <row r="34" spans="3:31" s="1466" customFormat="1" ht="18.600000000000001" customHeight="1" x14ac:dyDescent="0.4">
      <c r="C34" s="1551" t="s">
        <v>2049</v>
      </c>
      <c r="D34" s="1551" t="s">
        <v>2025</v>
      </c>
      <c r="E34" s="890"/>
      <c r="F34" s="1546"/>
      <c r="G34" s="890"/>
      <c r="H34" s="890"/>
      <c r="I34" s="1546"/>
      <c r="J34" s="754"/>
      <c r="K34" s="754"/>
      <c r="L34" s="754"/>
      <c r="M34" s="890"/>
      <c r="N34" s="890"/>
      <c r="O34" s="890"/>
      <c r="P34" s="890"/>
      <c r="Q34" s="890">
        <f t="shared" si="3"/>
        <v>0</v>
      </c>
      <c r="R34" s="890"/>
      <c r="S34" s="890"/>
      <c r="T34" s="890"/>
      <c r="U34" s="890"/>
      <c r="V34" s="1582">
        <v>1136000000000</v>
      </c>
      <c r="W34" s="1386"/>
      <c r="X34" s="1386"/>
      <c r="Y34" s="1386"/>
      <c r="Z34" s="1386"/>
      <c r="AA34" s="891">
        <f t="shared" si="0"/>
        <v>1136000000000</v>
      </c>
      <c r="AB34" s="892">
        <f t="shared" si="1"/>
        <v>1136000000000</v>
      </c>
      <c r="AC34" s="890"/>
      <c r="AD34" s="890"/>
      <c r="AE34" s="890"/>
    </row>
    <row r="35" spans="3:31" s="1466" customFormat="1" ht="18.600000000000001" customHeight="1" x14ac:dyDescent="0.4">
      <c r="C35" s="1551" t="s">
        <v>2053</v>
      </c>
      <c r="D35" s="1551" t="s">
        <v>2031</v>
      </c>
      <c r="E35" s="890"/>
      <c r="F35" s="1546"/>
      <c r="G35" s="890"/>
      <c r="H35" s="890"/>
      <c r="I35" s="1546"/>
      <c r="J35" s="754"/>
      <c r="K35" s="754"/>
      <c r="L35" s="754"/>
      <c r="M35" s="890"/>
      <c r="N35" s="890"/>
      <c r="O35" s="890"/>
      <c r="P35" s="890"/>
      <c r="Q35" s="890">
        <f t="shared" si="3"/>
        <v>0</v>
      </c>
      <c r="R35" s="890"/>
      <c r="S35" s="890"/>
      <c r="T35" s="890"/>
      <c r="U35" s="890"/>
      <c r="V35" s="1582">
        <v>314700000000</v>
      </c>
      <c r="W35" s="1386"/>
      <c r="X35" s="1386"/>
      <c r="Y35" s="1386"/>
      <c r="Z35" s="1386"/>
      <c r="AA35" s="891">
        <f t="shared" si="0"/>
        <v>314700000000</v>
      </c>
      <c r="AB35" s="892">
        <f t="shared" si="1"/>
        <v>314700000000</v>
      </c>
      <c r="AC35" s="890"/>
      <c r="AD35" s="890"/>
      <c r="AE35" s="890"/>
    </row>
    <row r="36" spans="3:31" s="1466" customFormat="1" ht="18.600000000000001" customHeight="1" x14ac:dyDescent="0.4">
      <c r="C36" s="1148" t="s">
        <v>2058</v>
      </c>
      <c r="D36" s="1552" t="s">
        <v>598</v>
      </c>
      <c r="E36" s="890"/>
      <c r="F36" s="1546"/>
      <c r="G36" s="890"/>
      <c r="H36" s="890"/>
      <c r="I36" s="1546"/>
      <c r="J36" s="754"/>
      <c r="K36" s="754"/>
      <c r="L36" s="754"/>
      <c r="M36" s="890"/>
      <c r="N36" s="890"/>
      <c r="O36" s="890"/>
      <c r="P36" s="890"/>
      <c r="Q36" s="890">
        <f t="shared" si="3"/>
        <v>0</v>
      </c>
      <c r="R36" s="890"/>
      <c r="S36" s="890"/>
      <c r="T36" s="890"/>
      <c r="U36" s="890"/>
      <c r="V36" s="1582">
        <f>226742000000+X36</f>
        <v>236042000000</v>
      </c>
      <c r="W36" s="1386"/>
      <c r="X36" s="1386">
        <v>9300000000</v>
      </c>
      <c r="Y36" s="1386"/>
      <c r="Z36" s="1386"/>
      <c r="AA36" s="891">
        <f t="shared" si="0"/>
        <v>236042000000</v>
      </c>
      <c r="AB36" s="892">
        <f t="shared" si="1"/>
        <v>236042000000</v>
      </c>
      <c r="AC36" s="890"/>
      <c r="AD36" s="890"/>
      <c r="AE36" s="890"/>
    </row>
    <row r="37" spans="3:31" s="1466" customFormat="1" ht="18.600000000000001" customHeight="1" x14ac:dyDescent="0.4">
      <c r="C37" s="1551" t="s">
        <v>2051</v>
      </c>
      <c r="D37" s="1551" t="s">
        <v>2029</v>
      </c>
      <c r="E37" s="890"/>
      <c r="F37" s="1546"/>
      <c r="G37" s="890"/>
      <c r="H37" s="890"/>
      <c r="I37" s="1546"/>
      <c r="J37" s="754"/>
      <c r="K37" s="754"/>
      <c r="L37" s="754"/>
      <c r="M37" s="890"/>
      <c r="N37" s="890"/>
      <c r="O37" s="890"/>
      <c r="P37" s="890"/>
      <c r="Q37" s="890">
        <f t="shared" si="3"/>
        <v>0</v>
      </c>
      <c r="R37" s="890"/>
      <c r="S37" s="890"/>
      <c r="T37" s="890"/>
      <c r="U37" s="890"/>
      <c r="V37" s="1582">
        <v>562975000000</v>
      </c>
      <c r="W37" s="1386"/>
      <c r="X37" s="1386"/>
      <c r="Y37" s="1386"/>
      <c r="Z37" s="1386"/>
      <c r="AA37" s="891">
        <f t="shared" si="0"/>
        <v>562975000000</v>
      </c>
      <c r="AB37" s="892">
        <f t="shared" si="1"/>
        <v>562975000000</v>
      </c>
      <c r="AC37" s="890"/>
      <c r="AD37" s="890"/>
      <c r="AE37" s="890"/>
    </row>
    <row r="38" spans="3:31" s="1466" customFormat="1" ht="18.600000000000001" customHeight="1" x14ac:dyDescent="0.4">
      <c r="C38" s="1148" t="s">
        <v>2050</v>
      </c>
      <c r="D38" s="1552" t="s">
        <v>620</v>
      </c>
      <c r="E38" s="890"/>
      <c r="F38" s="1546"/>
      <c r="G38" s="890"/>
      <c r="H38" s="890"/>
      <c r="I38" s="1546"/>
      <c r="J38" s="754"/>
      <c r="K38" s="754"/>
      <c r="L38" s="754"/>
      <c r="M38" s="890"/>
      <c r="N38" s="890"/>
      <c r="O38" s="890"/>
      <c r="P38" s="890"/>
      <c r="Q38" s="890">
        <f t="shared" si="3"/>
        <v>0</v>
      </c>
      <c r="R38" s="890"/>
      <c r="S38" s="890"/>
      <c r="T38" s="890"/>
      <c r="U38" s="890"/>
      <c r="V38" s="1582">
        <f>667695000000+X38</f>
        <v>670714000000</v>
      </c>
      <c r="W38" s="1386"/>
      <c r="X38" s="1386">
        <v>3019000000</v>
      </c>
      <c r="Y38" s="1386"/>
      <c r="Z38" s="1386"/>
      <c r="AA38" s="891">
        <f t="shared" si="0"/>
        <v>670714000000</v>
      </c>
      <c r="AB38" s="892">
        <f t="shared" si="1"/>
        <v>670714000000</v>
      </c>
      <c r="AC38" s="890"/>
      <c r="AD38" s="890"/>
      <c r="AE38" s="890"/>
    </row>
    <row r="39" spans="3:31" s="1466" customFormat="1" ht="18.600000000000001" customHeight="1" x14ac:dyDescent="0.4">
      <c r="C39" s="1551" t="s">
        <v>2055</v>
      </c>
      <c r="D39" s="1551" t="s">
        <v>2033</v>
      </c>
      <c r="E39" s="890"/>
      <c r="F39" s="1546"/>
      <c r="G39" s="890"/>
      <c r="H39" s="890"/>
      <c r="I39" s="1546"/>
      <c r="J39" s="754"/>
      <c r="K39" s="754"/>
      <c r="L39" s="754"/>
      <c r="M39" s="890"/>
      <c r="N39" s="890"/>
      <c r="O39" s="890"/>
      <c r="P39" s="890"/>
      <c r="Q39" s="890">
        <f t="shared" si="3"/>
        <v>0</v>
      </c>
      <c r="R39" s="890"/>
      <c r="S39" s="890"/>
      <c r="T39" s="890"/>
      <c r="U39" s="890"/>
      <c r="V39" s="1582">
        <v>315548000000</v>
      </c>
      <c r="W39" s="1386"/>
      <c r="X39" s="1386"/>
      <c r="Y39" s="1386"/>
      <c r="Z39" s="1386"/>
      <c r="AA39" s="891">
        <f t="shared" si="0"/>
        <v>315548000000</v>
      </c>
      <c r="AB39" s="892">
        <f t="shared" si="1"/>
        <v>315548000000</v>
      </c>
      <c r="AC39" s="890"/>
      <c r="AD39" s="890"/>
      <c r="AE39" s="890"/>
    </row>
    <row r="40" spans="3:31" s="1466" customFormat="1" ht="18.600000000000001" customHeight="1" x14ac:dyDescent="0.4">
      <c r="C40" s="1551" t="s">
        <v>2064</v>
      </c>
      <c r="D40" s="1551" t="s">
        <v>2042</v>
      </c>
      <c r="E40" s="890"/>
      <c r="F40" s="1546"/>
      <c r="G40" s="890"/>
      <c r="H40" s="890"/>
      <c r="I40" s="1546"/>
      <c r="J40" s="754"/>
      <c r="K40" s="754"/>
      <c r="L40" s="754"/>
      <c r="M40" s="890"/>
      <c r="N40" s="890"/>
      <c r="O40" s="890"/>
      <c r="P40" s="890"/>
      <c r="Q40" s="890">
        <f t="shared" si="3"/>
        <v>0</v>
      </c>
      <c r="R40" s="890"/>
      <c r="S40" s="890"/>
      <c r="T40" s="890"/>
      <c r="U40" s="890"/>
      <c r="V40" s="1582">
        <v>50000000000</v>
      </c>
      <c r="W40" s="1386"/>
      <c r="X40" s="1386"/>
      <c r="Y40" s="1386"/>
      <c r="Z40" s="1386"/>
      <c r="AA40" s="891">
        <f t="shared" si="0"/>
        <v>50000000000</v>
      </c>
      <c r="AB40" s="892">
        <f t="shared" si="1"/>
        <v>50000000000</v>
      </c>
      <c r="AC40" s="890"/>
      <c r="AD40" s="890"/>
      <c r="AE40" s="890"/>
    </row>
    <row r="41" spans="3:31" s="1466" customFormat="1" ht="18.600000000000001" customHeight="1" x14ac:dyDescent="0.4">
      <c r="C41" s="1551" t="s">
        <v>2056</v>
      </c>
      <c r="D41" s="1551" t="s">
        <v>2072</v>
      </c>
      <c r="E41" s="890"/>
      <c r="F41" s="1546"/>
      <c r="G41" s="890"/>
      <c r="H41" s="890"/>
      <c r="I41" s="1546"/>
      <c r="J41" s="754"/>
      <c r="K41" s="754"/>
      <c r="L41" s="754"/>
      <c r="M41" s="890"/>
      <c r="N41" s="890"/>
      <c r="O41" s="890"/>
      <c r="P41" s="890"/>
      <c r="Q41" s="890">
        <f t="shared" si="3"/>
        <v>0</v>
      </c>
      <c r="R41" s="890"/>
      <c r="S41" s="890"/>
      <c r="T41" s="890"/>
      <c r="U41" s="890"/>
      <c r="V41" s="1582">
        <v>534000000000</v>
      </c>
      <c r="W41" s="1386"/>
      <c r="X41" s="1386"/>
      <c r="Y41" s="1386"/>
      <c r="Z41" s="1386"/>
      <c r="AA41" s="891">
        <f t="shared" si="0"/>
        <v>534000000000</v>
      </c>
      <c r="AB41" s="892">
        <f t="shared" si="1"/>
        <v>534000000000</v>
      </c>
      <c r="AC41" s="890"/>
      <c r="AD41" s="890"/>
      <c r="AE41" s="890"/>
    </row>
    <row r="42" spans="3:31" s="1466" customFormat="1" ht="18.600000000000001" customHeight="1" x14ac:dyDescent="0.4">
      <c r="C42" s="753" t="s">
        <v>2061</v>
      </c>
      <c r="D42" s="1553" t="s">
        <v>600</v>
      </c>
      <c r="E42" s="890"/>
      <c r="F42" s="1546"/>
      <c r="G42" s="890"/>
      <c r="H42" s="890"/>
      <c r="I42" s="1546"/>
      <c r="J42" s="754"/>
      <c r="K42" s="754"/>
      <c r="L42" s="754"/>
      <c r="M42" s="890"/>
      <c r="N42" s="890"/>
      <c r="O42" s="890"/>
      <c r="P42" s="890"/>
      <c r="Q42" s="890">
        <f t="shared" si="3"/>
        <v>0</v>
      </c>
      <c r="R42" s="890"/>
      <c r="S42" s="890"/>
      <c r="T42" s="890"/>
      <c r="U42" s="890"/>
      <c r="V42" s="1582">
        <f>140930000000+X42</f>
        <v>151930000000</v>
      </c>
      <c r="W42" s="1386"/>
      <c r="X42" s="1386">
        <v>11000000000</v>
      </c>
      <c r="Y42" s="1386"/>
      <c r="Z42" s="1386"/>
      <c r="AA42" s="891">
        <f t="shared" si="0"/>
        <v>151930000000</v>
      </c>
      <c r="AB42" s="892">
        <f t="shared" si="1"/>
        <v>151930000000</v>
      </c>
      <c r="AC42" s="890"/>
      <c r="AD42" s="890"/>
      <c r="AE42" s="890"/>
    </row>
    <row r="43" spans="3:31" s="1466" customFormat="1" ht="18.600000000000001" customHeight="1" x14ac:dyDescent="0.4">
      <c r="C43" s="1148" t="s">
        <v>2052</v>
      </c>
      <c r="D43" s="1552" t="s">
        <v>601</v>
      </c>
      <c r="E43" s="890"/>
      <c r="F43" s="1546"/>
      <c r="G43" s="890"/>
      <c r="H43" s="890"/>
      <c r="I43" s="1546"/>
      <c r="J43" s="754"/>
      <c r="K43" s="754"/>
      <c r="L43" s="754"/>
      <c r="M43" s="890"/>
      <c r="N43" s="890"/>
      <c r="O43" s="890"/>
      <c r="P43" s="890"/>
      <c r="Q43" s="890">
        <f t="shared" si="3"/>
        <v>0</v>
      </c>
      <c r="R43" s="890"/>
      <c r="S43" s="890"/>
      <c r="T43" s="890"/>
      <c r="U43" s="890"/>
      <c r="V43" s="1582">
        <f>410900000000+X43</f>
        <v>418200000000</v>
      </c>
      <c r="W43" s="1386"/>
      <c r="X43" s="1386">
        <v>7300000000</v>
      </c>
      <c r="Y43" s="1386"/>
      <c r="Z43" s="1386"/>
      <c r="AA43" s="891">
        <f t="shared" si="0"/>
        <v>418200000000</v>
      </c>
      <c r="AB43" s="892">
        <f t="shared" si="1"/>
        <v>418200000000</v>
      </c>
      <c r="AC43" s="890"/>
      <c r="AD43" s="890"/>
      <c r="AE43" s="890"/>
    </row>
    <row r="44" spans="3:31" s="1466" customFormat="1" ht="18.600000000000001" customHeight="1" x14ac:dyDescent="0.4">
      <c r="C44" s="1554" t="s">
        <v>2057</v>
      </c>
      <c r="D44" s="1555" t="s">
        <v>2034</v>
      </c>
      <c r="E44" s="890"/>
      <c r="F44" s="1546"/>
      <c r="G44" s="890"/>
      <c r="H44" s="890"/>
      <c r="I44" s="1546"/>
      <c r="J44" s="754"/>
      <c r="K44" s="754"/>
      <c r="L44" s="754"/>
      <c r="M44" s="890"/>
      <c r="N44" s="890"/>
      <c r="O44" s="890"/>
      <c r="P44" s="890"/>
      <c r="Q44" s="890">
        <f t="shared" si="3"/>
        <v>0</v>
      </c>
      <c r="R44" s="890"/>
      <c r="S44" s="890"/>
      <c r="T44" s="890"/>
      <c r="U44" s="890"/>
      <c r="V44" s="1582">
        <f>310500000000+X44</f>
        <v>313500000000</v>
      </c>
      <c r="W44" s="1386"/>
      <c r="X44" s="1386">
        <v>3000000000</v>
      </c>
      <c r="Y44" s="1386"/>
      <c r="Z44" s="1386"/>
      <c r="AA44" s="891">
        <f t="shared" si="0"/>
        <v>313500000000</v>
      </c>
      <c r="AB44" s="892">
        <f t="shared" si="1"/>
        <v>313500000000</v>
      </c>
      <c r="AC44" s="890"/>
      <c r="AD44" s="890"/>
      <c r="AE44" s="890"/>
    </row>
    <row r="45" spans="3:31" s="1466" customFormat="1" ht="18.600000000000001" customHeight="1" x14ac:dyDescent="0.4">
      <c r="C45" s="1148" t="s">
        <v>2054</v>
      </c>
      <c r="D45" s="1552" t="s">
        <v>602</v>
      </c>
      <c r="E45" s="890"/>
      <c r="F45" s="1546"/>
      <c r="G45" s="890"/>
      <c r="H45" s="890"/>
      <c r="I45" s="1546"/>
      <c r="J45" s="754"/>
      <c r="K45" s="754"/>
      <c r="L45" s="754"/>
      <c r="M45" s="890"/>
      <c r="N45" s="890"/>
      <c r="O45" s="890"/>
      <c r="P45" s="890"/>
      <c r="Q45" s="890">
        <f t="shared" si="3"/>
        <v>0</v>
      </c>
      <c r="R45" s="890"/>
      <c r="S45" s="890"/>
      <c r="T45" s="890"/>
      <c r="U45" s="890"/>
      <c r="V45" s="1582">
        <f>282461000000+X45</f>
        <v>285661000000</v>
      </c>
      <c r="W45" s="1386"/>
      <c r="X45" s="1386">
        <v>3200000000</v>
      </c>
      <c r="Y45" s="1386"/>
      <c r="Z45" s="1386"/>
      <c r="AA45" s="891">
        <f t="shared" si="0"/>
        <v>285661000000</v>
      </c>
      <c r="AB45" s="892">
        <f t="shared" si="1"/>
        <v>285661000000</v>
      </c>
      <c r="AC45" s="890"/>
      <c r="AD45" s="890"/>
      <c r="AE45" s="890"/>
    </row>
    <row r="46" spans="3:31" s="1466" customFormat="1" ht="18.600000000000001" customHeight="1" x14ac:dyDescent="0.4">
      <c r="C46" s="1551" t="s">
        <v>2063</v>
      </c>
      <c r="D46" s="1551" t="s">
        <v>2039</v>
      </c>
      <c r="E46" s="890"/>
      <c r="F46" s="1546"/>
      <c r="G46" s="890"/>
      <c r="H46" s="890"/>
      <c r="I46" s="1546"/>
      <c r="J46" s="754"/>
      <c r="K46" s="754"/>
      <c r="L46" s="754"/>
      <c r="M46" s="890"/>
      <c r="N46" s="890"/>
      <c r="O46" s="890"/>
      <c r="P46" s="890"/>
      <c r="Q46" s="890">
        <f t="shared" si="3"/>
        <v>0</v>
      </c>
      <c r="R46" s="890"/>
      <c r="S46" s="890"/>
      <c r="T46" s="890"/>
      <c r="U46" s="890"/>
      <c r="V46" s="1582">
        <v>100000000000</v>
      </c>
      <c r="W46" s="1386"/>
      <c r="X46" s="1386"/>
      <c r="Y46" s="1386"/>
      <c r="Z46" s="1386"/>
      <c r="AA46" s="891">
        <f t="shared" si="0"/>
        <v>100000000000</v>
      </c>
      <c r="AB46" s="892">
        <f t="shared" si="1"/>
        <v>100000000000</v>
      </c>
      <c r="AC46" s="890"/>
      <c r="AD46" s="890"/>
      <c r="AE46" s="890"/>
    </row>
    <row r="47" spans="3:31" s="1466" customFormat="1" ht="18.600000000000001" customHeight="1" x14ac:dyDescent="0.4">
      <c r="C47" s="1551" t="s">
        <v>2066</v>
      </c>
      <c r="D47" s="1551" t="s">
        <v>2044</v>
      </c>
      <c r="E47" s="890"/>
      <c r="F47" s="1546"/>
      <c r="G47" s="890"/>
      <c r="H47" s="890"/>
      <c r="I47" s="1546"/>
      <c r="J47" s="754"/>
      <c r="K47" s="754"/>
      <c r="L47" s="754"/>
      <c r="M47" s="890"/>
      <c r="N47" s="890"/>
      <c r="O47" s="890"/>
      <c r="P47" s="890"/>
      <c r="Q47" s="890">
        <f t="shared" si="3"/>
        <v>0</v>
      </c>
      <c r="R47" s="890"/>
      <c r="S47" s="890"/>
      <c r="T47" s="890"/>
      <c r="U47" s="890"/>
      <c r="V47" s="1582">
        <v>35000000000</v>
      </c>
      <c r="W47" s="1386"/>
      <c r="X47" s="1386"/>
      <c r="Y47" s="1386"/>
      <c r="Z47" s="1386"/>
      <c r="AA47" s="891">
        <f t="shared" si="0"/>
        <v>35000000000</v>
      </c>
      <c r="AB47" s="892">
        <f t="shared" si="1"/>
        <v>35000000000</v>
      </c>
      <c r="AC47" s="890"/>
      <c r="AD47" s="890"/>
      <c r="AE47" s="890"/>
    </row>
    <row r="48" spans="3:31" s="1466" customFormat="1" ht="18.600000000000001" customHeight="1" x14ac:dyDescent="0.4">
      <c r="C48" s="1551" t="s">
        <v>2059</v>
      </c>
      <c r="D48" s="1551" t="s">
        <v>2036</v>
      </c>
      <c r="E48" s="890"/>
      <c r="F48" s="1546"/>
      <c r="G48" s="890"/>
      <c r="H48" s="890"/>
      <c r="I48" s="1546"/>
      <c r="J48" s="754"/>
      <c r="K48" s="754"/>
      <c r="L48" s="754"/>
      <c r="M48" s="890"/>
      <c r="N48" s="890"/>
      <c r="O48" s="890"/>
      <c r="P48" s="890"/>
      <c r="Q48" s="890">
        <f t="shared" si="3"/>
        <v>0</v>
      </c>
      <c r="R48" s="890"/>
      <c r="S48" s="890"/>
      <c r="T48" s="890"/>
      <c r="U48" s="890"/>
      <c r="V48" s="1582">
        <v>346100000000</v>
      </c>
      <c r="W48" s="1386"/>
      <c r="X48" s="1386"/>
      <c r="Y48" s="1386"/>
      <c r="Z48" s="1386"/>
      <c r="AA48" s="891">
        <f t="shared" si="0"/>
        <v>346100000000</v>
      </c>
      <c r="AB48" s="892">
        <f t="shared" si="1"/>
        <v>346100000000</v>
      </c>
      <c r="AC48" s="890"/>
      <c r="AD48" s="890"/>
      <c r="AE48" s="890"/>
    </row>
    <row r="49" spans="1:35" s="1466" customFormat="1" ht="18.600000000000001" customHeight="1" x14ac:dyDescent="0.4">
      <c r="C49" s="1551" t="s">
        <v>2065</v>
      </c>
      <c r="D49" s="1551" t="s">
        <v>2043</v>
      </c>
      <c r="E49" s="890"/>
      <c r="F49" s="1546"/>
      <c r="G49" s="890"/>
      <c r="H49" s="890"/>
      <c r="I49" s="1546"/>
      <c r="J49" s="754"/>
      <c r="K49" s="754"/>
      <c r="L49" s="754"/>
      <c r="M49" s="890"/>
      <c r="N49" s="890"/>
      <c r="O49" s="890"/>
      <c r="P49" s="890"/>
      <c r="Q49" s="890">
        <f t="shared" si="3"/>
        <v>0</v>
      </c>
      <c r="R49" s="890"/>
      <c r="S49" s="890"/>
      <c r="T49" s="890"/>
      <c r="U49" s="890"/>
      <c r="V49" s="1582">
        <v>100000000000</v>
      </c>
      <c r="W49" s="1386"/>
      <c r="X49" s="1386"/>
      <c r="Y49" s="1386"/>
      <c r="Z49" s="1386"/>
      <c r="AA49" s="891">
        <f t="shared" si="0"/>
        <v>100000000000</v>
      </c>
      <c r="AB49" s="892">
        <f t="shared" si="1"/>
        <v>100000000000</v>
      </c>
      <c r="AC49" s="890"/>
      <c r="AD49" s="890"/>
      <c r="AE49" s="890"/>
    </row>
    <row r="50" spans="1:35" s="1466" customFormat="1" ht="18.600000000000001" customHeight="1" x14ac:dyDescent="0.4">
      <c r="C50" s="1551" t="s">
        <v>2060</v>
      </c>
      <c r="D50" s="1551" t="s">
        <v>2037</v>
      </c>
      <c r="E50" s="890"/>
      <c r="F50" s="1546"/>
      <c r="G50" s="890"/>
      <c r="H50" s="890"/>
      <c r="I50" s="1546"/>
      <c r="J50" s="754"/>
      <c r="K50" s="754"/>
      <c r="L50" s="754"/>
      <c r="M50" s="890"/>
      <c r="N50" s="890"/>
      <c r="O50" s="890"/>
      <c r="P50" s="890"/>
      <c r="Q50" s="890">
        <f t="shared" si="3"/>
        <v>0</v>
      </c>
      <c r="R50" s="890"/>
      <c r="S50" s="890"/>
      <c r="T50" s="890"/>
      <c r="U50" s="890"/>
      <c r="V50" s="1582">
        <v>219645000000</v>
      </c>
      <c r="W50" s="1386"/>
      <c r="X50" s="1386"/>
      <c r="Y50" s="1386"/>
      <c r="Z50" s="1386"/>
      <c r="AA50" s="891">
        <f t="shared" si="0"/>
        <v>219645000000</v>
      </c>
      <c r="AB50" s="892">
        <f t="shared" si="1"/>
        <v>219645000000</v>
      </c>
      <c r="AC50" s="890"/>
      <c r="AD50" s="890"/>
      <c r="AE50" s="890"/>
    </row>
    <row r="51" spans="1:35" s="1466" customFormat="1" ht="18.600000000000001" customHeight="1" x14ac:dyDescent="0.4">
      <c r="C51" s="1551" t="s">
        <v>2062</v>
      </c>
      <c r="D51" s="1551" t="s">
        <v>2144</v>
      </c>
      <c r="E51" s="890"/>
      <c r="F51" s="1546"/>
      <c r="G51" s="890"/>
      <c r="H51" s="890"/>
      <c r="I51" s="1546"/>
      <c r="J51" s="754"/>
      <c r="K51" s="754"/>
      <c r="L51" s="754"/>
      <c r="M51" s="890"/>
      <c r="N51" s="890"/>
      <c r="O51" s="890"/>
      <c r="P51" s="890"/>
      <c r="Q51" s="890">
        <f t="shared" si="3"/>
        <v>0</v>
      </c>
      <c r="R51" s="890"/>
      <c r="S51" s="890"/>
      <c r="T51" s="890"/>
      <c r="U51" s="890"/>
      <c r="V51" s="1582">
        <v>145000000000</v>
      </c>
      <c r="W51" s="1386"/>
      <c r="X51" s="1386"/>
      <c r="Y51" s="1386"/>
      <c r="Z51" s="1386"/>
      <c r="AA51" s="891">
        <f t="shared" si="0"/>
        <v>145000000000</v>
      </c>
      <c r="AB51" s="892">
        <f t="shared" si="1"/>
        <v>145000000000</v>
      </c>
      <c r="AC51" s="890"/>
      <c r="AD51" s="890"/>
      <c r="AE51" s="890"/>
    </row>
    <row r="52" spans="1:35" s="1466" customFormat="1" ht="18.600000000000001" customHeight="1" x14ac:dyDescent="0.4">
      <c r="C52" s="1551" t="s">
        <v>2067</v>
      </c>
      <c r="D52" s="1551" t="s">
        <v>2045</v>
      </c>
      <c r="E52" s="890"/>
      <c r="F52" s="1546"/>
      <c r="G52" s="890"/>
      <c r="H52" s="890"/>
      <c r="I52" s="1546"/>
      <c r="J52" s="754"/>
      <c r="K52" s="754"/>
      <c r="L52" s="754"/>
      <c r="M52" s="890"/>
      <c r="N52" s="890"/>
      <c r="O52" s="890"/>
      <c r="P52" s="890"/>
      <c r="Q52" s="890">
        <f t="shared" si="3"/>
        <v>0</v>
      </c>
      <c r="R52" s="890"/>
      <c r="S52" s="890"/>
      <c r="T52" s="890"/>
      <c r="U52" s="890"/>
      <c r="V52" s="1582">
        <v>130747000000</v>
      </c>
      <c r="W52" s="1386"/>
      <c r="X52" s="1386"/>
      <c r="Y52" s="1386"/>
      <c r="Z52" s="1386"/>
      <c r="AA52" s="891">
        <f t="shared" si="0"/>
        <v>130747000000</v>
      </c>
      <c r="AB52" s="892">
        <f t="shared" si="1"/>
        <v>130747000000</v>
      </c>
      <c r="AC52" s="890"/>
      <c r="AD52" s="890"/>
      <c r="AE52" s="890"/>
    </row>
    <row r="53" spans="1:35" s="1466" customFormat="1" ht="18.600000000000001" customHeight="1" x14ac:dyDescent="0.4">
      <c r="C53" s="3954" t="s">
        <v>2176</v>
      </c>
      <c r="D53" s="3955"/>
      <c r="E53" s="890"/>
      <c r="F53" s="1546"/>
      <c r="G53" s="890"/>
      <c r="H53" s="890"/>
      <c r="I53" s="1546"/>
      <c r="J53" s="754"/>
      <c r="K53" s="754"/>
      <c r="L53" s="754"/>
      <c r="M53" s="890"/>
      <c r="N53" s="890"/>
      <c r="O53" s="890"/>
      <c r="P53" s="890"/>
      <c r="Q53" s="890"/>
      <c r="R53" s="890"/>
      <c r="S53" s="890"/>
      <c r="T53" s="890"/>
      <c r="U53" s="890"/>
      <c r="V53" s="1582"/>
      <c r="W53" s="1386"/>
      <c r="X53" s="1386"/>
      <c r="Y53" s="1386"/>
      <c r="Z53" s="1386"/>
      <c r="AA53" s="889"/>
      <c r="AB53" s="754"/>
      <c r="AC53" s="890"/>
      <c r="AD53" s="890"/>
      <c r="AE53" s="886">
        <v>1523025250507</v>
      </c>
    </row>
    <row r="54" spans="1:35" s="879" customFormat="1" ht="20.25" customHeight="1" thickBot="1" x14ac:dyDescent="0.25">
      <c r="C54" s="3944" t="s">
        <v>195</v>
      </c>
      <c r="D54" s="3944"/>
      <c r="E54" s="984" t="e">
        <f>SUM(#REF!)</f>
        <v>#REF!</v>
      </c>
      <c r="G54" s="984" t="e">
        <f>SUM(#REF!)</f>
        <v>#REF!</v>
      </c>
      <c r="H54" s="984"/>
      <c r="J54" s="1428">
        <f>SUM(J22:J53)</f>
        <v>155091000000</v>
      </c>
      <c r="K54" s="1428">
        <f t="shared" ref="K54:AE54" si="4">SUM(K22:K53)</f>
        <v>98044000000</v>
      </c>
      <c r="L54" s="1428">
        <f t="shared" si="4"/>
        <v>-21113000000</v>
      </c>
      <c r="M54" s="1428">
        <f t="shared" si="4"/>
        <v>-35934000000</v>
      </c>
      <c r="N54" s="1428">
        <f t="shared" si="4"/>
        <v>0</v>
      </c>
      <c r="O54" s="1428">
        <f t="shared" si="4"/>
        <v>0</v>
      </c>
      <c r="P54" s="1428">
        <f t="shared" si="4"/>
        <v>0</v>
      </c>
      <c r="Q54" s="1428">
        <f t="shared" si="4"/>
        <v>98044000000</v>
      </c>
      <c r="R54" s="1428">
        <f t="shared" si="4"/>
        <v>0</v>
      </c>
      <c r="S54" s="1428">
        <f t="shared" si="4"/>
        <v>0</v>
      </c>
      <c r="T54" s="1428">
        <f t="shared" si="4"/>
        <v>0</v>
      </c>
      <c r="U54" s="1428">
        <f t="shared" si="4"/>
        <v>0</v>
      </c>
      <c r="V54" s="1583">
        <f t="shared" si="4"/>
        <v>6175195000000</v>
      </c>
      <c r="W54" s="1428">
        <f t="shared" si="4"/>
        <v>0</v>
      </c>
      <c r="X54" s="1428">
        <f t="shared" si="4"/>
        <v>41019000000</v>
      </c>
      <c r="Y54" s="1428">
        <f t="shared" si="4"/>
        <v>0</v>
      </c>
      <c r="Z54" s="1428" t="e">
        <f t="shared" si="4"/>
        <v>#REF!</v>
      </c>
      <c r="AA54" s="1428" t="e">
        <f t="shared" si="4"/>
        <v>#REF!</v>
      </c>
      <c r="AB54" s="1428">
        <f t="shared" si="4"/>
        <v>6273239000000</v>
      </c>
      <c r="AC54" s="1428">
        <f t="shared" si="4"/>
        <v>0</v>
      </c>
      <c r="AD54" s="1428">
        <f t="shared" si="4"/>
        <v>0</v>
      </c>
      <c r="AE54" s="1428">
        <f t="shared" si="4"/>
        <v>4229334997599</v>
      </c>
    </row>
    <row r="55" spans="1:35" s="879" customFormat="1" ht="9" hidden="1" customHeight="1" thickBot="1" x14ac:dyDescent="0.25">
      <c r="C55" s="899"/>
      <c r="D55" s="899"/>
      <c r="E55" s="900"/>
      <c r="F55" s="901"/>
      <c r="G55" s="901"/>
      <c r="H55" s="901"/>
      <c r="J55" s="901"/>
      <c r="K55" s="901"/>
      <c r="L55" s="901"/>
      <c r="M55" s="901"/>
      <c r="N55" s="901"/>
      <c r="O55" s="901"/>
      <c r="P55" s="901"/>
      <c r="Q55" s="1538"/>
      <c r="R55" s="901"/>
      <c r="S55" s="901"/>
      <c r="T55" s="901"/>
      <c r="U55" s="901"/>
      <c r="V55" s="1584"/>
      <c r="W55" s="901"/>
      <c r="X55" s="1387"/>
      <c r="Y55" s="901"/>
      <c r="Z55" s="1387"/>
      <c r="AA55" s="1387"/>
      <c r="AB55" s="901"/>
      <c r="AC55" s="901"/>
      <c r="AD55" s="901"/>
      <c r="AE55" s="901"/>
    </row>
    <row r="56" spans="1:35" s="879" customFormat="1" ht="9" customHeight="1" thickTop="1" x14ac:dyDescent="0.2">
      <c r="C56" s="318"/>
      <c r="D56" s="318"/>
      <c r="F56" s="41"/>
      <c r="G56" s="41"/>
      <c r="H56" s="41"/>
      <c r="J56" s="41"/>
      <c r="K56" s="41"/>
      <c r="L56" s="41"/>
      <c r="M56" s="41"/>
      <c r="N56" s="41"/>
      <c r="O56" s="41"/>
      <c r="P56" s="41"/>
      <c r="Q56" s="41"/>
      <c r="R56" s="41"/>
      <c r="S56" s="41"/>
      <c r="T56" s="41"/>
      <c r="U56" s="41"/>
      <c r="V56" s="1585"/>
      <c r="W56" s="41"/>
      <c r="X56" s="41"/>
      <c r="Y56" s="41"/>
      <c r="Z56" s="41"/>
      <c r="AA56" s="41"/>
      <c r="AB56" s="41"/>
      <c r="AC56" s="41"/>
      <c r="AD56" s="41"/>
      <c r="AE56" s="41"/>
    </row>
    <row r="57" spans="1:35" s="879" customFormat="1" ht="13.15" customHeight="1" x14ac:dyDescent="0.2">
      <c r="C57" s="3935" t="s">
        <v>2278</v>
      </c>
      <c r="D57" s="3935"/>
      <c r="E57" s="3935"/>
      <c r="F57" s="3935"/>
      <c r="G57" s="3935"/>
      <c r="H57" s="3935"/>
      <c r="I57" s="3935"/>
      <c r="J57" s="3935"/>
      <c r="K57" s="3935"/>
      <c r="L57" s="3935"/>
      <c r="M57" s="3935"/>
      <c r="N57" s="3935"/>
      <c r="O57" s="3935"/>
      <c r="P57" s="3935"/>
      <c r="Q57" s="3935"/>
      <c r="R57" s="3935"/>
      <c r="S57" s="3935"/>
      <c r="T57" s="3935"/>
      <c r="U57" s="3935"/>
      <c r="V57" s="3935"/>
      <c r="W57" s="3935"/>
      <c r="X57" s="3935"/>
      <c r="Y57" s="3935"/>
      <c r="Z57" s="3935"/>
      <c r="AA57" s="3935"/>
      <c r="AB57" s="3935"/>
      <c r="AC57" s="3935"/>
      <c r="AD57" s="3935"/>
      <c r="AE57" s="3935"/>
    </row>
    <row r="58" spans="1:35" s="879" customFormat="1" ht="20.45" customHeight="1" x14ac:dyDescent="0.2">
      <c r="A58" s="902"/>
      <c r="C58" s="3933"/>
      <c r="D58" s="3933"/>
      <c r="E58" s="3933"/>
      <c r="F58" s="3933"/>
      <c r="G58" s="3933"/>
      <c r="H58" s="3933"/>
      <c r="I58" s="3933"/>
      <c r="J58" s="3933"/>
      <c r="K58" s="3933"/>
      <c r="L58" s="3933"/>
      <c r="M58" s="3933"/>
      <c r="N58" s="3933"/>
      <c r="O58" s="3933"/>
      <c r="P58" s="3933"/>
      <c r="Q58" s="3933"/>
      <c r="R58" s="3933"/>
      <c r="S58" s="3933"/>
      <c r="T58" s="3933"/>
      <c r="U58" s="3933"/>
      <c r="V58" s="3933"/>
      <c r="W58" s="3933"/>
      <c r="X58" s="3933"/>
      <c r="Y58" s="3933"/>
      <c r="Z58" s="3933"/>
      <c r="AA58" s="3933"/>
      <c r="AB58" s="3933"/>
      <c r="AC58" s="3933"/>
      <c r="AD58" s="3933"/>
      <c r="AE58" s="3933"/>
    </row>
    <row r="60" spans="1:35" x14ac:dyDescent="0.2">
      <c r="V60" s="1586" cm="1">
        <f t="array" ref="V60:W60">V54+'يادداشت 15سایر درآمد ها و انتقا'!O42:P42-X54</f>
        <v>15916098000000</v>
      </c>
      <c r="W60" s="103">
        <v>6134176000000</v>
      </c>
    </row>
    <row r="61" spans="1:35" x14ac:dyDescent="0.2">
      <c r="L61" s="103" t="s">
        <v>1784</v>
      </c>
      <c r="M61" s="103">
        <f>O54+X54+'يادداشت 15سایر درآمد ها و انتقا'!G37+'يادداشت 15سایر درآمد ها و انتقا'!Q37</f>
        <v>64926000000</v>
      </c>
      <c r="V61" s="1586">
        <v>15916098000000</v>
      </c>
    </row>
    <row r="62" spans="1:35" x14ac:dyDescent="0.2">
      <c r="V62" s="1586">
        <f>V61-V60</f>
        <v>0</v>
      </c>
      <c r="AH62" s="103" cm="1">
        <f t="array" ref="AH62:AI62">V54+'يادداشت 15سایر درآمد ها و انتقا'!H37:I37+'يادداشت 15سایر درآمد ها و انتقا'!P31</f>
        <v>16195329000000</v>
      </c>
      <c r="AI62" s="103">
        <v>15976214000000</v>
      </c>
    </row>
    <row r="63" spans="1:35" x14ac:dyDescent="0.2">
      <c r="D63" s="904">
        <f>V54+'يادداشت 15سایر درآمد ها و انتقا'!W31</f>
        <v>15976214000000</v>
      </c>
      <c r="K63" s="103">
        <f>K54+'يادداشت 15سایر درآمد ها و انتقا'!L37</f>
        <v>1103098000000</v>
      </c>
      <c r="V63" s="1586">
        <f>L54+'يادداشت 15سایر درآمد ها و انتقا'!M37</f>
        <v>-221580000000</v>
      </c>
    </row>
    <row r="64" spans="1:35" x14ac:dyDescent="0.2">
      <c r="D64" s="904">
        <v>33707000000</v>
      </c>
      <c r="K64" s="103" cm="1">
        <f t="array" ref="K64:L64">K63+'يادداشت 15سایر درآمد ها و انتقا'!H37:I37</f>
        <v>1322213000000</v>
      </c>
      <c r="L64" s="103">
        <v>1103098000000</v>
      </c>
      <c r="V64" s="1586">
        <f>M54+'يادداشت 15سایر درآمد ها و انتقا'!N37</f>
        <v>-375455000000</v>
      </c>
      <c r="AE64" s="103">
        <f>Q54+'يادداشت 15سایر درآمد ها و انتقا'!O31</f>
        <v>1312213000000</v>
      </c>
    </row>
    <row r="65" spans="3:34" x14ac:dyDescent="0.2">
      <c r="D65" s="904">
        <f>D63-D64</f>
        <v>15942507000000</v>
      </c>
      <c r="AE65" s="103">
        <v>2788829840935</v>
      </c>
      <c r="AH65" s="103">
        <f>V54+'يادداشت 15سایر درآمد ها و انتقا'!P31</f>
        <v>15976214000000</v>
      </c>
    </row>
    <row r="66" spans="3:34" x14ac:dyDescent="0.2">
      <c r="D66" s="904">
        <f>Q54+'يادداشت 15سایر درآمد ها و انتقا'!O31</f>
        <v>1312213000000</v>
      </c>
      <c r="AE66" s="103">
        <f>AE64-AE65</f>
        <v>-1476616840935</v>
      </c>
    </row>
    <row r="67" spans="3:34" x14ac:dyDescent="0.2">
      <c r="K67" s="103" cm="1">
        <f t="array" ref="K67:L67">K63+'يادداشت 15سایر درآمد ها و انتقا'!H37:I37</f>
        <v>1322213000000</v>
      </c>
      <c r="L67" s="103">
        <v>1103098000000</v>
      </c>
    </row>
    <row r="69" spans="3:34" x14ac:dyDescent="0.2">
      <c r="L69" s="103">
        <f>V54+'يادداشت 15سایر درآمد ها و انتقا'!W31</f>
        <v>15976214000000</v>
      </c>
      <c r="M69" s="103">
        <f>W54+'يادداشت 15سایر درآمد ها و انتقا'!Q37</f>
        <v>19097000000</v>
      </c>
      <c r="V69" s="1586">
        <f>V54+'يادداشت 15سایر درآمد ها و انتقا'!W31-'يادداشت 15سایر درآمد ها و انتقا'!V31</f>
        <v>15976214000000</v>
      </c>
      <c r="AB69" s="103">
        <f>V54+'يادداشت 15سایر درآمد ها و انتقا'!W31-'يادداشت 15سایر درآمد ها و انتقا'!V31</f>
        <v>15976214000000</v>
      </c>
    </row>
    <row r="70" spans="3:34" x14ac:dyDescent="0.2">
      <c r="L70" s="103" t="s">
        <v>1785</v>
      </c>
      <c r="M70" s="103" t="s">
        <v>1784</v>
      </c>
    </row>
    <row r="71" spans="3:34" x14ac:dyDescent="0.2">
      <c r="L71" s="103">
        <f>L69-M69</f>
        <v>15957117000000</v>
      </c>
    </row>
    <row r="72" spans="3:34" x14ac:dyDescent="0.2">
      <c r="L72" s="103" t="s">
        <v>1786</v>
      </c>
      <c r="V72" s="1586">
        <f>Q54-M54+'يادداشت 15سایر درآمد ها و انتقا'!O37-'يادداشت 15سایر درآمد ها و انتقا'!N37</f>
        <v>1697668000000</v>
      </c>
    </row>
    <row r="74" spans="3:34" ht="18" x14ac:dyDescent="0.4">
      <c r="C74" s="734" t="s">
        <v>548</v>
      </c>
      <c r="D74" s="736" t="s">
        <v>547</v>
      </c>
      <c r="E74" s="871">
        <v>28991000000</v>
      </c>
      <c r="F74" s="879"/>
      <c r="G74" s="871"/>
      <c r="H74" s="871"/>
      <c r="I74" s="879"/>
      <c r="J74" s="754">
        <f t="shared" ref="J74:J89" si="5">K74-L74-M74</f>
        <v>0</v>
      </c>
      <c r="K74" s="905"/>
      <c r="L74" s="754"/>
      <c r="M74" s="890"/>
      <c r="N74" s="890"/>
      <c r="O74" s="890"/>
      <c r="P74" s="890"/>
      <c r="Q74" s="890">
        <f t="shared" ref="Q74:Q89" si="6">J74+L74+M74+P74</f>
        <v>0</v>
      </c>
      <c r="R74" s="890"/>
      <c r="S74" s="890"/>
      <c r="T74" s="890"/>
      <c r="U74" s="890"/>
      <c r="V74" s="1386"/>
      <c r="W74" s="891"/>
      <c r="X74" s="891"/>
      <c r="Y74" s="891"/>
      <c r="Z74" s="891"/>
      <c r="AA74" s="891">
        <f t="shared" ref="AA74:AA89" si="7">V74+Z74</f>
        <v>0</v>
      </c>
      <c r="AB74" s="892">
        <f t="shared" ref="AB74:AB89" si="8">J74+L74+M74+V74+Z74</f>
        <v>0</v>
      </c>
      <c r="AC74" s="890"/>
      <c r="AD74" s="890"/>
      <c r="AE74" s="890">
        <v>34878341272</v>
      </c>
    </row>
    <row r="75" spans="3:34" ht="18" x14ac:dyDescent="0.4">
      <c r="C75" s="734" t="s">
        <v>542</v>
      </c>
      <c r="D75" s="735" t="s">
        <v>335</v>
      </c>
      <c r="E75" s="871">
        <v>13347000000</v>
      </c>
      <c r="F75" s="879"/>
      <c r="G75" s="871"/>
      <c r="H75" s="871"/>
      <c r="I75" s="879"/>
      <c r="J75" s="754">
        <f t="shared" si="5"/>
        <v>0</v>
      </c>
      <c r="K75" s="754"/>
      <c r="L75" s="754"/>
      <c r="M75" s="890"/>
      <c r="N75" s="890"/>
      <c r="O75" s="890"/>
      <c r="P75" s="890"/>
      <c r="Q75" s="890">
        <f t="shared" si="6"/>
        <v>0</v>
      </c>
      <c r="R75" s="890"/>
      <c r="S75" s="890"/>
      <c r="T75" s="890"/>
      <c r="U75" s="890"/>
      <c r="V75" s="1386"/>
      <c r="W75" s="891"/>
      <c r="X75" s="891"/>
      <c r="Y75" s="891"/>
      <c r="Z75" s="891"/>
      <c r="AA75" s="891">
        <f t="shared" si="7"/>
        <v>0</v>
      </c>
      <c r="AB75" s="892">
        <f t="shared" si="8"/>
        <v>0</v>
      </c>
      <c r="AC75" s="890"/>
      <c r="AD75" s="890"/>
      <c r="AE75" s="890">
        <v>30000000000</v>
      </c>
    </row>
    <row r="76" spans="3:34" ht="18" x14ac:dyDescent="0.4">
      <c r="C76" s="734" t="s">
        <v>546</v>
      </c>
      <c r="D76" s="735" t="s">
        <v>545</v>
      </c>
      <c r="E76" s="871">
        <v>40515000000</v>
      </c>
      <c r="F76" s="888"/>
      <c r="G76" s="871"/>
      <c r="H76" s="871"/>
      <c r="I76" s="888"/>
      <c r="J76" s="754">
        <f t="shared" si="5"/>
        <v>0</v>
      </c>
      <c r="K76" s="889"/>
      <c r="L76" s="754"/>
      <c r="M76" s="890"/>
      <c r="N76" s="890"/>
      <c r="O76" s="890"/>
      <c r="P76" s="890"/>
      <c r="Q76" s="890">
        <f t="shared" si="6"/>
        <v>0</v>
      </c>
      <c r="R76" s="890"/>
      <c r="S76" s="890"/>
      <c r="T76" s="890"/>
      <c r="U76" s="890"/>
      <c r="V76" s="1386"/>
      <c r="W76" s="891"/>
      <c r="X76" s="891"/>
      <c r="Y76" s="891"/>
      <c r="Z76" s="891"/>
      <c r="AA76" s="891">
        <f t="shared" si="7"/>
        <v>0</v>
      </c>
      <c r="AB76" s="892">
        <f t="shared" si="8"/>
        <v>0</v>
      </c>
      <c r="AC76" s="890"/>
      <c r="AD76" s="890"/>
      <c r="AE76" s="890">
        <v>106059286251</v>
      </c>
    </row>
    <row r="77" spans="3:34" ht="21.75" x14ac:dyDescent="0.4">
      <c r="C77" s="384" t="s">
        <v>629</v>
      </c>
      <c r="D77" s="736" t="s">
        <v>605</v>
      </c>
      <c r="E77" s="871">
        <v>43155000000</v>
      </c>
      <c r="F77" s="888"/>
      <c r="G77" s="871"/>
      <c r="H77" s="871"/>
      <c r="I77" s="888"/>
      <c r="J77" s="754">
        <f t="shared" si="5"/>
        <v>0</v>
      </c>
      <c r="K77" s="889"/>
      <c r="L77" s="754"/>
      <c r="M77" s="890"/>
      <c r="N77" s="890"/>
      <c r="O77" s="890"/>
      <c r="P77" s="890"/>
      <c r="Q77" s="890">
        <f t="shared" si="6"/>
        <v>0</v>
      </c>
      <c r="R77" s="890"/>
      <c r="S77" s="890"/>
      <c r="T77" s="890"/>
      <c r="U77" s="890"/>
      <c r="V77" s="1386"/>
      <c r="W77" s="891"/>
      <c r="X77" s="891"/>
      <c r="Y77" s="891"/>
      <c r="Z77" s="891"/>
      <c r="AA77" s="891">
        <f t="shared" si="7"/>
        <v>0</v>
      </c>
      <c r="AB77" s="892">
        <f t="shared" si="8"/>
        <v>0</v>
      </c>
      <c r="AC77" s="890"/>
      <c r="AD77" s="890"/>
      <c r="AE77" s="890">
        <v>85671000000</v>
      </c>
    </row>
    <row r="78" spans="3:34" ht="18" x14ac:dyDescent="0.4">
      <c r="C78" s="734" t="s">
        <v>641</v>
      </c>
      <c r="D78" s="736" t="s">
        <v>640</v>
      </c>
      <c r="E78" s="871">
        <v>33749000000</v>
      </c>
      <c r="F78" s="888"/>
      <c r="G78" s="871"/>
      <c r="H78" s="871"/>
      <c r="I78" s="888"/>
      <c r="J78" s="754">
        <f t="shared" si="5"/>
        <v>0</v>
      </c>
      <c r="K78" s="754"/>
      <c r="L78" s="754"/>
      <c r="M78" s="890"/>
      <c r="N78" s="890"/>
      <c r="O78" s="890"/>
      <c r="P78" s="890"/>
      <c r="Q78" s="890">
        <f t="shared" si="6"/>
        <v>0</v>
      </c>
      <c r="R78" s="890"/>
      <c r="S78" s="890"/>
      <c r="T78" s="890"/>
      <c r="U78" s="890"/>
      <c r="V78" s="1386"/>
      <c r="W78" s="891"/>
      <c r="X78" s="891"/>
      <c r="Y78" s="891"/>
      <c r="Z78" s="891"/>
      <c r="AA78" s="891">
        <f t="shared" si="7"/>
        <v>0</v>
      </c>
      <c r="AB78" s="892">
        <f t="shared" si="8"/>
        <v>0</v>
      </c>
      <c r="AC78" s="890"/>
      <c r="AD78" s="890"/>
      <c r="AE78" s="890">
        <v>117868000000</v>
      </c>
    </row>
    <row r="79" spans="3:34" ht="18" x14ac:dyDescent="0.4">
      <c r="C79" s="734" t="s">
        <v>623</v>
      </c>
      <c r="D79" s="736" t="s">
        <v>599</v>
      </c>
      <c r="E79" s="871">
        <v>5874000000</v>
      </c>
      <c r="F79" s="879"/>
      <c r="G79" s="871"/>
      <c r="H79" s="871"/>
      <c r="I79" s="879"/>
      <c r="J79" s="754">
        <f t="shared" si="5"/>
        <v>0</v>
      </c>
      <c r="K79" s="889"/>
      <c r="L79" s="754"/>
      <c r="M79" s="890"/>
      <c r="N79" s="890"/>
      <c r="O79" s="890"/>
      <c r="P79" s="890"/>
      <c r="Q79" s="890">
        <f t="shared" si="6"/>
        <v>0</v>
      </c>
      <c r="R79" s="890"/>
      <c r="S79" s="890"/>
      <c r="T79" s="890"/>
      <c r="U79" s="890"/>
      <c r="V79" s="1386"/>
      <c r="W79" s="891"/>
      <c r="X79" s="891"/>
      <c r="Y79" s="891"/>
      <c r="Z79" s="891"/>
      <c r="AA79" s="891">
        <f t="shared" si="7"/>
        <v>0</v>
      </c>
      <c r="AB79" s="892">
        <f t="shared" si="8"/>
        <v>0</v>
      </c>
      <c r="AC79" s="890"/>
      <c r="AD79" s="890"/>
      <c r="AE79" s="890">
        <v>44614123534</v>
      </c>
    </row>
    <row r="80" spans="3:34" ht="18" x14ac:dyDescent="0.4">
      <c r="C80" s="734" t="s">
        <v>643</v>
      </c>
      <c r="D80" s="736" t="s">
        <v>632</v>
      </c>
      <c r="E80" s="871">
        <v>21912000000</v>
      </c>
      <c r="F80" s="879"/>
      <c r="G80" s="871"/>
      <c r="H80" s="871"/>
      <c r="I80" s="879"/>
      <c r="J80" s="754">
        <f t="shared" si="5"/>
        <v>0</v>
      </c>
      <c r="K80" s="889"/>
      <c r="L80" s="754"/>
      <c r="M80" s="890"/>
      <c r="N80" s="890"/>
      <c r="O80" s="890"/>
      <c r="P80" s="890"/>
      <c r="Q80" s="890">
        <f t="shared" si="6"/>
        <v>0</v>
      </c>
      <c r="R80" s="890"/>
      <c r="S80" s="890"/>
      <c r="T80" s="890"/>
      <c r="U80" s="890"/>
      <c r="V80" s="1386"/>
      <c r="W80" s="891"/>
      <c r="X80" s="891"/>
      <c r="Y80" s="891"/>
      <c r="Z80" s="891"/>
      <c r="AA80" s="891">
        <f t="shared" si="7"/>
        <v>0</v>
      </c>
      <c r="AB80" s="892">
        <f t="shared" si="8"/>
        <v>0</v>
      </c>
      <c r="AC80" s="890"/>
      <c r="AD80" s="890"/>
      <c r="AE80" s="890">
        <v>351296915864</v>
      </c>
    </row>
    <row r="81" spans="3:31" ht="18" x14ac:dyDescent="0.4">
      <c r="C81" s="734" t="s">
        <v>625</v>
      </c>
      <c r="D81" s="736" t="s">
        <v>601</v>
      </c>
      <c r="E81" s="871">
        <v>82499000000</v>
      </c>
      <c r="F81" s="879"/>
      <c r="G81" s="871"/>
      <c r="H81" s="871"/>
      <c r="I81" s="879"/>
      <c r="J81" s="754">
        <f t="shared" si="5"/>
        <v>0</v>
      </c>
      <c r="K81" s="754"/>
      <c r="L81" s="754"/>
      <c r="M81" s="890"/>
      <c r="N81" s="890"/>
      <c r="O81" s="890"/>
      <c r="P81" s="890"/>
      <c r="Q81" s="890">
        <f t="shared" si="6"/>
        <v>0</v>
      </c>
      <c r="R81" s="890"/>
      <c r="S81" s="890"/>
      <c r="T81" s="890"/>
      <c r="U81" s="890"/>
      <c r="V81" s="1386"/>
      <c r="W81" s="891"/>
      <c r="X81" s="891"/>
      <c r="Y81" s="891"/>
      <c r="Z81" s="891" t="e">
        <f>#REF!</f>
        <v>#REF!</v>
      </c>
      <c r="AA81" s="891" t="e">
        <f t="shared" si="7"/>
        <v>#REF!</v>
      </c>
      <c r="AB81" s="892" t="e">
        <f t="shared" si="8"/>
        <v>#REF!</v>
      </c>
      <c r="AC81" s="890"/>
      <c r="AD81" s="890"/>
      <c r="AE81" s="890">
        <v>189680000000</v>
      </c>
    </row>
    <row r="82" spans="3:31" ht="18" x14ac:dyDescent="0.4">
      <c r="C82" s="734" t="s">
        <v>626</v>
      </c>
      <c r="D82" s="736" t="s">
        <v>602</v>
      </c>
      <c r="E82" s="871">
        <v>69076000000</v>
      </c>
      <c r="F82" s="879"/>
      <c r="G82" s="871"/>
      <c r="H82" s="871"/>
      <c r="I82" s="879"/>
      <c r="J82" s="754">
        <f t="shared" si="5"/>
        <v>0</v>
      </c>
      <c r="K82" s="889"/>
      <c r="L82" s="754"/>
      <c r="M82" s="890"/>
      <c r="N82" s="890"/>
      <c r="O82" s="890"/>
      <c r="P82" s="890"/>
      <c r="Q82" s="890">
        <f t="shared" si="6"/>
        <v>0</v>
      </c>
      <c r="R82" s="890"/>
      <c r="S82" s="890"/>
      <c r="T82" s="890"/>
      <c r="U82" s="890"/>
      <c r="V82" s="1386"/>
      <c r="W82" s="891"/>
      <c r="X82" s="891"/>
      <c r="Y82" s="891"/>
      <c r="Z82" s="891"/>
      <c r="AA82" s="891">
        <f t="shared" si="7"/>
        <v>0</v>
      </c>
      <c r="AB82" s="892">
        <f t="shared" si="8"/>
        <v>0</v>
      </c>
      <c r="AC82" s="890"/>
      <c r="AD82" s="890"/>
      <c r="AE82" s="890">
        <v>32437861558</v>
      </c>
    </row>
    <row r="83" spans="3:31" ht="18" x14ac:dyDescent="0.4">
      <c r="C83" s="734" t="s">
        <v>627</v>
      </c>
      <c r="D83" s="736" t="s">
        <v>603</v>
      </c>
      <c r="E83" s="871">
        <v>23560000000</v>
      </c>
      <c r="F83" s="879"/>
      <c r="G83" s="871"/>
      <c r="H83" s="871"/>
      <c r="I83" s="879"/>
      <c r="J83" s="754">
        <f t="shared" si="5"/>
        <v>0</v>
      </c>
      <c r="K83" s="754"/>
      <c r="L83" s="754"/>
      <c r="M83" s="890"/>
      <c r="N83" s="890"/>
      <c r="O83" s="890"/>
      <c r="P83" s="890"/>
      <c r="Q83" s="890">
        <f t="shared" si="6"/>
        <v>0</v>
      </c>
      <c r="R83" s="890"/>
      <c r="S83" s="890"/>
      <c r="T83" s="890"/>
      <c r="U83" s="890"/>
      <c r="V83" s="1386"/>
      <c r="W83" s="891"/>
      <c r="X83" s="891"/>
      <c r="Y83" s="891"/>
      <c r="Z83" s="891"/>
      <c r="AA83" s="891">
        <f t="shared" si="7"/>
        <v>0</v>
      </c>
      <c r="AB83" s="892">
        <f t="shared" si="8"/>
        <v>0</v>
      </c>
      <c r="AC83" s="890"/>
      <c r="AD83" s="890"/>
      <c r="AE83" s="890">
        <v>62000000000</v>
      </c>
    </row>
    <row r="84" spans="3:31" ht="21.75" x14ac:dyDescent="0.4">
      <c r="C84" s="384" t="s">
        <v>1089</v>
      </c>
      <c r="D84" s="896" t="s">
        <v>1090</v>
      </c>
      <c r="E84" s="871"/>
      <c r="F84" s="879"/>
      <c r="G84" s="871"/>
      <c r="H84" s="871"/>
      <c r="I84" s="879"/>
      <c r="J84" s="754">
        <f t="shared" si="5"/>
        <v>0</v>
      </c>
      <c r="K84" s="754"/>
      <c r="L84" s="754"/>
      <c r="M84" s="890"/>
      <c r="N84" s="890"/>
      <c r="O84" s="890"/>
      <c r="P84" s="890"/>
      <c r="Q84" s="890">
        <f t="shared" si="6"/>
        <v>0</v>
      </c>
      <c r="R84" s="890"/>
      <c r="S84" s="890"/>
      <c r="T84" s="890"/>
      <c r="U84" s="890"/>
      <c r="V84" s="1386"/>
      <c r="W84" s="891"/>
      <c r="X84" s="891"/>
      <c r="Y84" s="891"/>
      <c r="Z84" s="891"/>
      <c r="AA84" s="891">
        <f t="shared" si="7"/>
        <v>0</v>
      </c>
      <c r="AB84" s="892">
        <f t="shared" si="8"/>
        <v>0</v>
      </c>
      <c r="AC84" s="890"/>
      <c r="AD84" s="890"/>
      <c r="AE84" s="890">
        <v>33898000000</v>
      </c>
    </row>
    <row r="85" spans="3:31" ht="18" x14ac:dyDescent="0.4">
      <c r="C85" s="1539" t="s">
        <v>292</v>
      </c>
      <c r="D85" s="1540" t="s">
        <v>1079</v>
      </c>
      <c r="E85" s="897"/>
      <c r="F85" s="879"/>
      <c r="G85" s="897"/>
      <c r="H85" s="897"/>
      <c r="I85" s="879"/>
      <c r="J85" s="1541">
        <f t="shared" si="5"/>
        <v>0</v>
      </c>
      <c r="K85" s="1541"/>
      <c r="L85" s="1541"/>
      <c r="M85" s="1129"/>
      <c r="N85" s="1129"/>
      <c r="O85" s="1129"/>
      <c r="P85" s="1129"/>
      <c r="Q85" s="890">
        <f t="shared" si="6"/>
        <v>0</v>
      </c>
      <c r="R85" s="1129"/>
      <c r="S85" s="1129"/>
      <c r="T85" s="1129"/>
      <c r="U85" s="1129"/>
      <c r="V85" s="1587"/>
      <c r="W85" s="1537"/>
      <c r="X85" s="1537"/>
      <c r="Y85" s="1537"/>
      <c r="Z85" s="1537"/>
      <c r="AA85" s="891">
        <f t="shared" si="7"/>
        <v>0</v>
      </c>
      <c r="AB85" s="892">
        <f t="shared" si="8"/>
        <v>0</v>
      </c>
      <c r="AC85" s="1129"/>
      <c r="AD85" s="1129"/>
      <c r="AE85" s="1129">
        <v>110000000000</v>
      </c>
    </row>
    <row r="86" spans="3:31" ht="18" x14ac:dyDescent="0.4">
      <c r="C86" s="425" t="s">
        <v>1080</v>
      </c>
      <c r="D86" s="443" t="s">
        <v>1081</v>
      </c>
      <c r="E86" s="871">
        <v>31700000000</v>
      </c>
      <c r="F86" s="888"/>
      <c r="G86" s="871"/>
      <c r="H86" s="871"/>
      <c r="I86" s="888"/>
      <c r="J86" s="754">
        <f t="shared" si="5"/>
        <v>0</v>
      </c>
      <c r="K86" s="889"/>
      <c r="L86" s="754"/>
      <c r="M86" s="890"/>
      <c r="N86" s="890"/>
      <c r="O86" s="890"/>
      <c r="P86" s="890"/>
      <c r="Q86" s="890">
        <f t="shared" si="6"/>
        <v>0</v>
      </c>
      <c r="R86" s="890"/>
      <c r="S86" s="890"/>
      <c r="T86" s="890"/>
      <c r="U86" s="890"/>
      <c r="V86" s="1581"/>
      <c r="W86" s="890"/>
      <c r="X86" s="890"/>
      <c r="Y86" s="890"/>
      <c r="Z86" s="890"/>
      <c r="AA86" s="891">
        <f t="shared" si="7"/>
        <v>0</v>
      </c>
      <c r="AB86" s="892">
        <f t="shared" si="8"/>
        <v>0</v>
      </c>
      <c r="AC86" s="890"/>
      <c r="AD86" s="890"/>
      <c r="AE86" s="890">
        <v>94621722028</v>
      </c>
    </row>
    <row r="87" spans="3:31" ht="21.75" x14ac:dyDescent="0.4">
      <c r="C87" s="1542" t="s">
        <v>550</v>
      </c>
      <c r="D87" s="1542" t="s">
        <v>549</v>
      </c>
      <c r="E87" s="890">
        <v>5604000000</v>
      </c>
      <c r="F87" s="1546"/>
      <c r="G87" s="890"/>
      <c r="H87" s="890"/>
      <c r="I87" s="1546"/>
      <c r="J87" s="754">
        <f t="shared" si="5"/>
        <v>0</v>
      </c>
      <c r="K87" s="754"/>
      <c r="L87" s="754"/>
      <c r="M87" s="890"/>
      <c r="N87" s="890"/>
      <c r="O87" s="890"/>
      <c r="P87" s="890"/>
      <c r="Q87" s="890">
        <f t="shared" si="6"/>
        <v>0</v>
      </c>
      <c r="R87" s="890"/>
      <c r="S87" s="890"/>
      <c r="T87" s="890"/>
      <c r="U87" s="890"/>
      <c r="V87" s="1386"/>
      <c r="W87" s="1386"/>
      <c r="X87" s="1386"/>
      <c r="Y87" s="1386"/>
      <c r="Z87" s="1386"/>
      <c r="AA87" s="891">
        <f t="shared" si="7"/>
        <v>0</v>
      </c>
      <c r="AB87" s="892">
        <f t="shared" si="8"/>
        <v>0</v>
      </c>
      <c r="AC87" s="890"/>
      <c r="AD87" s="890"/>
      <c r="AE87" s="890">
        <v>20000000000</v>
      </c>
    </row>
    <row r="88" spans="3:31" ht="21.75" x14ac:dyDescent="0.4">
      <c r="C88" s="898" t="s">
        <v>555</v>
      </c>
      <c r="D88" s="898" t="s">
        <v>545</v>
      </c>
      <c r="E88" s="890"/>
      <c r="F88" s="1546"/>
      <c r="G88" s="890"/>
      <c r="H88" s="890"/>
      <c r="I88" s="1546"/>
      <c r="J88" s="754">
        <f t="shared" si="5"/>
        <v>0</v>
      </c>
      <c r="K88" s="754"/>
      <c r="L88" s="754"/>
      <c r="M88" s="890"/>
      <c r="N88" s="890"/>
      <c r="O88" s="890"/>
      <c r="P88" s="890"/>
      <c r="Q88" s="890">
        <f t="shared" si="6"/>
        <v>0</v>
      </c>
      <c r="R88" s="890"/>
      <c r="S88" s="890"/>
      <c r="T88" s="890"/>
      <c r="U88" s="890"/>
      <c r="V88" s="1386"/>
      <c r="W88" s="1386"/>
      <c r="X88" s="1386"/>
      <c r="Y88" s="1386"/>
      <c r="Z88" s="1386"/>
      <c r="AA88" s="891">
        <f t="shared" si="7"/>
        <v>0</v>
      </c>
      <c r="AB88" s="892">
        <f t="shared" si="8"/>
        <v>0</v>
      </c>
      <c r="AC88" s="890"/>
      <c r="AD88" s="890"/>
      <c r="AE88" s="890">
        <v>200000000000</v>
      </c>
    </row>
    <row r="89" spans="3:31" ht="18" x14ac:dyDescent="0.4">
      <c r="C89" s="1547" t="s">
        <v>1402</v>
      </c>
      <c r="D89" s="1548" t="s">
        <v>1403</v>
      </c>
      <c r="E89" s="890"/>
      <c r="F89" s="1546"/>
      <c r="G89" s="890"/>
      <c r="H89" s="890"/>
      <c r="I89" s="1546"/>
      <c r="J89" s="754">
        <f t="shared" si="5"/>
        <v>0</v>
      </c>
      <c r="K89" s="754"/>
      <c r="L89" s="754"/>
      <c r="M89" s="890"/>
      <c r="N89" s="890"/>
      <c r="O89" s="890"/>
      <c r="P89" s="890"/>
      <c r="Q89" s="890">
        <f t="shared" si="6"/>
        <v>0</v>
      </c>
      <c r="R89" s="890"/>
      <c r="S89" s="890"/>
      <c r="T89" s="890"/>
      <c r="U89" s="890"/>
      <c r="V89" s="1386"/>
      <c r="W89" s="1386"/>
      <c r="X89" s="1386"/>
      <c r="Y89" s="1386"/>
      <c r="Z89" s="1386"/>
      <c r="AA89" s="891">
        <f t="shared" si="7"/>
        <v>0</v>
      </c>
      <c r="AB89" s="892">
        <f t="shared" si="8"/>
        <v>0</v>
      </c>
      <c r="AC89" s="890"/>
      <c r="AD89" s="890"/>
      <c r="AE89" s="890">
        <v>10000000000</v>
      </c>
    </row>
    <row r="90" spans="3:31" x14ac:dyDescent="0.2">
      <c r="AE90" s="103">
        <f>SUM(AE74:AE89)</f>
        <v>1523025250507</v>
      </c>
    </row>
  </sheetData>
  <mergeCells count="18">
    <mergeCell ref="G9:Q10"/>
    <mergeCell ref="C53:D53"/>
    <mergeCell ref="C58:AE58"/>
    <mergeCell ref="AB9:AB11"/>
    <mergeCell ref="C57:AE57"/>
    <mergeCell ref="D9:D11"/>
    <mergeCell ref="C1:AE1"/>
    <mergeCell ref="C2:AE2"/>
    <mergeCell ref="C3:AE3"/>
    <mergeCell ref="C4:AE4"/>
    <mergeCell ref="C6:AC6"/>
    <mergeCell ref="C7:V8"/>
    <mergeCell ref="AB7:AE8"/>
    <mergeCell ref="E9:E10"/>
    <mergeCell ref="C54:D54"/>
    <mergeCell ref="AC9:AE11"/>
    <mergeCell ref="C9:C11"/>
    <mergeCell ref="R9:AA10"/>
  </mergeCells>
  <printOptions horizontalCentered="1" verticalCentered="1"/>
  <pageMargins left="0.511811023622047" right="0.70866141732283505" top="0.74803149606299202" bottom="0" header="0.31496062992126" footer="0.31496062992126"/>
  <pageSetup scale="75" fitToWidth="0" fitToHeight="0"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2060"/>
  </sheetPr>
  <dimension ref="A1:O25"/>
  <sheetViews>
    <sheetView rightToLeft="1" topLeftCell="C10" zoomScaleNormal="100" zoomScaleSheetLayoutView="64" workbookViewId="0">
      <selection activeCell="B16" sqref="B16:J16"/>
    </sheetView>
  </sheetViews>
  <sheetFormatPr defaultColWidth="8.85546875" defaultRowHeight="15" x14ac:dyDescent="0.35"/>
  <cols>
    <col min="1" max="1" width="8.85546875" style="721"/>
    <col min="2" max="2" width="31.85546875" style="721" customWidth="1"/>
    <col min="3" max="3" width="9.140625" style="721" customWidth="1"/>
    <col min="4" max="4" width="13.28515625" style="721" customWidth="1"/>
    <col min="5" max="5" width="16.140625" style="721" customWidth="1"/>
    <col min="6" max="6" width="14.28515625" style="721" customWidth="1"/>
    <col min="7" max="7" width="12" style="721" customWidth="1"/>
    <col min="8" max="8" width="15.140625" style="721" customWidth="1"/>
    <col min="9" max="9" width="12.140625" style="721" customWidth="1"/>
    <col min="10" max="10" width="9.28515625" style="721" customWidth="1"/>
    <col min="11" max="11" width="8.85546875" style="721"/>
    <col min="12" max="12" width="9.140625" style="721" bestFit="1" customWidth="1"/>
    <col min="13" max="16384" width="8.85546875" style="721"/>
  </cols>
  <sheetData>
    <row r="1" spans="1:15" ht="32.450000000000003" customHeight="1" x14ac:dyDescent="0.35">
      <c r="A1" s="3937" t="s">
        <v>295</v>
      </c>
      <c r="B1" s="3937"/>
      <c r="C1" s="3937"/>
      <c r="D1" s="3937"/>
      <c r="E1" s="3937"/>
      <c r="F1" s="3937"/>
      <c r="G1" s="3937"/>
      <c r="H1" s="3937"/>
      <c r="I1" s="3937"/>
      <c r="J1" s="3937"/>
    </row>
    <row r="2" spans="1:15" ht="32.450000000000003" customHeight="1" x14ac:dyDescent="0.35">
      <c r="A2" s="3937" t="s">
        <v>45</v>
      </c>
      <c r="B2" s="3937"/>
      <c r="C2" s="3937"/>
      <c r="D2" s="3937"/>
      <c r="E2" s="3937"/>
      <c r="F2" s="3937"/>
      <c r="G2" s="3937"/>
      <c r="H2" s="3937"/>
      <c r="I2" s="3937"/>
      <c r="J2" s="3937"/>
    </row>
    <row r="3" spans="1:15" ht="32.450000000000003" customHeight="1" x14ac:dyDescent="0.35">
      <c r="A3" s="3937" t="s">
        <v>46</v>
      </c>
      <c r="B3" s="3937"/>
      <c r="C3" s="3937"/>
      <c r="D3" s="3937"/>
      <c r="E3" s="3937"/>
      <c r="F3" s="3937"/>
      <c r="G3" s="3937"/>
      <c r="H3" s="3937"/>
      <c r="I3" s="3937"/>
      <c r="J3" s="3937"/>
      <c r="L3" s="67"/>
      <c r="M3" s="67"/>
    </row>
    <row r="4" spans="1:15" ht="32.450000000000003" customHeight="1" x14ac:dyDescent="0.35">
      <c r="A4" s="3938" t="s">
        <v>2004</v>
      </c>
      <c r="B4" s="3938"/>
      <c r="C4" s="3938"/>
      <c r="D4" s="3938"/>
      <c r="E4" s="3938"/>
      <c r="F4" s="3938"/>
      <c r="G4" s="3938"/>
      <c r="H4" s="3938"/>
      <c r="I4" s="3938"/>
      <c r="J4" s="3938"/>
      <c r="K4" s="67"/>
      <c r="L4" s="67"/>
      <c r="M4" s="67"/>
    </row>
    <row r="7" spans="1:15" ht="47.45" customHeight="1" x14ac:dyDescent="0.35">
      <c r="B7" s="3956" t="s">
        <v>2178</v>
      </c>
      <c r="C7" s="3956"/>
      <c r="D7" s="3956"/>
      <c r="E7" s="3956"/>
      <c r="F7" s="3956"/>
      <c r="G7" s="3956"/>
      <c r="H7" s="3956"/>
      <c r="I7" s="3956"/>
      <c r="J7" s="3956"/>
    </row>
    <row r="8" spans="1:15" ht="28.15" customHeight="1" x14ac:dyDescent="0.35">
      <c r="B8" s="985"/>
      <c r="C8" s="985"/>
      <c r="D8" s="985"/>
      <c r="E8" s="985"/>
      <c r="F8" s="985"/>
      <c r="G8" s="985"/>
      <c r="H8" s="985"/>
      <c r="I8" s="3957" t="s">
        <v>194</v>
      </c>
      <c r="J8" s="3957"/>
    </row>
    <row r="9" spans="1:15" ht="43.15" customHeight="1" x14ac:dyDescent="0.35">
      <c r="B9" s="3961" t="s">
        <v>1260</v>
      </c>
      <c r="C9" s="3961" t="s">
        <v>1261</v>
      </c>
      <c r="D9" s="3961" t="s">
        <v>1262</v>
      </c>
      <c r="E9" s="3961" t="s">
        <v>1263</v>
      </c>
      <c r="F9" s="3961" t="s">
        <v>2008</v>
      </c>
      <c r="G9" s="3961"/>
      <c r="H9" s="3961"/>
      <c r="I9" s="3962" t="s">
        <v>1264</v>
      </c>
      <c r="J9" s="3963" t="s">
        <v>386</v>
      </c>
    </row>
    <row r="10" spans="1:15" ht="30.6" customHeight="1" x14ac:dyDescent="0.35">
      <c r="B10" s="3961"/>
      <c r="C10" s="3961"/>
      <c r="D10" s="3961"/>
      <c r="E10" s="3961"/>
      <c r="F10" s="986">
        <v>1403</v>
      </c>
      <c r="G10" s="986">
        <v>1404</v>
      </c>
      <c r="H10" s="986">
        <v>1405</v>
      </c>
      <c r="I10" s="3962"/>
      <c r="J10" s="3963"/>
    </row>
    <row r="11" spans="1:15" ht="30.6" customHeight="1" x14ac:dyDescent="0.35">
      <c r="B11" s="3959" t="s">
        <v>2180</v>
      </c>
      <c r="C11" s="644">
        <v>202</v>
      </c>
      <c r="D11" s="645" t="s">
        <v>2181</v>
      </c>
      <c r="E11" s="906">
        <v>60687000000</v>
      </c>
      <c r="F11" s="906">
        <v>12798000000</v>
      </c>
      <c r="G11" s="906">
        <v>12443000000</v>
      </c>
      <c r="H11" s="907">
        <v>9163000000</v>
      </c>
      <c r="I11" s="906">
        <f>SUM(F11:H11)</f>
        <v>34404000000</v>
      </c>
      <c r="J11" s="906">
        <f>E11+I11</f>
        <v>95091000000</v>
      </c>
      <c r="O11" s="644">
        <v>50000</v>
      </c>
    </row>
    <row r="12" spans="1:15" ht="30.6" customHeight="1" x14ac:dyDescent="0.35">
      <c r="B12" s="3960"/>
      <c r="C12" s="644">
        <v>210</v>
      </c>
      <c r="D12" s="645" t="s">
        <v>2182</v>
      </c>
      <c r="E12" s="906">
        <v>37357000000</v>
      </c>
      <c r="F12" s="906">
        <v>8315000000</v>
      </c>
      <c r="G12" s="906">
        <v>7656000000</v>
      </c>
      <c r="H12" s="907">
        <v>6672000000</v>
      </c>
      <c r="I12" s="906">
        <f>SUM(F12:H12)</f>
        <v>22643000000</v>
      </c>
      <c r="J12" s="906">
        <f>E12+I12</f>
        <v>60000000000</v>
      </c>
    </row>
    <row r="13" spans="1:15" ht="33" customHeight="1" x14ac:dyDescent="0.35">
      <c r="B13" s="3788" t="s">
        <v>1265</v>
      </c>
      <c r="C13" s="3958"/>
      <c r="D13" s="3789"/>
      <c r="E13" s="908">
        <f>'يادداشت 1-13وجوهدريافتي ازخزانه'!J54+'يادداشت 1-13وجوهدريافتي ازخزانه'!L54+'يادداشت 1-13وجوهدريافتي ازخزانه'!M54</f>
        <v>98044000000</v>
      </c>
      <c r="F13" s="908">
        <f t="shared" ref="F13:J13" si="0">SUM(F11:F12)</f>
        <v>21113000000</v>
      </c>
      <c r="G13" s="908">
        <f t="shared" si="0"/>
        <v>20099000000</v>
      </c>
      <c r="H13" s="908">
        <f t="shared" si="0"/>
        <v>15835000000</v>
      </c>
      <c r="I13" s="908">
        <f>-('يادداشت 1-13وجوهدريافتي ازخزانه'!L54+'يادداشت 1-13وجوهدريافتي ازخزانه'!M54)</f>
        <v>57047000000</v>
      </c>
      <c r="J13" s="908">
        <f t="shared" si="0"/>
        <v>155091000000</v>
      </c>
    </row>
    <row r="14" spans="1:15" x14ac:dyDescent="0.35">
      <c r="E14" s="744"/>
      <c r="F14" s="744"/>
      <c r="G14" s="744"/>
      <c r="H14" s="744"/>
      <c r="I14" s="744"/>
    </row>
    <row r="16" spans="1:15" ht="50.45" customHeight="1" x14ac:dyDescent="0.35">
      <c r="B16" s="3956" t="s">
        <v>2183</v>
      </c>
      <c r="C16" s="3956"/>
      <c r="D16" s="3956"/>
      <c r="E16" s="3956"/>
      <c r="F16" s="3956"/>
      <c r="G16" s="3956"/>
      <c r="H16" s="3956"/>
      <c r="I16" s="3956"/>
      <c r="J16" s="3956"/>
    </row>
    <row r="17" spans="1:11" ht="22.9" customHeight="1" x14ac:dyDescent="0.35">
      <c r="B17" s="985"/>
      <c r="C17" s="985"/>
      <c r="D17" s="985"/>
      <c r="E17" s="985"/>
      <c r="F17" s="985"/>
      <c r="G17" s="985"/>
      <c r="H17" s="985"/>
      <c r="I17" s="985"/>
      <c r="J17" s="985"/>
    </row>
    <row r="18" spans="1:11" ht="22.9" customHeight="1" x14ac:dyDescent="0.35">
      <c r="B18" s="985"/>
      <c r="C18" s="985"/>
      <c r="D18" s="985"/>
      <c r="E18" s="985"/>
      <c r="F18" s="985"/>
      <c r="G18" s="985"/>
      <c r="H18" s="985"/>
      <c r="I18" s="985"/>
      <c r="J18" s="985"/>
    </row>
    <row r="19" spans="1:11" ht="22.9" customHeight="1" x14ac:dyDescent="0.35">
      <c r="B19" s="985"/>
      <c r="C19" s="985"/>
      <c r="D19" s="985"/>
      <c r="E19" s="985"/>
      <c r="F19" s="985"/>
      <c r="G19" s="985"/>
      <c r="H19" s="985"/>
      <c r="I19" s="985"/>
      <c r="J19" s="985"/>
    </row>
    <row r="20" spans="1:11" ht="15.75" x14ac:dyDescent="0.4">
      <c r="A20" s="3894">
        <v>87</v>
      </c>
      <c r="B20" s="3894"/>
      <c r="C20" s="3894"/>
      <c r="D20" s="3894"/>
      <c r="E20" s="3894"/>
      <c r="F20" s="3894"/>
      <c r="G20" s="3894"/>
      <c r="H20" s="3894"/>
      <c r="I20" s="3894"/>
      <c r="J20" s="3894"/>
      <c r="K20" s="3894"/>
    </row>
    <row r="25" spans="1:11" x14ac:dyDescent="0.35">
      <c r="D25" s="361">
        <f>E13+'15-1-1'!E17</f>
        <v>1103098000000</v>
      </c>
      <c r="E25" s="361">
        <f>F13+'15-1-1'!F17</f>
        <v>221579000000</v>
      </c>
      <c r="F25" s="361">
        <f>G13+'15-1-1'!G17</f>
        <v>226119000000</v>
      </c>
      <c r="G25" s="361">
        <f>H13+'15-1-1'!H17</f>
        <v>149337000000</v>
      </c>
      <c r="H25" s="361">
        <f>I13+'15-1-1'!I17</f>
        <v>597035000000</v>
      </c>
      <c r="I25" s="361">
        <f>J13+'15-1-1'!J17</f>
        <v>716968000000</v>
      </c>
    </row>
  </sheetData>
  <mergeCells count="17">
    <mergeCell ref="A1:J1"/>
    <mergeCell ref="A2:J2"/>
    <mergeCell ref="A3:J3"/>
    <mergeCell ref="A4:J4"/>
    <mergeCell ref="B11:B12"/>
    <mergeCell ref="B9:B10"/>
    <mergeCell ref="C9:C10"/>
    <mergeCell ref="D9:D10"/>
    <mergeCell ref="E9:E10"/>
    <mergeCell ref="F9:H9"/>
    <mergeCell ref="I9:I10"/>
    <mergeCell ref="J9:J10"/>
    <mergeCell ref="A20:K20"/>
    <mergeCell ref="B7:J7"/>
    <mergeCell ref="I8:J8"/>
    <mergeCell ref="B13:D13"/>
    <mergeCell ref="B16:J16"/>
  </mergeCells>
  <printOptions horizontalCentered="1" verticalCentered="1"/>
  <pageMargins left="0.70866141732283505" right="0.70866141732283505" top="0.74803149606299202" bottom="0.74803149606299202" header="0.31496062992126" footer="0.31496062992126"/>
  <pageSetup scale="85"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2060"/>
  </sheetPr>
  <dimension ref="A1:AB64"/>
  <sheetViews>
    <sheetView rightToLeft="1" view="pageBreakPreview" topLeftCell="A22" zoomScale="60" zoomScaleNormal="73" workbookViewId="0">
      <selection activeCell="B39" sqref="B39"/>
    </sheetView>
  </sheetViews>
  <sheetFormatPr defaultColWidth="9.140625" defaultRowHeight="18" x14ac:dyDescent="0.4"/>
  <cols>
    <col min="1" max="1" width="3.5703125" style="21" customWidth="1"/>
    <col min="2" max="2" width="11.42578125" style="110" customWidth="1"/>
    <col min="3" max="3" width="8.7109375" style="21" customWidth="1"/>
    <col min="4" max="4" width="12.5703125" style="21" customWidth="1"/>
    <col min="5" max="5" width="1.140625" style="21" customWidth="1"/>
    <col min="6" max="6" width="23.140625" style="21" customWidth="1"/>
    <col min="7" max="7" width="1" style="21" hidden="1" customWidth="1"/>
    <col min="8" max="8" width="11.85546875" style="21" customWidth="1"/>
    <col min="9" max="9" width="11.42578125" style="21" customWidth="1"/>
    <col min="10" max="10" width="0.85546875" style="21" customWidth="1"/>
    <col min="11" max="11" width="3.28515625" style="21" customWidth="1"/>
    <col min="12" max="13" width="9.140625" style="21" customWidth="1"/>
    <col min="14" max="14" width="2.7109375" style="21" customWidth="1"/>
    <col min="15" max="15" width="9.140625" style="21" hidden="1" customWidth="1"/>
    <col min="16" max="16" width="9.140625" style="1155" hidden="1" customWidth="1"/>
    <col min="17" max="17" width="33.42578125" style="1155" hidden="1" customWidth="1"/>
    <col min="18" max="18" width="11.7109375" style="1156" hidden="1" customWidth="1"/>
    <col min="19" max="19" width="21" style="1156" hidden="1" customWidth="1"/>
    <col min="20" max="20" width="0" style="21" hidden="1" customWidth="1"/>
    <col min="21" max="16384" width="9.140625" style="21"/>
  </cols>
  <sheetData>
    <row r="1" spans="2:28" ht="18" customHeight="1" x14ac:dyDescent="0.45">
      <c r="B1" s="3863" t="s">
        <v>295</v>
      </c>
      <c r="C1" s="3863"/>
      <c r="D1" s="3863"/>
      <c r="E1" s="3863"/>
      <c r="F1" s="3863"/>
      <c r="G1" s="3863"/>
      <c r="H1" s="3863"/>
      <c r="I1" s="3863"/>
      <c r="J1" s="1154"/>
    </row>
    <row r="2" spans="2:28" ht="18" customHeight="1" x14ac:dyDescent="0.45">
      <c r="B2" s="3863" t="s">
        <v>45</v>
      </c>
      <c r="C2" s="3863"/>
      <c r="D2" s="3863"/>
      <c r="E2" s="3863"/>
      <c r="F2" s="3863"/>
      <c r="G2" s="3863"/>
      <c r="H2" s="3863"/>
      <c r="I2" s="3863"/>
      <c r="J2" s="1154"/>
    </row>
    <row r="3" spans="2:28" ht="18" customHeight="1" x14ac:dyDescent="0.45">
      <c r="B3" s="3863" t="s">
        <v>46</v>
      </c>
      <c r="C3" s="3863"/>
      <c r="D3" s="3863"/>
      <c r="E3" s="3863"/>
      <c r="F3" s="3863"/>
      <c r="G3" s="3863"/>
      <c r="H3" s="3863"/>
      <c r="I3" s="3863"/>
      <c r="J3" s="1154"/>
    </row>
    <row r="4" spans="2:28" ht="18" customHeight="1" x14ac:dyDescent="0.4">
      <c r="B4" s="3057" t="s">
        <v>1994</v>
      </c>
      <c r="C4" s="3057"/>
      <c r="D4" s="3057"/>
      <c r="E4" s="3057"/>
      <c r="F4" s="3057"/>
      <c r="G4" s="3057"/>
      <c r="H4" s="3057"/>
      <c r="I4" s="3057"/>
    </row>
    <row r="5" spans="2:28" ht="18" customHeight="1" x14ac:dyDescent="0.4">
      <c r="B5" s="937"/>
      <c r="C5" s="937"/>
      <c r="D5" s="937"/>
      <c r="E5" s="937"/>
      <c r="F5" s="937"/>
      <c r="G5" s="937"/>
      <c r="H5" s="937"/>
      <c r="I5" s="937"/>
    </row>
    <row r="6" spans="2:28" ht="18" customHeight="1" x14ac:dyDescent="0.4">
      <c r="B6" s="937"/>
      <c r="C6" s="937"/>
      <c r="D6" s="937"/>
      <c r="E6" s="937"/>
      <c r="F6" s="937"/>
      <c r="G6" s="937"/>
      <c r="H6" s="937"/>
      <c r="I6" s="937"/>
    </row>
    <row r="7" spans="2:28" ht="18" customHeight="1" x14ac:dyDescent="0.4">
      <c r="B7" s="937"/>
      <c r="C7" s="937"/>
      <c r="D7" s="937"/>
      <c r="E7" s="937"/>
      <c r="F7" s="937"/>
      <c r="G7" s="937"/>
      <c r="H7" s="937"/>
      <c r="I7" s="937"/>
    </row>
    <row r="8" spans="2:28" ht="18" customHeight="1" x14ac:dyDescent="0.4">
      <c r="B8" s="937"/>
      <c r="C8" s="937"/>
      <c r="D8" s="937"/>
      <c r="E8" s="937"/>
      <c r="F8" s="937"/>
      <c r="G8" s="937"/>
      <c r="H8" s="937"/>
      <c r="I8" s="937"/>
    </row>
    <row r="9" spans="2:28" ht="18" customHeight="1" x14ac:dyDescent="0.4">
      <c r="B9" s="937"/>
      <c r="C9" s="937"/>
      <c r="D9" s="937"/>
      <c r="E9" s="937"/>
      <c r="F9" s="937"/>
      <c r="G9" s="937"/>
      <c r="H9" s="937"/>
      <c r="I9" s="937"/>
    </row>
    <row r="10" spans="2:28" s="54" customFormat="1" ht="20.45" customHeight="1" x14ac:dyDescent="0.45">
      <c r="B10" s="3100" t="s">
        <v>1839</v>
      </c>
      <c r="C10" s="3100"/>
      <c r="D10" s="3100"/>
      <c r="E10" s="3100"/>
      <c r="F10" s="3100"/>
      <c r="G10" s="3100"/>
      <c r="H10" s="855"/>
      <c r="I10" s="856"/>
      <c r="R10" s="1157"/>
      <c r="S10" s="1157"/>
    </row>
    <row r="11" spans="2:28" s="54" customFormat="1" ht="20.45" customHeight="1" x14ac:dyDescent="0.45">
      <c r="B11" s="3967" t="s">
        <v>1124</v>
      </c>
      <c r="C11" s="3967"/>
      <c r="D11" s="3967"/>
      <c r="E11" s="3967"/>
      <c r="F11" s="3967"/>
      <c r="G11" s="3967"/>
      <c r="H11" s="3967"/>
      <c r="I11" s="21"/>
      <c r="R11" s="1157"/>
      <c r="S11" s="1157"/>
    </row>
    <row r="12" spans="2:28" s="54" customFormat="1" ht="16.5" customHeight="1" x14ac:dyDescent="0.45">
      <c r="I12" s="1158" t="s">
        <v>448</v>
      </c>
      <c r="R12" s="1157"/>
      <c r="S12" s="1157"/>
    </row>
    <row r="13" spans="2:28" s="54" customFormat="1" ht="15" customHeight="1" x14ac:dyDescent="0.45">
      <c r="B13" s="3968" t="s">
        <v>196</v>
      </c>
      <c r="C13" s="3971" t="s">
        <v>439</v>
      </c>
      <c r="D13" s="3972"/>
      <c r="E13" s="3972"/>
      <c r="F13" s="3972"/>
      <c r="G13" s="3973"/>
      <c r="H13" s="3980" t="s">
        <v>1017</v>
      </c>
      <c r="I13" s="3980"/>
      <c r="R13" s="1157"/>
      <c r="S13" s="1157"/>
    </row>
    <row r="14" spans="2:28" s="54" customFormat="1" ht="15" customHeight="1" x14ac:dyDescent="0.45">
      <c r="B14" s="3969"/>
      <c r="C14" s="3974"/>
      <c r="D14" s="3975"/>
      <c r="E14" s="3975"/>
      <c r="F14" s="3975"/>
      <c r="G14" s="3976"/>
      <c r="H14" s="3984" t="s">
        <v>2172</v>
      </c>
      <c r="I14" s="3984" t="s">
        <v>1382</v>
      </c>
      <c r="R14" s="1157"/>
      <c r="S14" s="1157"/>
    </row>
    <row r="15" spans="2:28" s="54" customFormat="1" ht="15" customHeight="1" x14ac:dyDescent="0.45">
      <c r="B15" s="3970"/>
      <c r="C15" s="3977"/>
      <c r="D15" s="3978"/>
      <c r="E15" s="3978"/>
      <c r="F15" s="3978"/>
      <c r="G15" s="3979"/>
      <c r="H15" s="3985"/>
      <c r="I15" s="3985"/>
      <c r="R15" s="1157"/>
      <c r="S15" s="1157"/>
      <c r="Y15" s="1533"/>
      <c r="Z15" s="1534"/>
      <c r="AA15" s="1535"/>
      <c r="AB15" s="1535"/>
    </row>
    <row r="16" spans="2:28" s="54" customFormat="1" ht="30.75" customHeight="1" x14ac:dyDescent="0.5">
      <c r="B16" s="1159" t="s">
        <v>548</v>
      </c>
      <c r="C16" s="3981" t="s">
        <v>110</v>
      </c>
      <c r="D16" s="3982"/>
      <c r="E16" s="3982"/>
      <c r="F16" s="3982"/>
      <c r="G16" s="3983"/>
      <c r="H16" s="1160">
        <v>41033000000</v>
      </c>
      <c r="I16" s="263">
        <v>53091847236</v>
      </c>
      <c r="J16" s="262"/>
      <c r="O16" s="1055" t="s">
        <v>1761</v>
      </c>
      <c r="P16" s="1056" t="s">
        <v>323</v>
      </c>
      <c r="Q16" s="1055" t="s">
        <v>1762</v>
      </c>
      <c r="R16" s="1161">
        <v>0</v>
      </c>
      <c r="S16" s="1161">
        <v>899015625000</v>
      </c>
      <c r="Y16" s="1533"/>
      <c r="Z16" s="1534"/>
      <c r="AA16" s="1535"/>
      <c r="AB16" s="1535"/>
    </row>
    <row r="17" spans="2:20" s="54" customFormat="1" ht="30.75" customHeight="1" x14ac:dyDescent="0.5">
      <c r="B17" s="734" t="s">
        <v>624</v>
      </c>
      <c r="C17" s="3964" t="s">
        <v>600</v>
      </c>
      <c r="D17" s="3965"/>
      <c r="E17" s="3965"/>
      <c r="F17" s="3966"/>
      <c r="G17" s="1162"/>
      <c r="H17" s="1160">
        <v>20801500000</v>
      </c>
      <c r="I17" s="263">
        <v>13313553229</v>
      </c>
      <c r="J17" s="262"/>
      <c r="O17" s="1055" t="s">
        <v>1780</v>
      </c>
      <c r="P17" s="1056" t="s">
        <v>333</v>
      </c>
      <c r="Q17" s="1056" t="s">
        <v>1781</v>
      </c>
      <c r="R17" s="1161">
        <v>0</v>
      </c>
      <c r="S17" s="1161">
        <v>0</v>
      </c>
    </row>
    <row r="18" spans="2:20" s="54" customFormat="1" ht="30.75" customHeight="1" x14ac:dyDescent="0.5">
      <c r="B18" s="734" t="s">
        <v>1083</v>
      </c>
      <c r="C18" s="3993" t="s">
        <v>1082</v>
      </c>
      <c r="D18" s="3994"/>
      <c r="E18" s="3994"/>
      <c r="F18" s="3995"/>
      <c r="G18" s="1163"/>
      <c r="H18" s="1160">
        <v>18000000000</v>
      </c>
      <c r="I18" s="263">
        <v>92100000000</v>
      </c>
      <c r="J18" s="262"/>
      <c r="O18" s="1055" t="s">
        <v>1778</v>
      </c>
      <c r="P18" s="1056" t="s">
        <v>545</v>
      </c>
      <c r="Q18" s="1056" t="s">
        <v>1779</v>
      </c>
      <c r="R18" s="1161">
        <v>0</v>
      </c>
      <c r="S18" s="1161">
        <v>0</v>
      </c>
    </row>
    <row r="19" spans="2:20" s="54" customFormat="1" ht="30.75" customHeight="1" x14ac:dyDescent="0.5">
      <c r="B19" s="734" t="s">
        <v>626</v>
      </c>
      <c r="C19" s="3990" t="s">
        <v>602</v>
      </c>
      <c r="D19" s="3991"/>
      <c r="E19" s="3991"/>
      <c r="F19" s="3992"/>
      <c r="G19" s="1163"/>
      <c r="H19" s="1160">
        <v>8294000000</v>
      </c>
      <c r="I19" s="263">
        <v>76406000000</v>
      </c>
      <c r="J19" s="262"/>
      <c r="O19" s="1055" t="s">
        <v>1763</v>
      </c>
      <c r="P19" s="1056" t="s">
        <v>595</v>
      </c>
      <c r="Q19" s="1055" t="s">
        <v>1101</v>
      </c>
      <c r="R19" s="1161">
        <v>0</v>
      </c>
      <c r="S19" s="1161">
        <v>640000000000</v>
      </c>
      <c r="T19" s="54">
        <v>297292714</v>
      </c>
    </row>
    <row r="20" spans="2:20" s="54" customFormat="1" ht="30.75" customHeight="1" x14ac:dyDescent="0.5">
      <c r="B20" s="734" t="s">
        <v>609</v>
      </c>
      <c r="C20" s="3990" t="s">
        <v>607</v>
      </c>
      <c r="D20" s="3991"/>
      <c r="E20" s="3991"/>
      <c r="F20" s="3992"/>
      <c r="G20" s="1163"/>
      <c r="H20" s="1160">
        <v>28701500000</v>
      </c>
      <c r="I20" s="263">
        <v>27131000000</v>
      </c>
      <c r="J20" s="262"/>
      <c r="O20" s="1055" t="s">
        <v>1768</v>
      </c>
      <c r="P20" s="1056" t="s">
        <v>1769</v>
      </c>
      <c r="Q20" s="1056" t="s">
        <v>1770</v>
      </c>
      <c r="R20" s="1161">
        <v>0</v>
      </c>
      <c r="S20" s="1161">
        <v>27131000000</v>
      </c>
    </row>
    <row r="21" spans="2:20" s="54" customFormat="1" ht="30.75" customHeight="1" x14ac:dyDescent="0.5">
      <c r="B21" s="734" t="s">
        <v>622</v>
      </c>
      <c r="C21" s="3990" t="s">
        <v>620</v>
      </c>
      <c r="D21" s="3991"/>
      <c r="E21" s="3991"/>
      <c r="F21" s="3992"/>
      <c r="G21" s="1163"/>
      <c r="H21" s="1164">
        <v>76264910293</v>
      </c>
      <c r="I21" s="263">
        <v>38683000000</v>
      </c>
      <c r="J21" s="262"/>
      <c r="O21" s="1055" t="s">
        <v>1773</v>
      </c>
      <c r="P21" s="1056" t="s">
        <v>596</v>
      </c>
      <c r="Q21" s="1055" t="s">
        <v>1774</v>
      </c>
      <c r="R21" s="1161">
        <v>0</v>
      </c>
      <c r="S21" s="1161">
        <v>30000000000</v>
      </c>
      <c r="T21" s="54">
        <v>24000000000</v>
      </c>
    </row>
    <row r="22" spans="2:20" s="54" customFormat="1" ht="30.75" customHeight="1" x14ac:dyDescent="0.5">
      <c r="B22" s="1469" t="s">
        <v>2061</v>
      </c>
      <c r="C22" s="3530" t="s">
        <v>600</v>
      </c>
      <c r="D22" s="3531"/>
      <c r="E22" s="3531"/>
      <c r="F22" s="3532"/>
      <c r="G22" s="1163"/>
      <c r="H22" s="1160">
        <v>7500000000</v>
      </c>
      <c r="I22" s="263"/>
      <c r="J22" s="262"/>
      <c r="O22" s="1055"/>
      <c r="P22" s="1056"/>
      <c r="Q22" s="1056"/>
      <c r="R22" s="1161"/>
      <c r="S22" s="1161"/>
    </row>
    <row r="23" spans="2:20" s="54" customFormat="1" ht="30.75" customHeight="1" x14ac:dyDescent="0.5">
      <c r="B23" s="1506" t="s">
        <v>2153</v>
      </c>
      <c r="C23" s="3999" t="s">
        <v>2036</v>
      </c>
      <c r="D23" s="4000"/>
      <c r="E23" s="4000"/>
      <c r="F23" s="4001"/>
      <c r="G23" s="1163"/>
      <c r="H23" s="1160">
        <v>70900000000</v>
      </c>
      <c r="I23" s="263"/>
      <c r="J23" s="262"/>
      <c r="O23" s="1055"/>
      <c r="P23" s="1056"/>
      <c r="Q23" s="1056"/>
      <c r="R23" s="1161"/>
      <c r="S23" s="1161"/>
    </row>
    <row r="24" spans="2:20" s="54" customFormat="1" ht="30.75" customHeight="1" x14ac:dyDescent="0.5">
      <c r="B24" s="734" t="s">
        <v>642</v>
      </c>
      <c r="C24" s="3964" t="s">
        <v>631</v>
      </c>
      <c r="D24" s="3965"/>
      <c r="E24" s="3965"/>
      <c r="F24" s="3966"/>
      <c r="G24" s="1162"/>
      <c r="H24" s="1160"/>
      <c r="I24" s="263">
        <v>9608446771</v>
      </c>
      <c r="J24" s="262"/>
      <c r="O24" s="1055"/>
      <c r="P24" s="1056"/>
      <c r="Q24" s="1056"/>
      <c r="R24" s="1161"/>
      <c r="S24" s="1161"/>
    </row>
    <row r="25" spans="2:20" s="54" customFormat="1" ht="30.75" customHeight="1" thickBot="1" x14ac:dyDescent="0.55000000000000004">
      <c r="B25" s="3996" t="s">
        <v>386</v>
      </c>
      <c r="C25" s="3996"/>
      <c r="D25" s="3996"/>
      <c r="E25" s="3996"/>
      <c r="F25" s="3996"/>
      <c r="G25" s="3996"/>
      <c r="H25" s="1165">
        <f>SUM(H16:H24)</f>
        <v>271494910293</v>
      </c>
      <c r="I25" s="1165">
        <f>SUM(I16:I24)</f>
        <v>310333847236</v>
      </c>
      <c r="J25" s="262"/>
      <c r="O25" s="1055" t="s">
        <v>1766</v>
      </c>
      <c r="P25" s="1056" t="s">
        <v>602</v>
      </c>
      <c r="Q25" s="1056" t="s">
        <v>1767</v>
      </c>
      <c r="R25" s="1161">
        <v>0</v>
      </c>
      <c r="S25" s="1161">
        <v>76406000000</v>
      </c>
    </row>
    <row r="26" spans="2:20" s="54" customFormat="1" ht="21" customHeight="1" thickTop="1" x14ac:dyDescent="0.45">
      <c r="B26" s="110"/>
      <c r="C26" s="21"/>
      <c r="D26" s="21"/>
      <c r="E26" s="21"/>
      <c r="F26" s="21"/>
      <c r="G26" s="21"/>
      <c r="H26" s="58"/>
      <c r="I26" s="21" t="s">
        <v>336</v>
      </c>
      <c r="J26" s="262"/>
      <c r="O26" s="1055" t="s">
        <v>1764</v>
      </c>
      <c r="P26" s="1056" t="s">
        <v>1082</v>
      </c>
      <c r="Q26" s="1056" t="s">
        <v>1765</v>
      </c>
      <c r="R26" s="1161">
        <v>0</v>
      </c>
      <c r="S26" s="1161">
        <v>92100000000</v>
      </c>
    </row>
    <row r="27" spans="2:20" s="54" customFormat="1" ht="21" customHeight="1" x14ac:dyDescent="0.45">
      <c r="B27" s="3997" t="s">
        <v>2173</v>
      </c>
      <c r="C27" s="3997"/>
      <c r="D27" s="3997"/>
      <c r="E27" s="3997"/>
      <c r="F27" s="3997"/>
      <c r="G27" s="3997"/>
      <c r="H27" s="3997"/>
      <c r="I27" s="3997"/>
      <c r="J27" s="262"/>
      <c r="O27" s="1055" t="s">
        <v>1777</v>
      </c>
      <c r="P27" s="1056" t="s">
        <v>1404</v>
      </c>
      <c r="Q27" s="1055" t="s">
        <v>1791</v>
      </c>
      <c r="R27" s="1161">
        <v>0</v>
      </c>
      <c r="S27" s="1161">
        <v>3000000000</v>
      </c>
    </row>
    <row r="28" spans="2:20" s="54" customFormat="1" ht="21" customHeight="1" x14ac:dyDescent="0.45">
      <c r="B28" s="3997"/>
      <c r="C28" s="3997"/>
      <c r="D28" s="3997"/>
      <c r="E28" s="3997"/>
      <c r="F28" s="3997"/>
      <c r="G28" s="3997"/>
      <c r="H28" s="3997"/>
      <c r="I28" s="3997"/>
      <c r="J28" s="262"/>
      <c r="O28" s="54" t="s">
        <v>643</v>
      </c>
      <c r="P28" s="54" t="s">
        <v>632</v>
      </c>
      <c r="R28" s="1157"/>
      <c r="S28" s="1157">
        <v>725056595</v>
      </c>
    </row>
    <row r="29" spans="2:20" s="54" customFormat="1" ht="48" customHeight="1" x14ac:dyDescent="0.45">
      <c r="B29" s="3997"/>
      <c r="C29" s="3997"/>
      <c r="D29" s="3997"/>
      <c r="E29" s="3997"/>
      <c r="F29" s="3997"/>
      <c r="G29" s="3997"/>
      <c r="H29" s="3997"/>
      <c r="I29" s="3997"/>
      <c r="J29" s="262"/>
      <c r="O29" s="1166" t="s">
        <v>540</v>
      </c>
      <c r="P29" s="1167" t="s">
        <v>541</v>
      </c>
      <c r="Q29" s="1168"/>
      <c r="R29" s="1169"/>
      <c r="S29" s="1157">
        <v>674943405</v>
      </c>
    </row>
    <row r="30" spans="2:20" s="54" customFormat="1" ht="21" customHeight="1" x14ac:dyDescent="0.45">
      <c r="B30" s="1170"/>
      <c r="C30" s="1170"/>
      <c r="D30" s="1170"/>
      <c r="E30" s="1170"/>
      <c r="F30" s="1170"/>
      <c r="G30" s="1170"/>
      <c r="H30" s="1170"/>
      <c r="I30" s="1170"/>
      <c r="J30" s="262"/>
      <c r="O30" s="1166" t="s">
        <v>625</v>
      </c>
      <c r="P30" s="1167" t="s">
        <v>601</v>
      </c>
      <c r="Q30" s="1168"/>
      <c r="R30" s="1169"/>
      <c r="S30" s="1157">
        <v>688634033</v>
      </c>
    </row>
    <row r="31" spans="2:20" s="54" customFormat="1" ht="43.5" customHeight="1" x14ac:dyDescent="0.45">
      <c r="B31" s="1170"/>
      <c r="C31" s="1170"/>
      <c r="D31" s="1170"/>
      <c r="E31" s="1170"/>
      <c r="F31" s="1170"/>
      <c r="G31" s="1170"/>
      <c r="H31" s="1170"/>
      <c r="I31" s="1170"/>
      <c r="J31" s="262"/>
      <c r="P31" s="1166"/>
      <c r="Q31" s="1171">
        <f>H25+'يادداشت 15سایر درآمد ها و انتقا'!P36</f>
        <v>283873210773</v>
      </c>
      <c r="R31" s="1172"/>
      <c r="S31" s="1169"/>
    </row>
    <row r="32" spans="2:20" s="54" customFormat="1" ht="43.5" customHeight="1" x14ac:dyDescent="0.45">
      <c r="B32" s="1170"/>
      <c r="C32" s="1170"/>
      <c r="D32" s="1170"/>
      <c r="E32" s="1170"/>
      <c r="F32" s="1170"/>
      <c r="G32" s="1170"/>
      <c r="H32" s="1170"/>
      <c r="I32" s="1170"/>
      <c r="J32" s="262"/>
      <c r="P32" s="1166"/>
      <c r="Q32" s="1171"/>
      <c r="R32" s="1172"/>
      <c r="S32" s="1169"/>
    </row>
    <row r="33" spans="2:19" s="54" customFormat="1" ht="43.5" customHeight="1" x14ac:dyDescent="0.45">
      <c r="B33" s="1170"/>
      <c r="C33" s="1170"/>
      <c r="D33" s="1170"/>
      <c r="E33" s="1170"/>
      <c r="F33" s="1170"/>
      <c r="G33" s="1170"/>
      <c r="H33" s="1170"/>
      <c r="I33" s="1170"/>
      <c r="J33" s="262"/>
      <c r="P33" s="1166"/>
      <c r="Q33" s="1171"/>
      <c r="R33" s="1172"/>
      <c r="S33" s="1169"/>
    </row>
    <row r="34" spans="2:19" s="54" customFormat="1" ht="43.5" customHeight="1" x14ac:dyDescent="0.45">
      <c r="B34" s="1170"/>
      <c r="C34" s="1170"/>
      <c r="D34" s="1170"/>
      <c r="E34" s="1170"/>
      <c r="F34" s="1170"/>
      <c r="G34" s="1170"/>
      <c r="H34" s="1170"/>
      <c r="I34" s="1170"/>
      <c r="J34" s="262"/>
      <c r="P34" s="1166"/>
      <c r="Q34" s="1171"/>
      <c r="R34" s="1172"/>
      <c r="S34" s="1169"/>
    </row>
    <row r="35" spans="2:19" s="54" customFormat="1" ht="21" customHeight="1" x14ac:dyDescent="0.45">
      <c r="B35" s="1170"/>
      <c r="C35" s="1170"/>
      <c r="D35" s="1170"/>
      <c r="E35" s="1170"/>
      <c r="F35" s="1170"/>
      <c r="G35" s="1170"/>
      <c r="H35" s="1170"/>
      <c r="I35" s="1170"/>
      <c r="J35" s="262"/>
      <c r="P35" s="1166"/>
      <c r="Q35" s="1167"/>
      <c r="R35" s="1172"/>
      <c r="S35" s="1169"/>
    </row>
    <row r="36" spans="2:19" s="54" customFormat="1" ht="21" customHeight="1" x14ac:dyDescent="0.45">
      <c r="J36" s="262"/>
      <c r="P36" s="1166"/>
      <c r="Q36" s="1167"/>
      <c r="R36" s="1172"/>
      <c r="S36" s="1169"/>
    </row>
    <row r="37" spans="2:19" s="54" customFormat="1" ht="21" customHeight="1" x14ac:dyDescent="0.45">
      <c r="J37" s="262"/>
      <c r="P37" s="1166"/>
      <c r="Q37" s="1167"/>
      <c r="R37" s="1172"/>
      <c r="S37" s="1169"/>
    </row>
    <row r="38" spans="2:19" s="54" customFormat="1" ht="21" customHeight="1" x14ac:dyDescent="0.45">
      <c r="B38" s="3998">
        <v>88</v>
      </c>
      <c r="C38" s="3998"/>
      <c r="D38" s="3998"/>
      <c r="E38" s="3998"/>
      <c r="F38" s="3998"/>
      <c r="G38" s="3998"/>
      <c r="H38" s="3998"/>
      <c r="I38" s="3998"/>
      <c r="J38" s="262"/>
      <c r="P38" s="1167"/>
      <c r="Q38" s="1167"/>
      <c r="R38" s="1169"/>
      <c r="S38" s="1169"/>
    </row>
    <row r="39" spans="2:19" s="54" customFormat="1" ht="21" customHeight="1" x14ac:dyDescent="0.45">
      <c r="B39" s="1170"/>
      <c r="C39" s="1170"/>
      <c r="D39" s="1170"/>
      <c r="E39" s="1170"/>
      <c r="F39" s="1170"/>
      <c r="G39" s="1170"/>
      <c r="H39" s="1170"/>
      <c r="I39" s="1170"/>
      <c r="J39" s="262"/>
      <c r="P39" s="1173"/>
      <c r="Q39" s="1173"/>
      <c r="R39" s="1174"/>
      <c r="S39" s="1174"/>
    </row>
    <row r="40" spans="2:19" s="54" customFormat="1" ht="66" customHeight="1" x14ac:dyDescent="0.45">
      <c r="B40" s="1170"/>
      <c r="C40" s="1170"/>
      <c r="D40" s="1170"/>
      <c r="E40" s="1170"/>
      <c r="F40" s="1536" cm="1">
        <f t="array" ref="F40:G40">H25+'يادداشت 15سایر درآمد ها و انتقا'!H36:I36+'يادداشت 15سایر درآمد ها و انتقا'!P36</f>
        <v>293873210773</v>
      </c>
      <c r="G40" s="1170">
        <v>283873210773</v>
      </c>
      <c r="H40" s="1170"/>
      <c r="I40" s="1170"/>
      <c r="J40" s="262"/>
      <c r="P40" s="1173"/>
      <c r="Q40" s="1173"/>
      <c r="R40" s="1174"/>
      <c r="S40" s="1174"/>
    </row>
    <row r="41" spans="2:19" s="54" customFormat="1" ht="21" customHeight="1" x14ac:dyDescent="0.45">
      <c r="B41" s="1170"/>
      <c r="C41" s="1170"/>
      <c r="D41" s="1170"/>
      <c r="E41" s="1170"/>
      <c r="F41" s="1170"/>
      <c r="G41" s="1170"/>
      <c r="H41" s="1170"/>
      <c r="I41" s="1170"/>
      <c r="J41" s="262"/>
      <c r="P41" s="1173"/>
      <c r="Q41" s="1173"/>
      <c r="R41" s="1174"/>
      <c r="S41" s="1174"/>
    </row>
    <row r="42" spans="2:19" s="54" customFormat="1" ht="21" customHeight="1" x14ac:dyDescent="0.45">
      <c r="B42" s="1175"/>
      <c r="C42" s="1175"/>
      <c r="D42" s="1175"/>
      <c r="E42" s="1175"/>
      <c r="F42" s="1175"/>
      <c r="G42" s="1175"/>
      <c r="H42" s="1175"/>
      <c r="I42" s="1175"/>
      <c r="J42" s="262"/>
      <c r="P42" s="1173"/>
      <c r="Q42" s="1173"/>
      <c r="R42" s="1174"/>
      <c r="S42" s="1174"/>
    </row>
    <row r="43" spans="2:19" s="54" customFormat="1" ht="21" hidden="1" customHeight="1" x14ac:dyDescent="0.45">
      <c r="B43" s="1175"/>
      <c r="C43" s="1175"/>
      <c r="D43" s="1175"/>
      <c r="E43" s="1175"/>
      <c r="F43" s="1175"/>
      <c r="G43" s="1175"/>
      <c r="H43" s="1175"/>
      <c r="I43" s="1175"/>
      <c r="J43" s="262"/>
      <c r="P43" s="1173"/>
      <c r="Q43" s="1173"/>
      <c r="R43" s="1174"/>
      <c r="S43" s="1174"/>
    </row>
    <row r="44" spans="2:19" s="54" customFormat="1" ht="21" hidden="1" customHeight="1" x14ac:dyDescent="0.45">
      <c r="B44" s="1170"/>
      <c r="C44" s="1170"/>
      <c r="D44" s="1170"/>
      <c r="E44" s="1170"/>
      <c r="F44" s="1170">
        <v>1401000000</v>
      </c>
      <c r="G44" s="1170"/>
      <c r="H44" s="1170"/>
      <c r="I44" s="1170"/>
      <c r="J44" s="262"/>
      <c r="P44" s="1173"/>
      <c r="Q44" s="1173"/>
      <c r="R44" s="1174"/>
      <c r="S44" s="1174"/>
    </row>
    <row r="45" spans="2:19" s="54" customFormat="1" ht="21" hidden="1" customHeight="1" x14ac:dyDescent="0.5">
      <c r="B45" s="384" t="s">
        <v>677</v>
      </c>
      <c r="C45" s="3986" t="s">
        <v>676</v>
      </c>
      <c r="D45" s="3987"/>
      <c r="E45" s="3987"/>
      <c r="F45" s="3988"/>
      <c r="G45" s="1176"/>
      <c r="H45" s="263"/>
      <c r="I45" s="263">
        <v>20000000000</v>
      </c>
      <c r="J45" s="262"/>
      <c r="P45" s="1173"/>
      <c r="Q45" s="1173"/>
      <c r="R45" s="1174"/>
      <c r="S45" s="1174"/>
    </row>
    <row r="46" spans="2:19" s="54" customFormat="1" ht="21" hidden="1" customHeight="1" x14ac:dyDescent="0.45">
      <c r="B46" s="425" t="s">
        <v>292</v>
      </c>
      <c r="C46" s="3989" t="s">
        <v>1079</v>
      </c>
      <c r="D46" s="3989"/>
      <c r="E46" s="3989"/>
      <c r="F46" s="3989"/>
      <c r="G46" s="1104"/>
      <c r="H46" s="263"/>
      <c r="I46" s="263">
        <v>49600000000</v>
      </c>
      <c r="J46" s="262"/>
      <c r="P46" s="1173"/>
      <c r="Q46" s="1173"/>
      <c r="R46" s="1174"/>
      <c r="S46" s="1174"/>
    </row>
    <row r="47" spans="2:19" s="54" customFormat="1" ht="21" hidden="1" customHeight="1" x14ac:dyDescent="0.45">
      <c r="B47" s="110"/>
      <c r="C47" s="21"/>
      <c r="D47" s="21"/>
      <c r="E47" s="21"/>
      <c r="G47" s="21"/>
      <c r="H47" s="21"/>
      <c r="I47" s="21"/>
      <c r="J47" s="262"/>
      <c r="P47" s="1173"/>
      <c r="Q47" s="1173"/>
      <c r="R47" s="1174"/>
      <c r="S47" s="1174"/>
    </row>
    <row r="48" spans="2:19" s="54" customFormat="1" ht="21" hidden="1" customHeight="1" x14ac:dyDescent="0.45">
      <c r="B48" s="110"/>
      <c r="C48" s="21"/>
      <c r="D48" s="21"/>
      <c r="E48" s="21"/>
      <c r="F48" s="21">
        <v>2322267000000</v>
      </c>
      <c r="G48" s="21"/>
      <c r="H48" s="21"/>
      <c r="I48" s="21"/>
      <c r="J48" s="262"/>
      <c r="P48" s="1173"/>
      <c r="Q48" s="1173"/>
      <c r="R48" s="1174"/>
      <c r="S48" s="1174"/>
    </row>
    <row r="49" spans="1:21" s="54" customFormat="1" ht="21" hidden="1" customHeight="1" x14ac:dyDescent="0.45">
      <c r="B49" s="110"/>
      <c r="C49" s="21"/>
      <c r="D49" s="21"/>
      <c r="E49" s="21"/>
      <c r="F49" s="21">
        <f>F48+H25</f>
        <v>2593761910293</v>
      </c>
      <c r="G49" s="21"/>
      <c r="H49" s="21"/>
      <c r="I49" s="21"/>
      <c r="J49" s="262"/>
      <c r="P49" s="1173"/>
      <c r="Q49" s="1173"/>
      <c r="R49" s="1174"/>
      <c r="S49" s="1174"/>
    </row>
    <row r="50" spans="1:21" s="54" customFormat="1" ht="21" hidden="1" customHeight="1" x14ac:dyDescent="0.45">
      <c r="B50" s="110"/>
      <c r="C50" s="21"/>
      <c r="D50" s="21"/>
      <c r="E50" s="21"/>
      <c r="F50" s="21"/>
      <c r="G50" s="21"/>
      <c r="H50" s="21"/>
      <c r="I50" s="21"/>
      <c r="J50" s="1173"/>
      <c r="P50" s="1173"/>
      <c r="Q50" s="1173"/>
      <c r="R50" s="1174"/>
      <c r="S50" s="1174"/>
    </row>
    <row r="51" spans="1:21" s="54" customFormat="1" ht="21" hidden="1" customHeight="1" x14ac:dyDescent="0.45">
      <c r="B51" s="110"/>
      <c r="C51" s="21"/>
      <c r="D51" s="21"/>
      <c r="E51" s="21"/>
      <c r="F51" s="21"/>
      <c r="G51" s="21"/>
      <c r="H51" s="21"/>
      <c r="I51" s="21"/>
      <c r="J51" s="1173"/>
      <c r="P51" s="1173"/>
      <c r="Q51" s="1173"/>
      <c r="R51" s="1174"/>
      <c r="S51" s="1174"/>
    </row>
    <row r="52" spans="1:21" s="54" customFormat="1" ht="21" customHeight="1" x14ac:dyDescent="0.45">
      <c r="A52" s="21"/>
      <c r="B52" s="110"/>
      <c r="C52" s="21"/>
      <c r="D52" s="21"/>
      <c r="E52" s="21"/>
      <c r="F52" s="21"/>
      <c r="G52" s="21"/>
      <c r="H52" s="21"/>
      <c r="I52" s="21"/>
      <c r="J52" s="1173"/>
      <c r="P52" s="1173"/>
      <c r="Q52" s="1173"/>
      <c r="R52" s="1174"/>
      <c r="S52" s="1174"/>
    </row>
    <row r="53" spans="1:21" s="54" customFormat="1" ht="21" customHeight="1" x14ac:dyDescent="0.45">
      <c r="A53" s="21"/>
      <c r="B53" s="110"/>
      <c r="C53" s="21"/>
      <c r="D53" s="21"/>
      <c r="E53" s="21"/>
      <c r="F53" s="21"/>
      <c r="G53" s="21"/>
      <c r="H53" s="21"/>
      <c r="I53" s="21"/>
      <c r="J53" s="1173"/>
      <c r="P53" s="1173"/>
      <c r="Q53" s="1173"/>
      <c r="R53" s="1174"/>
      <c r="S53" s="1174"/>
      <c r="T53" s="21"/>
      <c r="U53" s="21"/>
    </row>
    <row r="54" spans="1:21" ht="19.149999999999999" customHeight="1" x14ac:dyDescent="0.4"/>
    <row r="55" spans="1:21" ht="19.149999999999999" customHeight="1" x14ac:dyDescent="0.4"/>
    <row r="56" spans="1:21" ht="10.15" customHeight="1" x14ac:dyDescent="0.4"/>
    <row r="59" spans="1:21" ht="74.25" customHeight="1" x14ac:dyDescent="0.4"/>
    <row r="60" spans="1:21" ht="74.25" customHeight="1" x14ac:dyDescent="0.4"/>
    <row r="61" spans="1:21" ht="13.15" customHeight="1" x14ac:dyDescent="0.4"/>
    <row r="64" spans="1:21" ht="13.5" customHeight="1" x14ac:dyDescent="0.4"/>
  </sheetData>
  <mergeCells count="25">
    <mergeCell ref="C45:F45"/>
    <mergeCell ref="C46:F46"/>
    <mergeCell ref="C19:F19"/>
    <mergeCell ref="C18:F18"/>
    <mergeCell ref="C20:F20"/>
    <mergeCell ref="C21:F21"/>
    <mergeCell ref="B25:G25"/>
    <mergeCell ref="B27:I29"/>
    <mergeCell ref="B38:I38"/>
    <mergeCell ref="C23:F23"/>
    <mergeCell ref="C22:F22"/>
    <mergeCell ref="C24:F24"/>
    <mergeCell ref="C17:F17"/>
    <mergeCell ref="B11:H11"/>
    <mergeCell ref="B13:B15"/>
    <mergeCell ref="C13:G15"/>
    <mergeCell ref="H13:I13"/>
    <mergeCell ref="C16:G16"/>
    <mergeCell ref="H14:H15"/>
    <mergeCell ref="I14:I15"/>
    <mergeCell ref="B1:I1"/>
    <mergeCell ref="B2:I2"/>
    <mergeCell ref="B3:I3"/>
    <mergeCell ref="B4:I4"/>
    <mergeCell ref="B10:G10"/>
  </mergeCells>
  <phoneticPr fontId="123" type="noConversion"/>
  <printOptions horizontalCentered="1"/>
  <pageMargins left="0.31496062992126" right="0.70866141732283505" top="0.74803149606299202" bottom="0" header="0.31496062992126" footer="0.31496062992126"/>
  <pageSetup scale="71" fitToWidth="0" fitToHeight="0"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2060"/>
  </sheetPr>
  <dimension ref="A1:AE51"/>
  <sheetViews>
    <sheetView rightToLeft="1" view="pageBreakPreview" zoomScale="91" zoomScaleNormal="118" zoomScaleSheetLayoutView="91" workbookViewId="0">
      <selection activeCell="A40" sqref="A40"/>
    </sheetView>
  </sheetViews>
  <sheetFormatPr defaultColWidth="9.140625" defaultRowHeight="18" x14ac:dyDescent="0.2"/>
  <cols>
    <col min="1" max="1" width="2.7109375" style="56" customWidth="1"/>
    <col min="2" max="2" width="8.85546875" style="140" customWidth="1"/>
    <col min="3" max="3" width="8.7109375" style="56" customWidth="1"/>
    <col min="4" max="4" width="9.5703125" style="56" customWidth="1"/>
    <col min="5" max="5" width="5.7109375" style="56" customWidth="1"/>
    <col min="6" max="6" width="10.28515625" style="56" customWidth="1"/>
    <col min="7" max="7" width="6.28515625" style="56" hidden="1" customWidth="1"/>
    <col min="8" max="8" width="8.85546875" style="56" customWidth="1"/>
    <col min="9" max="9" width="0.7109375" style="56" customWidth="1"/>
    <col min="10" max="10" width="6.7109375" style="56" hidden="1" customWidth="1"/>
    <col min="11" max="11" width="11.140625" style="56" customWidth="1"/>
    <col min="12" max="12" width="9.5703125" style="1440" hidden="1" customWidth="1"/>
    <col min="13" max="13" width="10.85546875" style="56" customWidth="1"/>
    <col min="14" max="14" width="8.28515625" style="56" customWidth="1"/>
    <col min="15" max="15" width="9.85546875" style="56" customWidth="1"/>
    <col min="16" max="16" width="10.7109375" style="56" customWidth="1"/>
    <col min="17" max="19" width="0.140625" style="56" hidden="1" customWidth="1"/>
    <col min="20" max="20" width="0.140625" style="1440" hidden="1" customWidth="1"/>
    <col min="21" max="22" width="0.140625" style="56" hidden="1" customWidth="1"/>
    <col min="23" max="23" width="5.85546875" style="56" hidden="1" customWidth="1"/>
    <col min="24" max="25" width="8.5703125" style="56" customWidth="1"/>
    <col min="26" max="26" width="1" style="852" customWidth="1"/>
    <col min="27" max="27" width="1" style="56" customWidth="1"/>
    <col min="28" max="28" width="25.28515625" style="853" customWidth="1"/>
    <col min="29" max="29" width="11.28515625" style="56" bestFit="1" customWidth="1"/>
    <col min="30" max="30" width="22.42578125" style="56" bestFit="1" customWidth="1"/>
    <col min="31" max="31" width="11.28515625" style="56" bestFit="1" customWidth="1"/>
    <col min="32" max="16384" width="9.140625" style="56"/>
  </cols>
  <sheetData>
    <row r="1" spans="1:28" ht="16.899999999999999" customHeight="1" x14ac:dyDescent="0.2">
      <c r="A1" s="3431" t="s">
        <v>295</v>
      </c>
      <c r="B1" s="3431"/>
      <c r="C1" s="3431"/>
      <c r="D1" s="3431"/>
      <c r="E1" s="3431"/>
      <c r="F1" s="3431"/>
      <c r="G1" s="3431"/>
      <c r="H1" s="3431"/>
      <c r="I1" s="3431"/>
      <c r="J1" s="3431"/>
      <c r="K1" s="3431"/>
      <c r="L1" s="3431"/>
      <c r="M1" s="3431"/>
      <c r="N1" s="3431"/>
      <c r="O1" s="3431"/>
      <c r="P1" s="3431"/>
      <c r="Q1" s="3431"/>
      <c r="R1" s="3431"/>
      <c r="S1" s="3431"/>
      <c r="T1" s="3431"/>
      <c r="U1" s="3431"/>
      <c r="V1" s="3431"/>
      <c r="W1" s="3431"/>
      <c r="X1" s="3431"/>
      <c r="Y1" s="3431"/>
    </row>
    <row r="2" spans="1:28" ht="16.899999999999999" customHeight="1" x14ac:dyDescent="0.2">
      <c r="A2" s="3431" t="s">
        <v>45</v>
      </c>
      <c r="B2" s="3431"/>
      <c r="C2" s="3431"/>
      <c r="D2" s="3431"/>
      <c r="E2" s="3431"/>
      <c r="F2" s="3431"/>
      <c r="G2" s="3431"/>
      <c r="H2" s="3431"/>
      <c r="I2" s="3431"/>
      <c r="J2" s="3431"/>
      <c r="K2" s="3431"/>
      <c r="L2" s="3431"/>
      <c r="M2" s="3431"/>
      <c r="N2" s="3431"/>
      <c r="O2" s="3431"/>
      <c r="P2" s="3431"/>
      <c r="Q2" s="3431"/>
      <c r="R2" s="3431"/>
      <c r="S2" s="3431"/>
      <c r="T2" s="3431"/>
      <c r="U2" s="3431"/>
      <c r="V2" s="3431"/>
      <c r="W2" s="3431"/>
      <c r="X2" s="3431"/>
      <c r="Y2" s="3431"/>
    </row>
    <row r="3" spans="1:28" ht="16.899999999999999" customHeight="1" x14ac:dyDescent="0.2">
      <c r="A3" s="3431" t="s">
        <v>46</v>
      </c>
      <c r="B3" s="3431"/>
      <c r="C3" s="3431"/>
      <c r="D3" s="3431"/>
      <c r="E3" s="3431"/>
      <c r="F3" s="3431"/>
      <c r="G3" s="3431"/>
      <c r="H3" s="3431"/>
      <c r="I3" s="3431"/>
      <c r="J3" s="3431"/>
      <c r="K3" s="3431"/>
      <c r="L3" s="3431"/>
      <c r="M3" s="3431"/>
      <c r="N3" s="3431"/>
      <c r="O3" s="3431"/>
      <c r="P3" s="3431"/>
      <c r="Q3" s="3431"/>
      <c r="R3" s="3431"/>
      <c r="S3" s="3431"/>
      <c r="T3" s="3431"/>
      <c r="U3" s="3431"/>
      <c r="V3" s="3431"/>
      <c r="W3" s="3431"/>
      <c r="X3" s="3431"/>
      <c r="Y3" s="3431"/>
    </row>
    <row r="4" spans="1:28" ht="16.899999999999999" customHeight="1" x14ac:dyDescent="0.2">
      <c r="A4" s="3057" t="s">
        <v>1994</v>
      </c>
      <c r="B4" s="3057"/>
      <c r="C4" s="3057"/>
      <c r="D4" s="3057"/>
      <c r="E4" s="3057"/>
      <c r="F4" s="3057"/>
      <c r="G4" s="3057"/>
      <c r="H4" s="3057"/>
      <c r="I4" s="3057"/>
      <c r="J4" s="3057"/>
      <c r="K4" s="3057"/>
      <c r="L4" s="3057"/>
      <c r="M4" s="3057"/>
      <c r="N4" s="3057"/>
      <c r="O4" s="3057"/>
      <c r="P4" s="3057"/>
      <c r="Q4" s="3057"/>
      <c r="R4" s="3057"/>
      <c r="S4" s="3057"/>
      <c r="T4" s="3057"/>
      <c r="U4" s="3057"/>
      <c r="V4" s="3057"/>
      <c r="W4" s="3057"/>
      <c r="X4" s="3057"/>
      <c r="Y4" s="3057"/>
    </row>
    <row r="5" spans="1:28" ht="9" customHeight="1" x14ac:dyDescent="0.2">
      <c r="B5" s="937"/>
      <c r="C5" s="937"/>
      <c r="D5" s="937"/>
      <c r="E5" s="937"/>
      <c r="F5" s="937"/>
      <c r="G5" s="937"/>
      <c r="H5" s="937"/>
      <c r="I5" s="937"/>
      <c r="J5" s="1465"/>
    </row>
    <row r="6" spans="1:28" s="854" customFormat="1" ht="18" customHeight="1" x14ac:dyDescent="0.2">
      <c r="B6" s="3095" t="s">
        <v>1840</v>
      </c>
      <c r="C6" s="3095"/>
      <c r="D6" s="3095"/>
      <c r="E6" s="3095"/>
      <c r="F6" s="3095"/>
      <c r="G6" s="3095"/>
      <c r="H6" s="855"/>
      <c r="I6" s="856"/>
      <c r="J6" s="856"/>
      <c r="L6" s="1441"/>
      <c r="T6" s="1441"/>
      <c r="Z6" s="857"/>
      <c r="AB6" s="858"/>
    </row>
    <row r="7" spans="1:28" s="854" customFormat="1" ht="10.15" customHeight="1" x14ac:dyDescent="0.2">
      <c r="B7" s="859"/>
      <c r="C7" s="859"/>
      <c r="D7" s="859"/>
      <c r="E7" s="859"/>
      <c r="F7" s="859"/>
      <c r="G7" s="859"/>
      <c r="H7" s="855"/>
      <c r="I7" s="856"/>
      <c r="J7" s="856"/>
      <c r="L7" s="1441"/>
      <c r="T7" s="1441"/>
      <c r="Z7" s="857"/>
      <c r="AB7" s="858"/>
    </row>
    <row r="8" spans="1:28" s="854" customFormat="1" ht="14.25" customHeight="1" x14ac:dyDescent="0.2">
      <c r="B8" s="975"/>
      <c r="C8" s="975"/>
      <c r="D8" s="975"/>
      <c r="E8" s="996" t="s">
        <v>384</v>
      </c>
      <c r="F8" s="859"/>
      <c r="G8" s="859"/>
      <c r="H8" s="860" t="s">
        <v>1380</v>
      </c>
      <c r="I8" s="861"/>
      <c r="J8" s="861"/>
      <c r="K8" s="862" t="s">
        <v>1148</v>
      </c>
      <c r="L8" s="1442"/>
      <c r="T8" s="1441"/>
      <c r="Z8" s="857"/>
      <c r="AB8" s="858"/>
    </row>
    <row r="9" spans="1:28" s="854" customFormat="1" ht="15" customHeight="1" x14ac:dyDescent="0.2">
      <c r="B9" s="3431" t="s">
        <v>1266</v>
      </c>
      <c r="C9" s="3431"/>
      <c r="D9" s="3431"/>
      <c r="E9" s="863" t="s">
        <v>1842</v>
      </c>
      <c r="F9" s="859"/>
      <c r="G9" s="859"/>
      <c r="H9" s="79">
        <f>X37</f>
        <v>11037566300480</v>
      </c>
      <c r="I9" s="861"/>
      <c r="J9" s="861"/>
      <c r="K9" s="176">
        <v>6760323000000</v>
      </c>
      <c r="L9" s="1441"/>
      <c r="T9" s="1441"/>
      <c r="Z9" s="857"/>
      <c r="AB9" s="858"/>
    </row>
    <row r="10" spans="1:28" s="854" customFormat="1" ht="15" customHeight="1" x14ac:dyDescent="0.2">
      <c r="B10" s="3431" t="s">
        <v>1267</v>
      </c>
      <c r="C10" s="3431"/>
      <c r="D10" s="3431"/>
      <c r="E10" s="863" t="s">
        <v>1843</v>
      </c>
      <c r="F10" s="859"/>
      <c r="G10" s="859"/>
      <c r="H10" s="996">
        <f>'يادداشت 17 ارزش خالص'!V565+-'يادداشت 15سایر درآمد ها و انتقا'!M31-'يادداشت 1-13وجوهدريافتي ازخزانه'!L54-U37+2000000</f>
        <v>1026818980000</v>
      </c>
      <c r="I10" s="861"/>
      <c r="J10" s="861"/>
      <c r="K10" s="862">
        <v>911655000000</v>
      </c>
      <c r="L10" s="1443"/>
      <c r="T10" s="1441"/>
      <c r="Z10" s="857"/>
      <c r="AB10" s="858"/>
    </row>
    <row r="11" spans="1:28" s="854" customFormat="1" ht="15" customHeight="1" thickBot="1" x14ac:dyDescent="0.25">
      <c r="B11" s="859"/>
      <c r="C11" s="859"/>
      <c r="D11" s="859"/>
      <c r="E11" s="859"/>
      <c r="F11" s="859"/>
      <c r="G11" s="859"/>
      <c r="H11" s="864">
        <f>SUM(H9:H10)-1000000</f>
        <v>12064384280480</v>
      </c>
      <c r="I11" s="861"/>
      <c r="J11" s="861"/>
      <c r="K11" s="1177">
        <v>7671978000000</v>
      </c>
      <c r="L11" s="1443"/>
      <c r="T11" s="1441"/>
      <c r="Z11" s="857"/>
      <c r="AB11" s="858"/>
    </row>
    <row r="12" spans="1:28" s="854" customFormat="1" ht="7.5" customHeight="1" thickTop="1" x14ac:dyDescent="0.2">
      <c r="B12" s="859"/>
      <c r="C12" s="859"/>
      <c r="D12" s="859"/>
      <c r="E12" s="859"/>
      <c r="F12" s="859"/>
      <c r="G12" s="859"/>
      <c r="H12" s="855"/>
      <c r="I12" s="856"/>
      <c r="J12" s="856"/>
      <c r="L12" s="1441"/>
      <c r="T12" s="1441"/>
      <c r="Z12" s="857"/>
      <c r="AB12" s="858"/>
    </row>
    <row r="13" spans="1:28" s="854" customFormat="1" ht="20.45" customHeight="1" x14ac:dyDescent="0.2">
      <c r="B13" s="4058" t="s">
        <v>1841</v>
      </c>
      <c r="C13" s="4058"/>
      <c r="D13" s="4058"/>
      <c r="E13" s="4058"/>
      <c r="F13" s="4058"/>
      <c r="G13" s="4058"/>
      <c r="H13" s="4058"/>
      <c r="I13" s="4058"/>
      <c r="J13" s="4058"/>
      <c r="K13" s="4058"/>
      <c r="L13" s="4058"/>
      <c r="M13" s="4058"/>
      <c r="N13" s="4058"/>
      <c r="O13" s="4058"/>
      <c r="P13" s="4058"/>
      <c r="Q13" s="4058"/>
      <c r="R13" s="4058"/>
      <c r="S13" s="4058"/>
      <c r="T13" s="4058"/>
      <c r="U13" s="4058"/>
      <c r="V13" s="4058"/>
      <c r="W13" s="997"/>
      <c r="Z13" s="857"/>
      <c r="AB13" s="858"/>
    </row>
    <row r="14" spans="1:28" s="854" customFormat="1" ht="15.75" customHeight="1" x14ac:dyDescent="0.2">
      <c r="B14" s="865"/>
      <c r="C14" s="865"/>
      <c r="D14" s="865"/>
      <c r="E14" s="865"/>
      <c r="F14" s="865"/>
      <c r="G14" s="865"/>
      <c r="H14" s="865"/>
      <c r="I14" s="865"/>
      <c r="J14" s="865"/>
      <c r="L14" s="1441"/>
      <c r="T14" s="1441"/>
      <c r="X14" s="4057" t="s">
        <v>448</v>
      </c>
      <c r="Y14" s="4057"/>
      <c r="Z14" s="857"/>
      <c r="AB14" s="858"/>
    </row>
    <row r="15" spans="1:28" s="854" customFormat="1" ht="20.45" customHeight="1" x14ac:dyDescent="0.2">
      <c r="A15" s="4059" t="s">
        <v>419</v>
      </c>
      <c r="B15" s="4062" t="s">
        <v>196</v>
      </c>
      <c r="C15" s="4062" t="s">
        <v>197</v>
      </c>
      <c r="D15" s="4062"/>
      <c r="E15" s="4062"/>
      <c r="F15" s="4062"/>
      <c r="G15" s="998"/>
      <c r="H15" s="4050" t="s">
        <v>2010</v>
      </c>
      <c r="I15" s="4050"/>
      <c r="J15" s="4050"/>
      <c r="K15" s="4050"/>
      <c r="L15" s="4050"/>
      <c r="M15" s="4050"/>
      <c r="N15" s="4050"/>
      <c r="O15" s="4050"/>
      <c r="P15" s="4052" t="s">
        <v>2011</v>
      </c>
      <c r="Q15" s="4053"/>
      <c r="R15" s="4053"/>
      <c r="S15" s="4053"/>
      <c r="T15" s="4053"/>
      <c r="U15" s="4053"/>
      <c r="V15" s="4053"/>
      <c r="W15" s="4054"/>
      <c r="X15" s="4049" t="s">
        <v>386</v>
      </c>
      <c r="Y15" s="4049" t="s">
        <v>1382</v>
      </c>
      <c r="Z15" s="857"/>
      <c r="AB15" s="858"/>
    </row>
    <row r="16" spans="1:28" s="854" customFormat="1" ht="62.25" customHeight="1" x14ac:dyDescent="0.2">
      <c r="A16" s="4060"/>
      <c r="B16" s="4062"/>
      <c r="C16" s="4062"/>
      <c r="D16" s="4062"/>
      <c r="E16" s="4062"/>
      <c r="F16" s="4062"/>
      <c r="G16" s="866" t="s">
        <v>1784</v>
      </c>
      <c r="H16" s="4051" t="s">
        <v>1034</v>
      </c>
      <c r="I16" s="4051"/>
      <c r="J16" s="1491" t="s">
        <v>2198</v>
      </c>
      <c r="K16" s="867" t="s">
        <v>1275</v>
      </c>
      <c r="L16" s="1444" t="s">
        <v>1782</v>
      </c>
      <c r="M16" s="867" t="s">
        <v>1258</v>
      </c>
      <c r="N16" s="867" t="s">
        <v>1259</v>
      </c>
      <c r="O16" s="868" t="s">
        <v>27</v>
      </c>
      <c r="P16" s="868" t="s">
        <v>1034</v>
      </c>
      <c r="Q16" s="868" t="s">
        <v>1783</v>
      </c>
      <c r="R16" s="872" t="s">
        <v>1920</v>
      </c>
      <c r="S16" s="867" t="s">
        <v>1275</v>
      </c>
      <c r="T16" s="1444" t="s">
        <v>1782</v>
      </c>
      <c r="U16" s="867" t="s">
        <v>1258</v>
      </c>
      <c r="V16" s="867" t="s">
        <v>1259</v>
      </c>
      <c r="W16" s="868" t="s">
        <v>27</v>
      </c>
      <c r="X16" s="4049"/>
      <c r="Y16" s="4049"/>
      <c r="Z16" s="857"/>
      <c r="AB16" s="858"/>
    </row>
    <row r="17" spans="1:31" s="854" customFormat="1" ht="14.45" customHeight="1" x14ac:dyDescent="0.2">
      <c r="A17" s="4047" t="s">
        <v>420</v>
      </c>
      <c r="B17" s="734">
        <v>1503002046</v>
      </c>
      <c r="C17" s="4025" t="s">
        <v>83</v>
      </c>
      <c r="D17" s="4026"/>
      <c r="E17" s="4026"/>
      <c r="F17" s="4027"/>
      <c r="G17" s="869"/>
      <c r="H17" s="4055"/>
      <c r="I17" s="4056"/>
      <c r="J17" s="1493">
        <f>H17-G17</f>
        <v>0</v>
      </c>
      <c r="K17" s="1656">
        <f>L17-M17-N17-H17</f>
        <v>48000000000</v>
      </c>
      <c r="L17" s="1445">
        <v>30006000000</v>
      </c>
      <c r="M17" s="870">
        <v>-8373000000</v>
      </c>
      <c r="N17" s="871">
        <v>-9621000000</v>
      </c>
      <c r="O17" s="1482">
        <f>N17+M17+K17+H17</f>
        <v>30006000000</v>
      </c>
      <c r="P17" s="1482">
        <v>327800000000</v>
      </c>
      <c r="Q17" s="1482"/>
      <c r="R17" s="1489"/>
      <c r="S17" s="1482">
        <f>T17-U17-V17</f>
        <v>0</v>
      </c>
      <c r="T17" s="1452"/>
      <c r="U17" s="1482"/>
      <c r="V17" s="1489"/>
      <c r="W17" s="1489">
        <f>S17+P17+U17+V17+R17</f>
        <v>327800000000</v>
      </c>
      <c r="X17" s="1482">
        <f>O17+W17</f>
        <v>357806000000</v>
      </c>
      <c r="Y17" s="1482">
        <v>514740022376</v>
      </c>
      <c r="Z17" s="857"/>
      <c r="AB17" s="858">
        <f t="shared" ref="AB17:AB37" si="0">S17+U17+V17</f>
        <v>0</v>
      </c>
      <c r="AC17" s="854">
        <f>P17+H17+S17+U17</f>
        <v>327800000000</v>
      </c>
      <c r="AE17" s="854">
        <f>O17-N17</f>
        <v>39627000000</v>
      </c>
    </row>
    <row r="18" spans="1:31" s="854" customFormat="1" ht="14.45" customHeight="1" x14ac:dyDescent="0.2">
      <c r="A18" s="4047"/>
      <c r="B18" s="734">
        <v>1503002096</v>
      </c>
      <c r="C18" s="4025" t="s">
        <v>84</v>
      </c>
      <c r="D18" s="4026"/>
      <c r="E18" s="4026"/>
      <c r="F18" s="4027"/>
      <c r="G18" s="869"/>
      <c r="H18" s="4055"/>
      <c r="I18" s="4056"/>
      <c r="J18" s="1493">
        <f t="shared" ref="J18:J30" si="1">H18-G18</f>
        <v>0</v>
      </c>
      <c r="K18" s="1656">
        <f>L18-M18-N18</f>
        <v>3860000000</v>
      </c>
      <c r="L18" s="1445">
        <v>2561000000</v>
      </c>
      <c r="M18" s="870">
        <v>-387000000</v>
      </c>
      <c r="N18" s="871">
        <v>-912000000</v>
      </c>
      <c r="O18" s="1482">
        <f>N18+M18+K18+H18</f>
        <v>2561000000</v>
      </c>
      <c r="P18" s="1482"/>
      <c r="Q18" s="1482"/>
      <c r="R18" s="1482"/>
      <c r="S18" s="1482">
        <f t="shared" ref="S18:S36" si="2">T18-U18-V18</f>
        <v>0</v>
      </c>
      <c r="T18" s="1452"/>
      <c r="U18" s="1482"/>
      <c r="V18" s="1489"/>
      <c r="W18" s="1489">
        <f t="shared" ref="W18:W30" si="3">S18+P18+U18+V18+R18</f>
        <v>0</v>
      </c>
      <c r="X18" s="1482">
        <f t="shared" ref="X18:X30" si="4">O18+W18</f>
        <v>2561000000</v>
      </c>
      <c r="Y18" s="1482">
        <v>15000000000</v>
      </c>
      <c r="Z18" s="857"/>
      <c r="AB18" s="858">
        <f t="shared" si="0"/>
        <v>0</v>
      </c>
      <c r="AE18" s="854">
        <f t="shared" ref="AE18:AE30" si="5">O18-N18</f>
        <v>3473000000</v>
      </c>
    </row>
    <row r="19" spans="1:31" s="854" customFormat="1" ht="14.45" customHeight="1" x14ac:dyDescent="0.2">
      <c r="A19" s="4047"/>
      <c r="B19" s="734">
        <v>1503002173</v>
      </c>
      <c r="C19" s="4025" t="s">
        <v>85</v>
      </c>
      <c r="D19" s="4026"/>
      <c r="E19" s="4026"/>
      <c r="F19" s="4027"/>
      <c r="G19" s="869"/>
      <c r="H19" s="4055"/>
      <c r="I19" s="4056"/>
      <c r="J19" s="1493">
        <f t="shared" si="1"/>
        <v>0</v>
      </c>
      <c r="K19" s="1656">
        <f>L19-M19-N19</f>
        <v>16000000000</v>
      </c>
      <c r="L19" s="1446">
        <v>10385000000</v>
      </c>
      <c r="M19" s="1482">
        <v>-2283000000</v>
      </c>
      <c r="N19" s="1482">
        <v>-3332000000</v>
      </c>
      <c r="O19" s="1482">
        <f t="shared" ref="O19:O30" si="6">N19+M19+K19+H19</f>
        <v>10385000000</v>
      </c>
      <c r="P19" s="1482"/>
      <c r="Q19" s="1482"/>
      <c r="R19" s="1482"/>
      <c r="S19" s="1482">
        <f t="shared" si="2"/>
        <v>0</v>
      </c>
      <c r="T19" s="1452"/>
      <c r="U19" s="1482"/>
      <c r="V19" s="1489"/>
      <c r="W19" s="1489">
        <f t="shared" si="3"/>
        <v>0</v>
      </c>
      <c r="X19" s="1482">
        <f t="shared" si="4"/>
        <v>10385000000</v>
      </c>
      <c r="Y19" s="1482">
        <v>286158710807</v>
      </c>
      <c r="Z19" s="857"/>
      <c r="AB19" s="858">
        <f t="shared" si="0"/>
        <v>0</v>
      </c>
      <c r="AD19" s="854">
        <f>O31-N31</f>
        <v>1553690000000</v>
      </c>
      <c r="AE19" s="854">
        <f t="shared" si="5"/>
        <v>13717000000</v>
      </c>
    </row>
    <row r="20" spans="1:31" s="854" customFormat="1" ht="14.45" customHeight="1" x14ac:dyDescent="0.2">
      <c r="A20" s="4047"/>
      <c r="B20" s="734">
        <v>1503002067</v>
      </c>
      <c r="C20" s="4025" t="s">
        <v>86</v>
      </c>
      <c r="D20" s="4026"/>
      <c r="E20" s="4026"/>
      <c r="F20" s="4027"/>
      <c r="G20" s="869">
        <v>461000000</v>
      </c>
      <c r="H20" s="4013">
        <f>461000000+G20</f>
        <v>922000000</v>
      </c>
      <c r="I20" s="4014"/>
      <c r="J20" s="1493">
        <f t="shared" si="1"/>
        <v>461000000</v>
      </c>
      <c r="K20" s="1656">
        <f>L20-M20-N20</f>
        <v>1538000000</v>
      </c>
      <c r="L20" s="1446">
        <f>1513000000-461000000</f>
        <v>1052000000</v>
      </c>
      <c r="M20" s="1482">
        <v>-112000000</v>
      </c>
      <c r="N20" s="1482">
        <v>-374000000</v>
      </c>
      <c r="O20" s="1482">
        <f t="shared" si="6"/>
        <v>1974000000</v>
      </c>
      <c r="P20" s="1482">
        <f>4783000000+Q20</f>
        <v>8558000000</v>
      </c>
      <c r="Q20" s="1482">
        <v>3775000000</v>
      </c>
      <c r="R20" s="1482"/>
      <c r="S20" s="1482">
        <f t="shared" si="2"/>
        <v>0</v>
      </c>
      <c r="T20" s="1452"/>
      <c r="U20" s="1482"/>
      <c r="V20" s="1489"/>
      <c r="W20" s="1489">
        <f t="shared" si="3"/>
        <v>8558000000</v>
      </c>
      <c r="X20" s="1482">
        <f t="shared" si="4"/>
        <v>10532000000</v>
      </c>
      <c r="Y20" s="1482">
        <v>2902000000</v>
      </c>
      <c r="Z20" s="857"/>
      <c r="AB20" s="858">
        <f t="shared" si="0"/>
        <v>0</v>
      </c>
      <c r="AE20" s="854">
        <f t="shared" si="5"/>
        <v>2348000000</v>
      </c>
    </row>
    <row r="21" spans="1:31" s="854" customFormat="1" ht="14.45" customHeight="1" x14ac:dyDescent="0.2">
      <c r="A21" s="4047"/>
      <c r="B21" s="734">
        <v>1307006001</v>
      </c>
      <c r="C21" s="4025" t="s">
        <v>87</v>
      </c>
      <c r="D21" s="4026"/>
      <c r="E21" s="4026"/>
      <c r="F21" s="4027"/>
      <c r="G21" s="869">
        <v>979000000</v>
      </c>
      <c r="H21" s="4013">
        <f>156674000000+G21</f>
        <v>157653000000</v>
      </c>
      <c r="I21" s="4014"/>
      <c r="J21" s="1493">
        <f>H21-G21</f>
        <v>156674000000</v>
      </c>
      <c r="K21" s="1656">
        <f>L21-M21-N21</f>
        <v>457833000000</v>
      </c>
      <c r="L21" s="1446">
        <f>448930000000-156674000000</f>
        <v>292256000000</v>
      </c>
      <c r="M21" s="1482">
        <v>-56963000000</v>
      </c>
      <c r="N21" s="1482">
        <v>-108614000000</v>
      </c>
      <c r="O21" s="1482">
        <f t="shared" si="6"/>
        <v>449909000000</v>
      </c>
      <c r="P21" s="1482">
        <v>70000000000</v>
      </c>
      <c r="Q21" s="1482"/>
      <c r="R21" s="1482"/>
      <c r="S21" s="1482">
        <f t="shared" si="2"/>
        <v>0</v>
      </c>
      <c r="T21" s="1452"/>
      <c r="U21" s="1482"/>
      <c r="V21" s="1489"/>
      <c r="W21" s="1525">
        <f>S21+P21+U21+V21+R21</f>
        <v>70000000000</v>
      </c>
      <c r="X21" s="1482">
        <f>O21+W21</f>
        <v>519909000000</v>
      </c>
      <c r="Y21" s="1482">
        <v>130310000000</v>
      </c>
      <c r="Z21" s="857"/>
      <c r="AB21" s="858">
        <f t="shared" si="0"/>
        <v>0</v>
      </c>
      <c r="AC21" s="854">
        <f>K21+M21+N21</f>
        <v>292256000000</v>
      </c>
      <c r="AE21" s="854">
        <f t="shared" si="5"/>
        <v>558523000000</v>
      </c>
    </row>
    <row r="22" spans="1:31" s="854" customFormat="1" ht="14.45" customHeight="1" x14ac:dyDescent="0.4">
      <c r="A22" s="4047"/>
      <c r="B22" s="845">
        <v>1307002010</v>
      </c>
      <c r="C22" s="4025" t="s">
        <v>203</v>
      </c>
      <c r="D22" s="4026"/>
      <c r="E22" s="4026"/>
      <c r="F22" s="4027"/>
      <c r="G22" s="869">
        <v>3370000000</v>
      </c>
      <c r="H22" s="4013">
        <f>3370000000+G22</f>
        <v>6740000000</v>
      </c>
      <c r="I22" s="4014"/>
      <c r="J22" s="1493">
        <f t="shared" si="1"/>
        <v>3370000000</v>
      </c>
      <c r="K22" s="1656">
        <f>L22-M22-N22</f>
        <v>134128000000</v>
      </c>
      <c r="L22" s="1561">
        <f>87389000000-3370000000</f>
        <v>84019000000</v>
      </c>
      <c r="M22" s="870">
        <v>-23164000000</v>
      </c>
      <c r="N22" s="873">
        <v>-26945000000</v>
      </c>
      <c r="O22" s="1482">
        <f t="shared" si="6"/>
        <v>90759000000</v>
      </c>
      <c r="P22" s="1482">
        <f>1929939000000+Q22</f>
        <v>1945261000000</v>
      </c>
      <c r="Q22" s="1482">
        <v>15322000000</v>
      </c>
      <c r="R22" s="1482"/>
      <c r="S22" s="1482">
        <f t="shared" si="2"/>
        <v>0</v>
      </c>
      <c r="T22" s="1452"/>
      <c r="U22" s="1482"/>
      <c r="V22" s="1489"/>
      <c r="W22" s="1489">
        <f t="shared" si="3"/>
        <v>1945261000000</v>
      </c>
      <c r="X22" s="1482">
        <f t="shared" si="4"/>
        <v>2036020000000</v>
      </c>
      <c r="Y22" s="1482">
        <v>1706278012313</v>
      </c>
      <c r="Z22" s="857"/>
      <c r="AB22" s="858">
        <f t="shared" si="0"/>
        <v>0</v>
      </c>
      <c r="AE22" s="854">
        <f t="shared" si="5"/>
        <v>117704000000</v>
      </c>
    </row>
    <row r="23" spans="1:31" s="854" customFormat="1" ht="14.45" customHeight="1" x14ac:dyDescent="0.4">
      <c r="A23" s="4047"/>
      <c r="B23" s="1514" t="s">
        <v>2041</v>
      </c>
      <c r="C23" s="4032" t="s">
        <v>2040</v>
      </c>
      <c r="D23" s="4033"/>
      <c r="E23" s="4033"/>
      <c r="F23" s="4034"/>
      <c r="G23" s="1475"/>
      <c r="H23" s="4013"/>
      <c r="I23" s="4014"/>
      <c r="J23" s="1493">
        <f t="shared" si="1"/>
        <v>0</v>
      </c>
      <c r="K23" s="1656">
        <f>L23-M23-N23-H23</f>
        <v>0</v>
      </c>
      <c r="L23" s="1561"/>
      <c r="M23" s="870"/>
      <c r="N23" s="873"/>
      <c r="O23" s="1482">
        <f t="shared" si="6"/>
        <v>0</v>
      </c>
      <c r="P23" s="1482">
        <v>1080000000000</v>
      </c>
      <c r="Q23" s="1482"/>
      <c r="R23" s="1482"/>
      <c r="S23" s="1482"/>
      <c r="T23" s="1452"/>
      <c r="U23" s="1482"/>
      <c r="V23" s="1489"/>
      <c r="W23" s="1489">
        <f t="shared" si="3"/>
        <v>1080000000000</v>
      </c>
      <c r="X23" s="1482">
        <f t="shared" si="4"/>
        <v>1080000000000</v>
      </c>
      <c r="Y23" s="1482"/>
      <c r="Z23" s="857"/>
      <c r="AB23" s="858"/>
      <c r="AE23" s="854">
        <f t="shared" si="5"/>
        <v>0</v>
      </c>
    </row>
    <row r="24" spans="1:31" s="854" customFormat="1" ht="14.45" customHeight="1" x14ac:dyDescent="0.4">
      <c r="A24" s="4047"/>
      <c r="B24" s="734">
        <v>1307002080</v>
      </c>
      <c r="C24" s="4025" t="s">
        <v>418</v>
      </c>
      <c r="D24" s="4026"/>
      <c r="E24" s="4026"/>
      <c r="F24" s="4027"/>
      <c r="G24" s="874"/>
      <c r="H24" s="4020"/>
      <c r="I24" s="4021"/>
      <c r="J24" s="1493">
        <f t="shared" si="1"/>
        <v>0</v>
      </c>
      <c r="K24" s="1656">
        <f t="shared" ref="K24:K29" si="7">L24-M24-N24</f>
        <v>164807000000</v>
      </c>
      <c r="L24" s="1561">
        <v>109225000000</v>
      </c>
      <c r="M24" s="1482">
        <v>-18747000000</v>
      </c>
      <c r="N24" s="1482">
        <v>-36835000000</v>
      </c>
      <c r="O24" s="1482">
        <f>N24+M24+K24+H24</f>
        <v>109225000000</v>
      </c>
      <c r="P24" s="1482">
        <v>5502000000000</v>
      </c>
      <c r="Q24" s="1482"/>
      <c r="R24" s="1482"/>
      <c r="S24" s="1482">
        <f t="shared" si="2"/>
        <v>0</v>
      </c>
      <c r="T24" s="1452"/>
      <c r="U24" s="1482"/>
      <c r="V24" s="1489"/>
      <c r="W24" s="1489">
        <f t="shared" si="3"/>
        <v>5502000000000</v>
      </c>
      <c r="X24" s="1482">
        <f>O24+W24</f>
        <v>5611225000000</v>
      </c>
      <c r="Y24" s="1468">
        <v>4136771151471</v>
      </c>
      <c r="Z24" s="857"/>
      <c r="AB24" s="858">
        <f t="shared" si="0"/>
        <v>0</v>
      </c>
      <c r="AE24" s="854">
        <f t="shared" si="5"/>
        <v>146060000000</v>
      </c>
    </row>
    <row r="25" spans="1:31" s="854" customFormat="1" ht="14.45" customHeight="1" x14ac:dyDescent="0.2">
      <c r="A25" s="4047"/>
      <c r="B25" s="734">
        <v>1502001005</v>
      </c>
      <c r="C25" s="4025" t="s">
        <v>233</v>
      </c>
      <c r="D25" s="4026"/>
      <c r="E25" s="4026"/>
      <c r="F25" s="4027"/>
      <c r="G25" s="874"/>
      <c r="H25" s="4020">
        <v>13800000000</v>
      </c>
      <c r="I25" s="4021"/>
      <c r="J25" s="1493">
        <f t="shared" si="1"/>
        <v>13800000000</v>
      </c>
      <c r="K25" s="1656">
        <f t="shared" si="7"/>
        <v>90000000000</v>
      </c>
      <c r="L25" s="1446">
        <f>73553000000-H25</f>
        <v>59753000000</v>
      </c>
      <c r="M25" s="1482">
        <v>-8032000000</v>
      </c>
      <c r="N25" s="1482">
        <v>-22215000000</v>
      </c>
      <c r="O25" s="1482">
        <f t="shared" si="6"/>
        <v>73553000000</v>
      </c>
      <c r="P25" s="1482"/>
      <c r="Q25" s="1482"/>
      <c r="R25" s="1482"/>
      <c r="S25" s="1482">
        <f t="shared" si="2"/>
        <v>0</v>
      </c>
      <c r="T25" s="1452"/>
      <c r="U25" s="1482"/>
      <c r="V25" s="1489"/>
      <c r="W25" s="1489">
        <f t="shared" si="3"/>
        <v>0</v>
      </c>
      <c r="X25" s="1482">
        <f t="shared" si="4"/>
        <v>73553000000</v>
      </c>
      <c r="Y25" s="1468">
        <v>90000000000</v>
      </c>
      <c r="Z25" s="857"/>
      <c r="AB25" s="858">
        <f t="shared" si="0"/>
        <v>0</v>
      </c>
      <c r="AE25" s="854">
        <f t="shared" si="5"/>
        <v>95768000000</v>
      </c>
    </row>
    <row r="26" spans="1:31" s="854" customFormat="1" ht="14.45" customHeight="1" x14ac:dyDescent="0.2">
      <c r="A26" s="4047"/>
      <c r="B26" s="229">
        <v>1503003007</v>
      </c>
      <c r="C26" s="4066" t="s">
        <v>155</v>
      </c>
      <c r="D26" s="4067"/>
      <c r="E26" s="4067"/>
      <c r="F26" s="4068"/>
      <c r="G26" s="874"/>
      <c r="H26" s="4020"/>
      <c r="I26" s="4021"/>
      <c r="J26" s="1493">
        <f t="shared" si="1"/>
        <v>0</v>
      </c>
      <c r="K26" s="1656">
        <f t="shared" si="7"/>
        <v>5000000000</v>
      </c>
      <c r="L26" s="1446">
        <v>3317000000</v>
      </c>
      <c r="M26" s="1482">
        <v>-619000000</v>
      </c>
      <c r="N26" s="1482">
        <v>-1064000000</v>
      </c>
      <c r="O26" s="1482">
        <f t="shared" si="6"/>
        <v>3317000000</v>
      </c>
      <c r="P26" s="1482"/>
      <c r="Q26" s="1482"/>
      <c r="R26" s="1482"/>
      <c r="S26" s="1482">
        <f t="shared" si="2"/>
        <v>0</v>
      </c>
      <c r="T26" s="1452"/>
      <c r="U26" s="1482"/>
      <c r="V26" s="1489"/>
      <c r="W26" s="1489">
        <f t="shared" si="3"/>
        <v>0</v>
      </c>
      <c r="X26" s="1482">
        <f t="shared" si="4"/>
        <v>3317000000</v>
      </c>
      <c r="Y26" s="1468">
        <v>4000000000</v>
      </c>
      <c r="Z26" s="857"/>
      <c r="AB26" s="858">
        <f t="shared" si="0"/>
        <v>0</v>
      </c>
      <c r="AE26" s="854">
        <f t="shared" si="5"/>
        <v>4381000000</v>
      </c>
    </row>
    <row r="27" spans="1:31" s="854" customFormat="1" ht="14.45" customHeight="1" x14ac:dyDescent="0.2">
      <c r="A27" s="4047"/>
      <c r="B27" s="734" t="s">
        <v>608</v>
      </c>
      <c r="C27" s="3530" t="s">
        <v>1290</v>
      </c>
      <c r="D27" s="3531"/>
      <c r="E27" s="3531"/>
      <c r="F27" s="3532"/>
      <c r="G27" s="874"/>
      <c r="H27" s="4072"/>
      <c r="I27" s="4072"/>
      <c r="J27" s="1493">
        <f t="shared" si="1"/>
        <v>0</v>
      </c>
      <c r="K27" s="1656">
        <f t="shared" si="7"/>
        <v>567376000000</v>
      </c>
      <c r="L27" s="1446">
        <v>377146000000</v>
      </c>
      <c r="M27" s="1482">
        <v>-73705000000</v>
      </c>
      <c r="N27" s="1482">
        <v>-116525000000</v>
      </c>
      <c r="O27" s="1482">
        <f t="shared" si="6"/>
        <v>377146000000</v>
      </c>
      <c r="P27" s="1482">
        <v>862400000000</v>
      </c>
      <c r="Q27" s="1482"/>
      <c r="R27" s="1482"/>
      <c r="S27" s="1482">
        <f t="shared" si="2"/>
        <v>0</v>
      </c>
      <c r="T27" s="1452"/>
      <c r="U27" s="1482"/>
      <c r="V27" s="1489"/>
      <c r="W27" s="1489">
        <f t="shared" si="3"/>
        <v>862400000000</v>
      </c>
      <c r="X27" s="1482">
        <f t="shared" si="4"/>
        <v>1239546000000</v>
      </c>
      <c r="Y27" s="871">
        <v>2579350185763</v>
      </c>
      <c r="Z27" s="857"/>
      <c r="AB27" s="858">
        <f t="shared" si="0"/>
        <v>0</v>
      </c>
      <c r="AE27" s="854">
        <f t="shared" si="5"/>
        <v>493671000000</v>
      </c>
    </row>
    <row r="28" spans="1:31" s="854" customFormat="1" ht="14.45" customHeight="1" x14ac:dyDescent="0.2">
      <c r="A28" s="4047"/>
      <c r="B28" s="734" t="s">
        <v>366</v>
      </c>
      <c r="C28" s="4069" t="s">
        <v>619</v>
      </c>
      <c r="D28" s="4070"/>
      <c r="E28" s="4070"/>
      <c r="F28" s="4071"/>
      <c r="G28" s="874"/>
      <c r="H28" s="4072"/>
      <c r="I28" s="4072"/>
      <c r="J28" s="1493">
        <f t="shared" si="1"/>
        <v>0</v>
      </c>
      <c r="K28" s="1656">
        <f t="shared" si="7"/>
        <v>1500000000</v>
      </c>
      <c r="L28" s="1446">
        <v>1016000000</v>
      </c>
      <c r="M28" s="1482">
        <v>-158000000</v>
      </c>
      <c r="N28" s="1482">
        <v>-326000000</v>
      </c>
      <c r="O28" s="1482">
        <f t="shared" si="6"/>
        <v>1016000000</v>
      </c>
      <c r="P28" s="1482">
        <v>5000000000</v>
      </c>
      <c r="Q28" s="1482"/>
      <c r="R28" s="1482"/>
      <c r="S28" s="1482">
        <f t="shared" si="2"/>
        <v>0</v>
      </c>
      <c r="T28" s="1452"/>
      <c r="U28" s="1482"/>
      <c r="V28" s="1489"/>
      <c r="W28" s="1489">
        <f t="shared" si="3"/>
        <v>5000000000</v>
      </c>
      <c r="X28" s="1482">
        <f t="shared" si="4"/>
        <v>6016000000</v>
      </c>
      <c r="Y28" s="1482">
        <v>2500000000</v>
      </c>
      <c r="Z28" s="857"/>
      <c r="AB28" s="858">
        <f t="shared" si="0"/>
        <v>0</v>
      </c>
      <c r="AD28" s="858">
        <v>-242211895507</v>
      </c>
      <c r="AE28" s="854">
        <f t="shared" si="5"/>
        <v>1342000000</v>
      </c>
    </row>
    <row r="29" spans="1:31" s="854" customFormat="1" ht="14.45" customHeight="1" x14ac:dyDescent="0.4">
      <c r="A29" s="4047"/>
      <c r="B29" s="1505" t="s">
        <v>2143</v>
      </c>
      <c r="C29" s="1507" t="s">
        <v>2142</v>
      </c>
      <c r="D29" s="1556"/>
      <c r="E29" s="1556"/>
      <c r="F29" s="1557"/>
      <c r="G29" s="1390"/>
      <c r="H29" s="4013">
        <v>30000000000</v>
      </c>
      <c r="I29" s="4014"/>
      <c r="J29" s="1493">
        <f t="shared" si="1"/>
        <v>30000000000</v>
      </c>
      <c r="K29" s="1656">
        <f t="shared" si="7"/>
        <v>55000000000</v>
      </c>
      <c r="L29" s="1562">
        <f>64318000000-H29</f>
        <v>34318000000</v>
      </c>
      <c r="M29" s="1392">
        <v>-7924000000</v>
      </c>
      <c r="N29" s="1392">
        <v>-12758000000</v>
      </c>
      <c r="O29" s="1482">
        <f t="shared" si="6"/>
        <v>64318000000</v>
      </c>
      <c r="P29" s="1392"/>
      <c r="Q29" s="1392"/>
      <c r="R29" s="1392"/>
      <c r="S29" s="1392"/>
      <c r="T29" s="1453"/>
      <c r="U29" s="1392"/>
      <c r="V29" s="1478"/>
      <c r="W29" s="1489"/>
      <c r="X29" s="1482"/>
      <c r="Y29" s="1392"/>
      <c r="Z29" s="857"/>
      <c r="AB29" s="858"/>
      <c r="AE29" s="854">
        <f t="shared" si="5"/>
        <v>77076000000</v>
      </c>
    </row>
    <row r="30" spans="1:31" s="854" customFormat="1" ht="14.45" customHeight="1" thickBot="1" x14ac:dyDescent="0.45">
      <c r="A30" s="4047"/>
      <c r="B30" s="4007" t="s">
        <v>2175</v>
      </c>
      <c r="C30" s="4008"/>
      <c r="D30" s="4008"/>
      <c r="E30" s="4008"/>
      <c r="F30" s="4009"/>
      <c r="G30" s="1390"/>
      <c r="H30" s="4005"/>
      <c r="I30" s="4006"/>
      <c r="J30" s="1493">
        <f t="shared" si="1"/>
        <v>0</v>
      </c>
      <c r="K30" s="1656">
        <f t="shared" ref="K30" si="8">L30-M30-N30-J30</f>
        <v>0</v>
      </c>
      <c r="L30" s="1562"/>
      <c r="M30" s="1392"/>
      <c r="N30" s="1392"/>
      <c r="O30" s="1482">
        <f t="shared" si="6"/>
        <v>0</v>
      </c>
      <c r="P30" s="1392"/>
      <c r="Q30" s="1392"/>
      <c r="R30" s="1392"/>
      <c r="S30" s="1392">
        <f t="shared" si="2"/>
        <v>0</v>
      </c>
      <c r="T30" s="1453"/>
      <c r="U30" s="1392"/>
      <c r="V30" s="1478"/>
      <c r="W30" s="1489">
        <f t="shared" si="3"/>
        <v>0</v>
      </c>
      <c r="X30" s="1482">
        <f t="shared" si="4"/>
        <v>0</v>
      </c>
      <c r="Y30" s="1392">
        <f>Y51</f>
        <v>3974355555570</v>
      </c>
      <c r="Z30" s="857"/>
      <c r="AB30" s="858">
        <f t="shared" si="0"/>
        <v>0</v>
      </c>
      <c r="AE30" s="854">
        <f t="shared" si="5"/>
        <v>0</v>
      </c>
    </row>
    <row r="31" spans="1:31" s="854" customFormat="1" ht="13.15" customHeight="1" thickBot="1" x14ac:dyDescent="0.25">
      <c r="A31" s="4061"/>
      <c r="B31" s="4063" t="s">
        <v>931</v>
      </c>
      <c r="C31" s="4064"/>
      <c r="D31" s="4064"/>
      <c r="E31" s="4064"/>
      <c r="F31" s="4065"/>
      <c r="G31" s="1394">
        <f>SUM(G17:G30)</f>
        <v>4810000000</v>
      </c>
      <c r="H31" s="4031">
        <f>SUM(H17:I30)</f>
        <v>209115000000</v>
      </c>
      <c r="I31" s="4031"/>
      <c r="J31" s="1485">
        <f>SUM(J17:J30)</f>
        <v>204305000000</v>
      </c>
      <c r="K31" s="1395">
        <f>L31-M31-N31</f>
        <v>1545042000000</v>
      </c>
      <c r="L31" s="1449">
        <f>SUM(L17:L30)</f>
        <v>1005054000000</v>
      </c>
      <c r="M31" s="1396">
        <f>SUM(M17:M30)</f>
        <v>-200467000000</v>
      </c>
      <c r="N31" s="1396">
        <f>SUM(N17:N30)</f>
        <v>-339521000000</v>
      </c>
      <c r="O31" s="1395">
        <f>N31+M31+K31+H31</f>
        <v>1214169000000</v>
      </c>
      <c r="P31" s="1396">
        <f>SUM(P17:P30)</f>
        <v>9801019000000</v>
      </c>
      <c r="Q31" s="1396">
        <f>SUM(Q17:Q30)</f>
        <v>19097000000</v>
      </c>
      <c r="R31" s="1396"/>
      <c r="S31" s="1395">
        <f t="shared" si="2"/>
        <v>0</v>
      </c>
      <c r="T31" s="1449">
        <f>SUM(T17:T30)</f>
        <v>0</v>
      </c>
      <c r="U31" s="1396">
        <f>SUM(U17:U30)</f>
        <v>0</v>
      </c>
      <c r="V31" s="1396">
        <f>SUM(V17:V30)</f>
        <v>0</v>
      </c>
      <c r="W31" s="1563">
        <f>S31+P31+U31+V31+R31</f>
        <v>9801019000000</v>
      </c>
      <c r="X31" s="1395">
        <f t="shared" ref="X31:X36" si="9">O31+W31</f>
        <v>11015188000000</v>
      </c>
      <c r="Y31" s="1397">
        <f>SUM(Y17:Y30)</f>
        <v>13442365638300</v>
      </c>
      <c r="Z31" s="857"/>
      <c r="AB31" s="858">
        <f t="shared" si="0"/>
        <v>0</v>
      </c>
      <c r="AD31" s="854">
        <f>SUM(K17:K30)</f>
        <v>1545042000000</v>
      </c>
      <c r="AE31" s="854">
        <f>SUM(AE17:AE30)</f>
        <v>1553690000000</v>
      </c>
    </row>
    <row r="32" spans="1:31" s="854" customFormat="1" ht="13.15" customHeight="1" x14ac:dyDescent="0.2">
      <c r="A32" s="4047" t="s">
        <v>421</v>
      </c>
      <c r="B32" s="845" t="s">
        <v>608</v>
      </c>
      <c r="C32" s="4044" t="s">
        <v>1290</v>
      </c>
      <c r="D32" s="4045"/>
      <c r="E32" s="4045"/>
      <c r="F32" s="4046"/>
      <c r="G32" s="176"/>
      <c r="H32" s="4038"/>
      <c r="I32" s="4038"/>
      <c r="J32" s="1486"/>
      <c r="K32" s="1393">
        <f t="shared" ref="K32:K36" si="10">L32-M32-N32</f>
        <v>0</v>
      </c>
      <c r="L32" s="1564"/>
      <c r="M32" s="1486"/>
      <c r="N32" s="1486"/>
      <c r="O32" s="1393">
        <f t="shared" ref="O32:O36" si="11">N32+M32+K32+H32</f>
        <v>0</v>
      </c>
      <c r="P32" s="1565">
        <v>12378300480</v>
      </c>
      <c r="Q32" s="1565"/>
      <c r="R32" s="1565"/>
      <c r="S32" s="1393">
        <f t="shared" si="2"/>
        <v>0</v>
      </c>
      <c r="T32" s="1566"/>
      <c r="U32" s="1486"/>
      <c r="V32" s="1567"/>
      <c r="W32" s="1567">
        <f t="shared" ref="W32:W36" si="12">S32+P32+U32+V32+R32</f>
        <v>12378300480</v>
      </c>
      <c r="X32" s="1393">
        <f t="shared" si="9"/>
        <v>12378300480</v>
      </c>
      <c r="Y32" s="1486">
        <v>640000000000</v>
      </c>
      <c r="Z32" s="857"/>
      <c r="AB32" s="858">
        <f t="shared" si="0"/>
        <v>0</v>
      </c>
    </row>
    <row r="33" spans="1:31" s="854" customFormat="1" ht="13.15" customHeight="1" x14ac:dyDescent="0.2">
      <c r="A33" s="4047"/>
      <c r="B33" s="734" t="s">
        <v>610</v>
      </c>
      <c r="C33" s="4025" t="s">
        <v>596</v>
      </c>
      <c r="D33" s="4026"/>
      <c r="E33" s="4026"/>
      <c r="F33" s="4027"/>
      <c r="G33" s="747"/>
      <c r="H33" s="4041">
        <v>10000000000</v>
      </c>
      <c r="I33" s="4041"/>
      <c r="J33" s="1487"/>
      <c r="K33" s="1482">
        <f t="shared" si="10"/>
        <v>0</v>
      </c>
      <c r="L33" s="1568"/>
      <c r="M33" s="1487"/>
      <c r="N33" s="1487"/>
      <c r="O33" s="1482">
        <f t="shared" si="11"/>
        <v>10000000000</v>
      </c>
      <c r="P33" s="1569"/>
      <c r="Q33" s="1569"/>
      <c r="R33" s="1569"/>
      <c r="S33" s="1482">
        <f t="shared" si="2"/>
        <v>0</v>
      </c>
      <c r="T33" s="1570"/>
      <c r="U33" s="1487"/>
      <c r="V33" s="1489"/>
      <c r="W33" s="1489">
        <f t="shared" si="12"/>
        <v>0</v>
      </c>
      <c r="X33" s="1482">
        <f t="shared" si="9"/>
        <v>10000000000</v>
      </c>
      <c r="Y33" s="1487">
        <v>30000000000</v>
      </c>
      <c r="Z33" s="857"/>
      <c r="AB33" s="858">
        <f t="shared" si="0"/>
        <v>0</v>
      </c>
      <c r="AE33" s="854">
        <f>SUM(K17:K30)</f>
        <v>1545042000000</v>
      </c>
    </row>
    <row r="34" spans="1:31" s="854" customFormat="1" ht="13.15" customHeight="1" x14ac:dyDescent="0.2">
      <c r="A34" s="4047"/>
      <c r="B34" s="734">
        <v>1307002080</v>
      </c>
      <c r="C34" s="4025" t="s">
        <v>418</v>
      </c>
      <c r="D34" s="4026"/>
      <c r="E34" s="4026"/>
      <c r="F34" s="4027"/>
      <c r="G34" s="747"/>
      <c r="H34" s="4041"/>
      <c r="I34" s="4041"/>
      <c r="J34" s="1487"/>
      <c r="K34" s="1482">
        <f>L34-M34-N34</f>
        <v>0</v>
      </c>
      <c r="L34" s="1568"/>
      <c r="M34" s="1487"/>
      <c r="N34" s="1487"/>
      <c r="O34" s="1482">
        <f>N34+M34+K34+H34</f>
        <v>0</v>
      </c>
      <c r="P34" s="1569"/>
      <c r="Q34" s="1569"/>
      <c r="R34" s="1569"/>
      <c r="S34" s="1482">
        <f>T34-U34-V34</f>
        <v>0</v>
      </c>
      <c r="T34" s="1570"/>
      <c r="U34" s="1487"/>
      <c r="V34" s="1489"/>
      <c r="W34" s="1489">
        <f>S34+P34+U34+V34+R34</f>
        <v>0</v>
      </c>
      <c r="X34" s="1482">
        <f>O34+W34</f>
        <v>0</v>
      </c>
      <c r="Y34" s="1487">
        <v>899015625000</v>
      </c>
      <c r="Z34" s="857"/>
      <c r="AB34" s="858"/>
      <c r="AC34" s="854">
        <f>K31+M31+N31</f>
        <v>1005054000000</v>
      </c>
    </row>
    <row r="35" spans="1:31" s="854" customFormat="1" ht="13.15" customHeight="1" x14ac:dyDescent="0.2">
      <c r="A35" s="4047"/>
      <c r="B35" s="4028" t="s">
        <v>1902</v>
      </c>
      <c r="C35" s="4029"/>
      <c r="D35" s="4029"/>
      <c r="E35" s="4029"/>
      <c r="F35" s="4030"/>
      <c r="G35" s="747"/>
      <c r="H35" s="4042"/>
      <c r="I35" s="4043"/>
      <c r="J35" s="1488"/>
      <c r="K35" s="1482"/>
      <c r="L35" s="1568"/>
      <c r="M35" s="1487"/>
      <c r="N35" s="1487"/>
      <c r="O35" s="1482"/>
      <c r="P35" s="1569"/>
      <c r="Q35" s="1569"/>
      <c r="R35" s="1569"/>
      <c r="S35" s="1482"/>
      <c r="T35" s="1570"/>
      <c r="U35" s="1487"/>
      <c r="V35" s="1489"/>
      <c r="W35" s="1489">
        <f t="shared" si="12"/>
        <v>0</v>
      </c>
      <c r="X35" s="1482">
        <f t="shared" si="9"/>
        <v>0</v>
      </c>
      <c r="Y35" s="1487">
        <v>3000000000</v>
      </c>
      <c r="Z35" s="857"/>
      <c r="AB35" s="858">
        <f t="shared" si="0"/>
        <v>0</v>
      </c>
      <c r="AE35" s="854">
        <f>K31-AE33</f>
        <v>0</v>
      </c>
    </row>
    <row r="36" spans="1:31" s="854" customFormat="1" ht="14.45" customHeight="1" thickBot="1" x14ac:dyDescent="0.25">
      <c r="A36" s="4048"/>
      <c r="B36" s="4022" t="s">
        <v>932</v>
      </c>
      <c r="C36" s="4023"/>
      <c r="D36" s="4023"/>
      <c r="E36" s="4023"/>
      <c r="F36" s="4024"/>
      <c r="G36" s="1399"/>
      <c r="H36" s="4037">
        <f>SUM(H32:I33)</f>
        <v>10000000000</v>
      </c>
      <c r="I36" s="4037"/>
      <c r="J36" s="1484"/>
      <c r="K36" s="1392">
        <f t="shared" si="10"/>
        <v>0</v>
      </c>
      <c r="L36" s="1571">
        <f>SUM(L32:L33)</f>
        <v>0</v>
      </c>
      <c r="M36" s="1484">
        <f>SUM(M32:M33)</f>
        <v>0</v>
      </c>
      <c r="N36" s="1484">
        <f>SUM(N32:N33)</f>
        <v>0</v>
      </c>
      <c r="O36" s="1392">
        <f t="shared" si="11"/>
        <v>10000000000</v>
      </c>
      <c r="P36" s="1484">
        <f>SUM(P32:P35)</f>
        <v>12378300480</v>
      </c>
      <c r="Q36" s="1484">
        <f>SUM(Q32:Q35)</f>
        <v>0</v>
      </c>
      <c r="R36" s="1484"/>
      <c r="S36" s="1392">
        <f t="shared" si="2"/>
        <v>0</v>
      </c>
      <c r="T36" s="1571">
        <f>SUM(T32:T33)</f>
        <v>0</v>
      </c>
      <c r="U36" s="1484">
        <f>SUM(U32:U33)</f>
        <v>0</v>
      </c>
      <c r="V36" s="1484">
        <f>SUM(V32:V33)</f>
        <v>0</v>
      </c>
      <c r="W36" s="1478">
        <f t="shared" si="12"/>
        <v>12378300480</v>
      </c>
      <c r="X36" s="1392">
        <f t="shared" si="9"/>
        <v>22378300480</v>
      </c>
      <c r="Y36" s="1484">
        <v>1572015625000</v>
      </c>
      <c r="Z36" s="877"/>
      <c r="AB36" s="858">
        <f t="shared" si="0"/>
        <v>0</v>
      </c>
      <c r="AC36" s="854">
        <f>H31-G31</f>
        <v>204305000000</v>
      </c>
    </row>
    <row r="37" spans="1:31" s="854" customFormat="1" ht="15.6" customHeight="1" thickBot="1" x14ac:dyDescent="0.25">
      <c r="A37" s="4039" t="s">
        <v>386</v>
      </c>
      <c r="B37" s="4040"/>
      <c r="C37" s="4040"/>
      <c r="D37" s="4040"/>
      <c r="E37" s="4040"/>
      <c r="F37" s="4040"/>
      <c r="G37" s="1394">
        <f>G31</f>
        <v>4810000000</v>
      </c>
      <c r="H37" s="4031">
        <f>H31+H36</f>
        <v>219115000000</v>
      </c>
      <c r="I37" s="4031"/>
      <c r="J37" s="1485"/>
      <c r="K37" s="1485">
        <f t="shared" ref="K37:X37" si="13">K36+K31</f>
        <v>1545042000000</v>
      </c>
      <c r="L37" s="1450">
        <f t="shared" si="13"/>
        <v>1005054000000</v>
      </c>
      <c r="M37" s="1485">
        <f t="shared" si="13"/>
        <v>-200467000000</v>
      </c>
      <c r="N37" s="1485">
        <f t="shared" si="13"/>
        <v>-339521000000</v>
      </c>
      <c r="O37" s="1485">
        <f t="shared" si="13"/>
        <v>1224169000000</v>
      </c>
      <c r="P37" s="1485">
        <f t="shared" si="13"/>
        <v>9813397300480</v>
      </c>
      <c r="Q37" s="1485">
        <f t="shared" si="13"/>
        <v>19097000000</v>
      </c>
      <c r="R37" s="1485"/>
      <c r="S37" s="1485">
        <f t="shared" si="13"/>
        <v>0</v>
      </c>
      <c r="T37" s="1450">
        <f t="shared" si="13"/>
        <v>0</v>
      </c>
      <c r="U37" s="1485">
        <f t="shared" si="13"/>
        <v>0</v>
      </c>
      <c r="V37" s="1485">
        <f t="shared" si="13"/>
        <v>0</v>
      </c>
      <c r="W37" s="1485">
        <f t="shared" si="13"/>
        <v>9813397300480</v>
      </c>
      <c r="X37" s="1485">
        <f t="shared" si="13"/>
        <v>11037566300480</v>
      </c>
      <c r="Y37" s="1400">
        <v>15014381263300</v>
      </c>
      <c r="Z37" s="1398"/>
      <c r="AB37" s="858">
        <f t="shared" si="0"/>
        <v>0</v>
      </c>
    </row>
    <row r="38" spans="1:31" s="854" customFormat="1" ht="15.6" customHeight="1" x14ac:dyDescent="0.2">
      <c r="A38" s="1572"/>
      <c r="B38" s="1572"/>
      <c r="C38" s="1572"/>
      <c r="D38" s="1572"/>
      <c r="E38" s="1572"/>
      <c r="F38" s="1572"/>
      <c r="G38" s="1573"/>
      <c r="H38" s="1574"/>
      <c r="I38" s="1574"/>
      <c r="J38" s="1574"/>
      <c r="K38" s="1574"/>
      <c r="L38" s="1575"/>
      <c r="M38" s="1574"/>
      <c r="N38" s="1574"/>
      <c r="O38" s="1574"/>
      <c r="P38" s="1574"/>
      <c r="Q38" s="1574"/>
      <c r="R38" s="1574"/>
      <c r="S38" s="1574"/>
      <c r="T38" s="1575"/>
      <c r="U38" s="1574"/>
      <c r="V38" s="1574"/>
      <c r="W38" s="1574"/>
      <c r="X38" s="1574"/>
      <c r="Y38" s="1574"/>
      <c r="Z38" s="1398"/>
      <c r="AB38" s="858"/>
      <c r="AE38" s="854">
        <f>L31+J31</f>
        <v>1209359000000</v>
      </c>
    </row>
    <row r="39" spans="1:31" s="854" customFormat="1" ht="15.6" customHeight="1" x14ac:dyDescent="0.2">
      <c r="A39" s="4036">
        <v>89</v>
      </c>
      <c r="B39" s="4036"/>
      <c r="C39" s="4036"/>
      <c r="D39" s="4036"/>
      <c r="E39" s="4036"/>
      <c r="F39" s="4036"/>
      <c r="G39" s="4036"/>
      <c r="H39" s="4036"/>
      <c r="I39" s="4036"/>
      <c r="J39" s="4036"/>
      <c r="K39" s="4036"/>
      <c r="L39" s="4036"/>
      <c r="M39" s="4036"/>
      <c r="N39" s="4036"/>
      <c r="O39" s="4036"/>
      <c r="P39" s="4036"/>
      <c r="Q39" s="4036"/>
      <c r="R39" s="4036"/>
      <c r="S39" s="4036"/>
      <c r="T39" s="4036"/>
      <c r="U39" s="4036"/>
      <c r="V39" s="4036"/>
      <c r="W39" s="4036"/>
      <c r="X39" s="4036"/>
      <c r="Y39" s="4036"/>
      <c r="Z39" s="857"/>
      <c r="AB39" s="858"/>
      <c r="AC39" s="854">
        <f>K31+H31-G31+'يادداشت 1-13وجوهدريافتي ازخزانه'!J54+'يادداشت 1-13وجوهدريافتي ازخزانه'!L54+'يادداشت 1-13وجوهدريافتي ازخزانه'!M54+M31+N31</f>
        <v>1307403000000</v>
      </c>
      <c r="AE39" s="854">
        <v>1209359000000</v>
      </c>
    </row>
    <row r="40" spans="1:31" s="854" customFormat="1" ht="21" customHeight="1" x14ac:dyDescent="0.2">
      <c r="B40" s="999"/>
      <c r="C40" s="999"/>
      <c r="D40" s="999"/>
      <c r="E40" s="999"/>
      <c r="F40" s="999"/>
      <c r="G40" s="999"/>
      <c r="H40" s="999"/>
      <c r="I40" s="999"/>
      <c r="J40" s="1483"/>
      <c r="K40" s="262"/>
      <c r="L40" s="1451"/>
      <c r="T40" s="1441"/>
      <c r="Z40" s="857"/>
      <c r="AB40" s="858"/>
      <c r="AC40" s="854">
        <f>L31+H31-G31+'يادداشت 1-13وجوهدريافتي ازخزانه'!J54+'يادداشت 1-13وجوهدريافتي ازخزانه'!L54+'يادداشت 1-13وجوهدريافتي ازخزانه'!M54</f>
        <v>1307403000000</v>
      </c>
      <c r="AE40" s="854">
        <f>AE38-AE39</f>
        <v>0</v>
      </c>
    </row>
    <row r="41" spans="1:31" s="854" customFormat="1" ht="21" customHeight="1" x14ac:dyDescent="0.2">
      <c r="B41" s="999"/>
      <c r="C41" s="999"/>
      <c r="D41" s="999"/>
      <c r="E41" s="999"/>
      <c r="F41" s="999"/>
      <c r="G41" s="999"/>
      <c r="H41" s="999"/>
      <c r="I41" s="999"/>
      <c r="J41" s="1483"/>
      <c r="K41" s="262"/>
      <c r="L41" s="1451"/>
      <c r="S41" s="176"/>
      <c r="T41" s="1441"/>
      <c r="Z41" s="857"/>
      <c r="AB41" s="858"/>
      <c r="AC41" s="854">
        <v>1307403000000</v>
      </c>
    </row>
    <row r="42" spans="1:31" s="854" customFormat="1" ht="21" customHeight="1" x14ac:dyDescent="0.2">
      <c r="B42" s="999"/>
      <c r="C42" s="999"/>
      <c r="D42" s="999"/>
      <c r="E42" s="999"/>
      <c r="F42" s="1558">
        <f>H36+'يادداشت 14وجوه ساير (2)'!H25</f>
        <v>281494910293</v>
      </c>
      <c r="G42" s="999"/>
      <c r="H42" s="1559">
        <f>H31-G31</f>
        <v>204305000000</v>
      </c>
      <c r="I42" s="999"/>
      <c r="J42" s="1483"/>
      <c r="K42" s="262"/>
      <c r="L42" s="1451"/>
      <c r="M42" s="1560">
        <f>M37+'يادداشت 1-13وجوهدريافتي ازخزانه'!L54</f>
        <v>-221580000000</v>
      </c>
      <c r="N42" s="1560">
        <f>N37+'يادداشت 1-13وجوهدريافتي ازخزانه'!M54</f>
        <v>-375455000000</v>
      </c>
      <c r="O42" s="4035">
        <f>P31-Q31</f>
        <v>9781922000000</v>
      </c>
      <c r="P42" s="4035"/>
      <c r="R42" s="176"/>
      <c r="T42" s="1441"/>
      <c r="X42" s="176"/>
      <c r="Y42" s="176"/>
      <c r="Z42" s="857"/>
      <c r="AB42" s="858"/>
      <c r="AC42" s="854">
        <f>AC40-AC41</f>
        <v>0</v>
      </c>
    </row>
    <row r="43" spans="1:31" s="854" customFormat="1" ht="21" customHeight="1" x14ac:dyDescent="0.2">
      <c r="B43" s="999"/>
      <c r="C43" s="999"/>
      <c r="D43" s="999"/>
      <c r="E43" s="999"/>
      <c r="F43" s="1558">
        <f>F42+P36</f>
        <v>293873210773</v>
      </c>
      <c r="G43" s="999"/>
      <c r="H43" s="1559">
        <f>O31+'يادداشت 1-13وجوهدريافتي ازخزانه'!Q54</f>
        <v>1312213000000</v>
      </c>
      <c r="I43" s="999"/>
      <c r="J43" s="1483"/>
      <c r="K43" s="262"/>
      <c r="L43" s="1451"/>
      <c r="T43" s="1441"/>
      <c r="V43" s="1402"/>
      <c r="X43" s="176"/>
      <c r="Z43" s="857"/>
      <c r="AB43" s="858"/>
      <c r="AC43" s="854">
        <f>L31+'يادداشت 1-13وجوهدريافتي ازخزانه'!Q54</f>
        <v>1103098000000</v>
      </c>
    </row>
    <row r="44" spans="1:31" s="854" customFormat="1" ht="21" customHeight="1" x14ac:dyDescent="0.2">
      <c r="B44" s="999"/>
      <c r="C44" s="999"/>
      <c r="D44" s="999"/>
      <c r="E44" s="999"/>
      <c r="F44" s="999"/>
      <c r="G44" s="999"/>
      <c r="H44" s="1559">
        <f>H31+K31+M31+N31</f>
        <v>1214169000000</v>
      </c>
      <c r="I44" s="999"/>
      <c r="J44" s="1483"/>
      <c r="K44" s="262"/>
      <c r="L44" s="1451"/>
      <c r="M44" s="176">
        <f>M31+'يادداشت 1-13وجوهدريافتي ازخزانه'!L54</f>
        <v>-221580000000</v>
      </c>
      <c r="N44" s="176">
        <f>N31+'يادداشت 1-13وجوهدريافتي ازخزانه'!M54</f>
        <v>-375455000000</v>
      </c>
      <c r="P44" s="176"/>
      <c r="Q44" s="176"/>
      <c r="R44" s="176"/>
      <c r="S44" s="176"/>
      <c r="T44" s="1454"/>
      <c r="U44" s="176"/>
      <c r="Z44" s="857"/>
      <c r="AB44" s="858"/>
    </row>
    <row r="45" spans="1:31" x14ac:dyDescent="0.2">
      <c r="AC45" s="56">
        <f>K31+'يادداشت 1-13وجوهدريافتي ازخزانه'!J54</f>
        <v>1700133000000</v>
      </c>
    </row>
    <row r="47" spans="1:31" ht="18.75" x14ac:dyDescent="0.4">
      <c r="B47" s="667" t="s">
        <v>1884</v>
      </c>
      <c r="C47" s="4010" t="s">
        <v>1329</v>
      </c>
      <c r="D47" s="4011"/>
      <c r="E47" s="4011"/>
      <c r="F47" s="4012"/>
      <c r="G47" s="874"/>
      <c r="H47" s="4013"/>
      <c r="I47" s="4014"/>
      <c r="J47" s="1490"/>
      <c r="K47" s="1482">
        <f>L47-M47-N47</f>
        <v>0</v>
      </c>
      <c r="L47" s="1447"/>
      <c r="M47" s="1482"/>
      <c r="N47" s="1482"/>
      <c r="O47" s="1482">
        <f>N47+M47+K47+H47</f>
        <v>0</v>
      </c>
      <c r="P47" s="1482"/>
      <c r="Q47" s="1482"/>
      <c r="R47" s="1482"/>
      <c r="S47" s="1482">
        <f>T47-U47-V47</f>
        <v>0</v>
      </c>
      <c r="T47" s="1452"/>
      <c r="U47" s="1482"/>
      <c r="V47" s="872"/>
      <c r="W47" s="872">
        <f>S47+P47+U47+V47+R47</f>
        <v>0</v>
      </c>
      <c r="X47" s="1482">
        <f>O47+W47</f>
        <v>0</v>
      </c>
      <c r="Y47" s="1482">
        <v>2970962555570</v>
      </c>
    </row>
    <row r="48" spans="1:31" ht="18.75" x14ac:dyDescent="0.2">
      <c r="B48" s="1469" t="s">
        <v>610</v>
      </c>
      <c r="C48" s="3530" t="s">
        <v>596</v>
      </c>
      <c r="D48" s="3531"/>
      <c r="E48" s="3531"/>
      <c r="F48" s="3532"/>
      <c r="G48" s="874"/>
      <c r="H48" s="4015"/>
      <c r="I48" s="4016"/>
      <c r="J48" s="1494"/>
      <c r="K48" s="1482">
        <f>L48-M48-N48</f>
        <v>0</v>
      </c>
      <c r="L48" s="1446"/>
      <c r="M48" s="1482"/>
      <c r="N48" s="1482"/>
      <c r="O48" s="1482">
        <f>N48+M48+K48+H48</f>
        <v>0</v>
      </c>
      <c r="P48" s="1482"/>
      <c r="Q48" s="1482"/>
      <c r="R48" s="1482"/>
      <c r="S48" s="1482">
        <f>T48-U48-V48</f>
        <v>0</v>
      </c>
      <c r="T48" s="1452"/>
      <c r="U48" s="1482"/>
      <c r="V48" s="872"/>
      <c r="W48" s="872">
        <f>S48+P48+U48+V48+R48</f>
        <v>0</v>
      </c>
      <c r="X48" s="1482">
        <f>O48+W48</f>
        <v>0</v>
      </c>
      <c r="Y48" s="871">
        <v>70000000000</v>
      </c>
    </row>
    <row r="49" spans="2:25" ht="21.75" x14ac:dyDescent="0.2">
      <c r="B49" s="875">
        <v>1307006002</v>
      </c>
      <c r="C49" s="4017" t="s">
        <v>88</v>
      </c>
      <c r="D49" s="4018"/>
      <c r="E49" s="4018"/>
      <c r="F49" s="4019"/>
      <c r="G49" s="874"/>
      <c r="H49" s="4020"/>
      <c r="I49" s="4021"/>
      <c r="J49" s="1492"/>
      <c r="K49" s="1482">
        <f>L49-M49-N49</f>
        <v>0</v>
      </c>
      <c r="L49" s="1446"/>
      <c r="M49" s="1482"/>
      <c r="N49" s="1482"/>
      <c r="O49" s="1482">
        <f>N49+M49+K49+H49</f>
        <v>0</v>
      </c>
      <c r="P49" s="1482"/>
      <c r="Q49" s="1482"/>
      <c r="R49" s="1482" t="e">
        <f>#REF!</f>
        <v>#REF!</v>
      </c>
      <c r="S49" s="1482">
        <f>T49-U49-V49</f>
        <v>0</v>
      </c>
      <c r="T49" s="1452"/>
      <c r="U49" s="1482"/>
      <c r="V49" s="872"/>
      <c r="W49" s="872" t="e">
        <f>S49+P49+U49+V49+R49</f>
        <v>#REF!</v>
      </c>
      <c r="X49" s="1482" t="e">
        <f>O49+W49</f>
        <v>#REF!</v>
      </c>
      <c r="Y49" s="1482">
        <v>271000000</v>
      </c>
    </row>
    <row r="50" spans="2:25" ht="19.5" thickBot="1" x14ac:dyDescent="0.45">
      <c r="B50" s="1389" t="s">
        <v>1378</v>
      </c>
      <c r="C50" s="4002" t="s">
        <v>144</v>
      </c>
      <c r="D50" s="4003"/>
      <c r="E50" s="4003"/>
      <c r="F50" s="4004"/>
      <c r="G50" s="1390"/>
      <c r="H50" s="4005"/>
      <c r="I50" s="4006"/>
      <c r="J50" s="1391"/>
      <c r="K50" s="1482">
        <f t="shared" ref="K50" si="14">L50-M50-N50</f>
        <v>0</v>
      </c>
      <c r="L50" s="1448"/>
      <c r="M50" s="1392"/>
      <c r="N50" s="1392"/>
      <c r="O50" s="1482">
        <f t="shared" ref="O50" si="15">N50+M50+K50+H50</f>
        <v>0</v>
      </c>
      <c r="P50" s="1392"/>
      <c r="Q50" s="1392"/>
      <c r="R50" s="1392"/>
      <c r="S50" s="1392">
        <f t="shared" ref="S50" si="16">T50-U50-V50</f>
        <v>0</v>
      </c>
      <c r="T50" s="1453"/>
      <c r="U50" s="1392"/>
      <c r="V50" s="1388"/>
      <c r="W50" s="872">
        <f t="shared" ref="W50" si="17">S50+P50+U50+V50+R50</f>
        <v>0</v>
      </c>
      <c r="X50" s="1482">
        <f t="shared" ref="X50" si="18">O50+W50</f>
        <v>0</v>
      </c>
      <c r="Y50" s="1392">
        <v>933122000000</v>
      </c>
    </row>
    <row r="51" spans="2:25" x14ac:dyDescent="0.2">
      <c r="Y51" s="56">
        <f>SUM(Y47:Y50)</f>
        <v>3974355555570</v>
      </c>
    </row>
  </sheetData>
  <mergeCells count="70">
    <mergeCell ref="H25:I25"/>
    <mergeCell ref="H24:I24"/>
    <mergeCell ref="H28:I28"/>
    <mergeCell ref="H27:I27"/>
    <mergeCell ref="H18:I18"/>
    <mergeCell ref="H26:I26"/>
    <mergeCell ref="A15:A16"/>
    <mergeCell ref="A17:A31"/>
    <mergeCell ref="C15:F16"/>
    <mergeCell ref="B15:B16"/>
    <mergeCell ref="B31:F31"/>
    <mergeCell ref="C24:F24"/>
    <mergeCell ref="C25:F25"/>
    <mergeCell ref="C26:F26"/>
    <mergeCell ref="C17:F17"/>
    <mergeCell ref="C18:F18"/>
    <mergeCell ref="C19:F19"/>
    <mergeCell ref="C27:F27"/>
    <mergeCell ref="C28:F28"/>
    <mergeCell ref="C20:F20"/>
    <mergeCell ref="C21:F21"/>
    <mergeCell ref="C22:F22"/>
    <mergeCell ref="A1:Y1"/>
    <mergeCell ref="A2:Y2"/>
    <mergeCell ref="A3:Y3"/>
    <mergeCell ref="A4:Y4"/>
    <mergeCell ref="X14:Y14"/>
    <mergeCell ref="B13:V13"/>
    <mergeCell ref="B6:G6"/>
    <mergeCell ref="B9:D9"/>
    <mergeCell ref="B10:D10"/>
    <mergeCell ref="X15:X16"/>
    <mergeCell ref="Y15:Y16"/>
    <mergeCell ref="H22:I22"/>
    <mergeCell ref="H15:O15"/>
    <mergeCell ref="H16:I16"/>
    <mergeCell ref="P15:W15"/>
    <mergeCell ref="H19:I19"/>
    <mergeCell ref="H20:I20"/>
    <mergeCell ref="H21:I21"/>
    <mergeCell ref="H17:I17"/>
    <mergeCell ref="C23:F23"/>
    <mergeCell ref="H23:I23"/>
    <mergeCell ref="O42:P42"/>
    <mergeCell ref="H29:I29"/>
    <mergeCell ref="H30:I30"/>
    <mergeCell ref="A39:Y39"/>
    <mergeCell ref="H36:I36"/>
    <mergeCell ref="H37:I37"/>
    <mergeCell ref="H32:I32"/>
    <mergeCell ref="A37:F37"/>
    <mergeCell ref="H34:I34"/>
    <mergeCell ref="H33:I33"/>
    <mergeCell ref="H35:I35"/>
    <mergeCell ref="C32:F32"/>
    <mergeCell ref="A32:A36"/>
    <mergeCell ref="C33:F33"/>
    <mergeCell ref="C50:F50"/>
    <mergeCell ref="H50:I50"/>
    <mergeCell ref="B30:F30"/>
    <mergeCell ref="C47:F47"/>
    <mergeCell ref="H47:I47"/>
    <mergeCell ref="C48:F48"/>
    <mergeCell ref="H48:I48"/>
    <mergeCell ref="C49:F49"/>
    <mergeCell ref="H49:I49"/>
    <mergeCell ref="B36:F36"/>
    <mergeCell ref="C34:F34"/>
    <mergeCell ref="B35:F35"/>
    <mergeCell ref="H31:I31"/>
  </mergeCells>
  <printOptions horizontalCentered="1"/>
  <pageMargins left="7.8740157480315001E-2" right="0.196850393700787" top="0.74803149606299202" bottom="0" header="0.31496062992126" footer="0.31496062992126"/>
  <pageSetup scale="90" fitToWidth="0" fitToHeight="0" orientation="landscape" r:id="rId1"/>
  <colBreaks count="1" manualBreakCount="1">
    <brk id="27" max="1048575" man="1"/>
  </colBreaks>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2060"/>
  </sheetPr>
  <dimension ref="A1:M29"/>
  <sheetViews>
    <sheetView rightToLeft="1" view="pageBreakPreview" topLeftCell="A10" zoomScale="91" zoomScaleNormal="100" zoomScaleSheetLayoutView="91" workbookViewId="0">
      <selection activeCell="E27" sqref="E27"/>
    </sheetView>
  </sheetViews>
  <sheetFormatPr defaultColWidth="8.85546875" defaultRowHeight="15" x14ac:dyDescent="0.35"/>
  <cols>
    <col min="1" max="1" width="8.85546875" style="721"/>
    <col min="2" max="2" width="28.42578125" style="721" customWidth="1"/>
    <col min="3" max="3" width="9.140625" style="721" customWidth="1"/>
    <col min="4" max="4" width="10" style="721" customWidth="1"/>
    <col min="5" max="5" width="13.28515625" style="721" bestFit="1" customWidth="1"/>
    <col min="6" max="6" width="14.28515625" style="721" customWidth="1"/>
    <col min="7" max="7" width="12" style="721" customWidth="1"/>
    <col min="8" max="8" width="15.140625" style="721" customWidth="1"/>
    <col min="9" max="9" width="12.140625" style="721" customWidth="1"/>
    <col min="10" max="10" width="9.28515625" style="721" customWidth="1"/>
    <col min="11" max="16384" width="8.85546875" style="721"/>
  </cols>
  <sheetData>
    <row r="1" spans="1:13" ht="32.450000000000003" customHeight="1" x14ac:dyDescent="0.35">
      <c r="A1" s="3937" t="s">
        <v>295</v>
      </c>
      <c r="B1" s="3937"/>
      <c r="C1" s="3937"/>
      <c r="D1" s="3937"/>
      <c r="E1" s="3937"/>
      <c r="F1" s="3937"/>
      <c r="G1" s="3937"/>
      <c r="H1" s="3937"/>
      <c r="I1" s="3937"/>
      <c r="J1" s="3937"/>
      <c r="K1" s="3937"/>
    </row>
    <row r="2" spans="1:13" ht="32.450000000000003" customHeight="1" x14ac:dyDescent="0.35">
      <c r="A2" s="3937" t="s">
        <v>45</v>
      </c>
      <c r="B2" s="3937"/>
      <c r="C2" s="3937"/>
      <c r="D2" s="3937"/>
      <c r="E2" s="3937"/>
      <c r="F2" s="3937"/>
      <c r="G2" s="3937"/>
      <c r="H2" s="3937"/>
      <c r="I2" s="3937"/>
      <c r="J2" s="3937"/>
      <c r="K2" s="3937"/>
    </row>
    <row r="3" spans="1:13" ht="32.450000000000003" customHeight="1" x14ac:dyDescent="0.35">
      <c r="A3" s="3937" t="s">
        <v>46</v>
      </c>
      <c r="B3" s="3937"/>
      <c r="C3" s="3937"/>
      <c r="D3" s="3937"/>
      <c r="E3" s="3937"/>
      <c r="F3" s="3937"/>
      <c r="G3" s="3937"/>
      <c r="H3" s="3937"/>
      <c r="I3" s="3937"/>
      <c r="J3" s="3937"/>
      <c r="K3" s="3937"/>
      <c r="L3" s="67"/>
    </row>
    <row r="4" spans="1:13" ht="32.450000000000003" customHeight="1" x14ac:dyDescent="0.35">
      <c r="A4" s="3938" t="s">
        <v>1982</v>
      </c>
      <c r="B4" s="3938"/>
      <c r="C4" s="3938"/>
      <c r="D4" s="3938"/>
      <c r="E4" s="3938"/>
      <c r="F4" s="3938"/>
      <c r="G4" s="3938"/>
      <c r="H4" s="3938"/>
      <c r="I4" s="3938"/>
      <c r="J4" s="3938"/>
      <c r="K4" s="3938"/>
      <c r="L4" s="67"/>
    </row>
    <row r="6" spans="1:13" ht="5.25" customHeight="1" x14ac:dyDescent="0.35"/>
    <row r="7" spans="1:13" ht="42.75" customHeight="1" x14ac:dyDescent="0.35">
      <c r="B7" s="3956" t="s">
        <v>2179</v>
      </c>
      <c r="C7" s="3956"/>
      <c r="D7" s="3956"/>
      <c r="E7" s="3956"/>
      <c r="F7" s="3956"/>
      <c r="G7" s="3956"/>
      <c r="H7" s="3956"/>
      <c r="I7" s="3956"/>
      <c r="J7" s="3956"/>
    </row>
    <row r="8" spans="1:13" ht="23.25" customHeight="1" x14ac:dyDescent="0.35">
      <c r="B8" s="985"/>
      <c r="C8" s="985"/>
      <c r="D8" s="985"/>
      <c r="E8" s="985"/>
      <c r="F8" s="985"/>
      <c r="G8" s="985"/>
      <c r="H8" s="985"/>
      <c r="I8" s="3957" t="s">
        <v>194</v>
      </c>
      <c r="J8" s="3957"/>
    </row>
    <row r="9" spans="1:13" ht="43.15" customHeight="1" x14ac:dyDescent="0.35">
      <c r="B9" s="3961" t="s">
        <v>1260</v>
      </c>
      <c r="C9" s="3961" t="s">
        <v>1261</v>
      </c>
      <c r="D9" s="3961" t="s">
        <v>1262</v>
      </c>
      <c r="E9" s="3961" t="s">
        <v>1263</v>
      </c>
      <c r="F9" s="3961" t="s">
        <v>2008</v>
      </c>
      <c r="G9" s="3961"/>
      <c r="H9" s="3961"/>
      <c r="I9" s="3962" t="s">
        <v>2177</v>
      </c>
      <c r="J9" s="3963" t="s">
        <v>386</v>
      </c>
    </row>
    <row r="10" spans="1:13" ht="30.6" customHeight="1" x14ac:dyDescent="0.35">
      <c r="B10" s="3961"/>
      <c r="C10" s="3961"/>
      <c r="D10" s="3961"/>
      <c r="E10" s="3961"/>
      <c r="F10" s="986">
        <v>1403</v>
      </c>
      <c r="G10" s="986">
        <v>1404</v>
      </c>
      <c r="H10" s="986">
        <v>1405</v>
      </c>
      <c r="I10" s="3962"/>
      <c r="J10" s="3963"/>
    </row>
    <row r="11" spans="1:13" ht="18.600000000000001" customHeight="1" x14ac:dyDescent="0.35">
      <c r="B11" s="4073" t="s">
        <v>1338</v>
      </c>
      <c r="C11" s="987">
        <v>201</v>
      </c>
      <c r="D11" s="987" t="s">
        <v>2185</v>
      </c>
      <c r="E11" s="909">
        <v>145815000000</v>
      </c>
      <c r="F11" s="909">
        <v>29053000000</v>
      </c>
      <c r="G11" s="909">
        <v>29886000000</v>
      </c>
      <c r="H11" s="909">
        <v>7123000000</v>
      </c>
      <c r="I11" s="909">
        <f>SUM(F11:H11)</f>
        <v>66062000000</v>
      </c>
      <c r="J11" s="909">
        <f>E11+F11+G11+H11</f>
        <v>211877000000</v>
      </c>
    </row>
    <row r="12" spans="1:13" s="1502" customFormat="1" ht="18.600000000000001" customHeight="1" x14ac:dyDescent="0.35">
      <c r="B12" s="4073"/>
      <c r="C12" s="1495">
        <v>202</v>
      </c>
      <c r="D12" s="1495" t="s">
        <v>2181</v>
      </c>
      <c r="E12" s="909">
        <v>6800000000</v>
      </c>
      <c r="F12" s="909">
        <v>1002000000</v>
      </c>
      <c r="G12" s="909">
        <v>1394000000</v>
      </c>
      <c r="H12" s="909">
        <v>1027000000</v>
      </c>
      <c r="I12" s="909">
        <f t="shared" ref="I12:I16" si="0">SUM(F12:H12)</f>
        <v>3423000000</v>
      </c>
      <c r="J12" s="909"/>
    </row>
    <row r="13" spans="1:13" ht="18.600000000000001" customHeight="1" x14ac:dyDescent="0.35">
      <c r="B13" s="4073"/>
      <c r="C13" s="987">
        <v>203</v>
      </c>
      <c r="D13" s="987" t="s">
        <v>2186</v>
      </c>
      <c r="E13" s="909">
        <v>227671000000</v>
      </c>
      <c r="F13" s="909">
        <v>45728000000</v>
      </c>
      <c r="G13" s="909">
        <v>46666000000</v>
      </c>
      <c r="H13" s="909">
        <v>29935000000</v>
      </c>
      <c r="I13" s="909">
        <f t="shared" si="0"/>
        <v>122329000000</v>
      </c>
      <c r="J13" s="909">
        <f>E13+F13+G13+H13</f>
        <v>350000000000</v>
      </c>
      <c r="M13" s="361">
        <f>SUM(E11:E16)</f>
        <v>1005054000000</v>
      </c>
    </row>
    <row r="14" spans="1:13" s="1502" customFormat="1" ht="18.600000000000001" customHeight="1" x14ac:dyDescent="0.35">
      <c r="B14" s="4073" t="s">
        <v>2184</v>
      </c>
      <c r="C14" s="1495">
        <v>211</v>
      </c>
      <c r="D14" s="1495" t="s">
        <v>2187</v>
      </c>
      <c r="E14" s="909">
        <v>128743000000</v>
      </c>
      <c r="F14" s="909">
        <v>34597000000</v>
      </c>
      <c r="G14" s="909">
        <v>26390000000</v>
      </c>
      <c r="H14" s="909">
        <v>14898000000</v>
      </c>
      <c r="I14" s="909">
        <f t="shared" si="0"/>
        <v>75885000000</v>
      </c>
      <c r="J14" s="909"/>
      <c r="M14" s="361">
        <f>SUM(F11:F16)</f>
        <v>200466000000</v>
      </c>
    </row>
    <row r="15" spans="1:13" s="1502" customFormat="1" ht="18.600000000000001" customHeight="1" x14ac:dyDescent="0.35">
      <c r="B15" s="4073"/>
      <c r="C15" s="1495">
        <v>212</v>
      </c>
      <c r="D15" s="1495" t="s">
        <v>2188</v>
      </c>
      <c r="E15" s="909">
        <v>112885000000</v>
      </c>
      <c r="F15" s="909">
        <v>17671000000</v>
      </c>
      <c r="G15" s="909">
        <v>23141000000</v>
      </c>
      <c r="H15" s="909">
        <v>16610000000</v>
      </c>
      <c r="I15" s="909">
        <f t="shared" si="0"/>
        <v>57422000000</v>
      </c>
      <c r="J15" s="909"/>
      <c r="M15" s="361">
        <f>SUM(G11:G16)</f>
        <v>206020000000</v>
      </c>
    </row>
    <row r="16" spans="1:13" s="1502" customFormat="1" ht="18.600000000000001" customHeight="1" x14ac:dyDescent="0.35">
      <c r="B16" s="4073"/>
      <c r="C16" s="1495">
        <v>213</v>
      </c>
      <c r="D16" s="1495" t="s">
        <v>2189</v>
      </c>
      <c r="E16" s="909">
        <v>383140000000</v>
      </c>
      <c r="F16" s="909">
        <v>72415000000</v>
      </c>
      <c r="G16" s="909">
        <v>78543000000</v>
      </c>
      <c r="H16" s="909">
        <v>63910000000</v>
      </c>
      <c r="I16" s="909">
        <f t="shared" si="0"/>
        <v>214868000000</v>
      </c>
      <c r="J16" s="909"/>
      <c r="M16" s="361">
        <f>SUM(H11:H16)</f>
        <v>133503000000</v>
      </c>
    </row>
    <row r="17" spans="1:13" ht="18.600000000000001" customHeight="1" x14ac:dyDescent="0.35">
      <c r="B17" s="4074" t="s">
        <v>1265</v>
      </c>
      <c r="C17" s="4075"/>
      <c r="D17" s="4076"/>
      <c r="E17" s="910">
        <f>'يادداشت 15سایر درآمد ها و انتقا'!K31+'يادداشت 15سایر درآمد ها و انتقا'!M31+'يادداشت 15سایر درآمد ها و انتقا'!N31</f>
        <v>1005054000000</v>
      </c>
      <c r="F17" s="910">
        <f>SUM(F11:F16)</f>
        <v>200466000000</v>
      </c>
      <c r="G17" s="910">
        <f t="shared" ref="G17" si="1">SUM(G11:G16)</f>
        <v>206020000000</v>
      </c>
      <c r="H17" s="910">
        <f>SUM(H11:H16)-1000000</f>
        <v>133502000000</v>
      </c>
      <c r="I17" s="910">
        <f>-('يادداشت 15سایر درآمد ها و انتقا'!N31+'يادداشت 15سایر درآمد ها و انتقا'!M31)</f>
        <v>539988000000</v>
      </c>
      <c r="J17" s="909">
        <f>SUM(J11:J13)</f>
        <v>561877000000</v>
      </c>
      <c r="M17" s="361">
        <f>SUM(M14:M16)</f>
        <v>539989000000</v>
      </c>
    </row>
    <row r="19" spans="1:13" ht="50.45" customHeight="1" x14ac:dyDescent="0.35">
      <c r="B19" s="3956" t="s">
        <v>2190</v>
      </c>
      <c r="C19" s="3956"/>
      <c r="D19" s="3956"/>
      <c r="E19" s="3956"/>
      <c r="F19" s="3956"/>
      <c r="G19" s="3956"/>
      <c r="H19" s="3956"/>
      <c r="I19" s="3956"/>
      <c r="J19" s="3956"/>
    </row>
    <row r="26" spans="1:13" ht="15.75" x14ac:dyDescent="0.4">
      <c r="A26" s="3894">
        <v>90</v>
      </c>
      <c r="B26" s="3894"/>
      <c r="C26" s="3894"/>
      <c r="D26" s="3894"/>
      <c r="E26" s="3894"/>
      <c r="F26" s="3894"/>
      <c r="G26" s="3894"/>
      <c r="H26" s="3894"/>
      <c r="I26" s="3894"/>
      <c r="J26" s="3894"/>
      <c r="K26" s="3894"/>
    </row>
    <row r="29" spans="1:13" x14ac:dyDescent="0.35">
      <c r="I29" s="361" t="e">
        <f>I17+#REF!</f>
        <v>#REF!</v>
      </c>
    </row>
  </sheetData>
  <mergeCells count="18">
    <mergeCell ref="A26:K26"/>
    <mergeCell ref="J9:J10"/>
    <mergeCell ref="B19:J19"/>
    <mergeCell ref="B9:B10"/>
    <mergeCell ref="C9:C10"/>
    <mergeCell ref="D9:D10"/>
    <mergeCell ref="E9:E10"/>
    <mergeCell ref="F9:H9"/>
    <mergeCell ref="I9:I10"/>
    <mergeCell ref="B11:B13"/>
    <mergeCell ref="B17:D17"/>
    <mergeCell ref="B14:B16"/>
    <mergeCell ref="I8:J8"/>
    <mergeCell ref="B7:J7"/>
    <mergeCell ref="A1:K1"/>
    <mergeCell ref="A2:K2"/>
    <mergeCell ref="A3:K3"/>
    <mergeCell ref="A4:K4"/>
  </mergeCells>
  <printOptions horizontalCentered="1"/>
  <pageMargins left="0.70866141732283505" right="0.70866141732283505" top="0.74803149606299202" bottom="0.74803149606299202" header="0.31496062992126" footer="0.31496062992126"/>
  <pageSetup paperSize="9" scale="84" orientation="landscape" r:id="rId1"/>
  <rowBreaks count="1" manualBreakCount="1">
    <brk id="26" max="10" man="1"/>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2060"/>
  </sheetPr>
  <dimension ref="A1:Y59"/>
  <sheetViews>
    <sheetView rightToLeft="1" view="pageBreakPreview" topLeftCell="A40" zoomScale="146" zoomScaleNormal="98" zoomScaleSheetLayoutView="146" workbookViewId="0">
      <selection activeCell="A54" sqref="A54"/>
    </sheetView>
  </sheetViews>
  <sheetFormatPr defaultColWidth="9.140625" defaultRowHeight="15" x14ac:dyDescent="0.35"/>
  <cols>
    <col min="1" max="1" width="3.7109375" style="1" customWidth="1"/>
    <col min="2" max="2" width="2.42578125" style="1" customWidth="1"/>
    <col min="3" max="3" width="5.28515625" style="107" customWidth="1"/>
    <col min="4" max="4" width="32.7109375" style="1" customWidth="1"/>
    <col min="5" max="5" width="6.28515625" style="1" customWidth="1"/>
    <col min="6" max="6" width="0.140625" style="1" hidden="1" customWidth="1"/>
    <col min="7" max="7" width="8" style="1" hidden="1" customWidth="1"/>
    <col min="8" max="8" width="2.7109375" style="1" hidden="1" customWidth="1"/>
    <col min="9" max="9" width="12.28515625" style="1" customWidth="1"/>
    <col min="10" max="10" width="7" style="1" customWidth="1"/>
    <col min="11" max="11" width="13.42578125" style="1" hidden="1" customWidth="1"/>
    <col min="12" max="12" width="0.42578125" style="1" hidden="1" customWidth="1"/>
    <col min="13" max="13" width="7.140625" style="1" hidden="1" customWidth="1"/>
    <col min="14" max="14" width="6.28515625" style="1" hidden="1" customWidth="1"/>
    <col min="15" max="15" width="6.42578125" style="1" hidden="1" customWidth="1"/>
    <col min="16" max="16" width="7.5703125" style="1" customWidth="1"/>
    <col min="17" max="17" width="6.140625" style="1" customWidth="1"/>
    <col min="18" max="18" width="0.140625" style="1" customWidth="1"/>
    <col min="19" max="19" width="0.5703125" style="1" customWidth="1"/>
    <col min="20" max="20" width="11.85546875" style="1" customWidth="1"/>
    <col min="21" max="21" width="24.7109375" style="1" customWidth="1"/>
    <col min="22" max="16384" width="9.140625" style="1"/>
  </cols>
  <sheetData>
    <row r="1" spans="1:25" ht="16.899999999999999" customHeight="1" x14ac:dyDescent="0.45">
      <c r="A1" s="4077" t="s">
        <v>295</v>
      </c>
      <c r="B1" s="4077"/>
      <c r="C1" s="4077"/>
      <c r="D1" s="4077"/>
      <c r="E1" s="4077"/>
      <c r="F1" s="4077"/>
      <c r="G1" s="4077"/>
      <c r="H1" s="4077"/>
      <c r="I1" s="4077"/>
      <c r="J1" s="4077"/>
      <c r="K1" s="4077"/>
      <c r="L1" s="4077"/>
      <c r="M1" s="4077"/>
      <c r="N1" s="4077"/>
      <c r="O1" s="4077"/>
      <c r="P1" s="4077"/>
      <c r="Q1" s="4077"/>
      <c r="R1" s="4077"/>
      <c r="S1" s="4077"/>
      <c r="T1" s="4077"/>
    </row>
    <row r="2" spans="1:25" ht="16.899999999999999" customHeight="1" x14ac:dyDescent="0.45">
      <c r="A2" s="3863" t="s">
        <v>45</v>
      </c>
      <c r="B2" s="3863"/>
      <c r="C2" s="3863"/>
      <c r="D2" s="3863"/>
      <c r="E2" s="3863"/>
      <c r="F2" s="3863"/>
      <c r="G2" s="3863"/>
      <c r="H2" s="3863"/>
      <c r="I2" s="3863"/>
      <c r="J2" s="3863"/>
      <c r="K2" s="3863"/>
      <c r="L2" s="3863"/>
      <c r="M2" s="3863"/>
      <c r="N2" s="3863"/>
      <c r="O2" s="3863"/>
      <c r="P2" s="3863"/>
      <c r="Q2" s="3863"/>
      <c r="R2" s="3863"/>
      <c r="S2" s="3863"/>
      <c r="T2" s="3863"/>
    </row>
    <row r="3" spans="1:25" ht="16.899999999999999" customHeight="1" x14ac:dyDescent="0.45">
      <c r="A3" s="3863" t="s">
        <v>46</v>
      </c>
      <c r="B3" s="3863"/>
      <c r="C3" s="3863"/>
      <c r="D3" s="3863"/>
      <c r="E3" s="3863"/>
      <c r="F3" s="3863"/>
      <c r="G3" s="3863"/>
      <c r="H3" s="3863"/>
      <c r="I3" s="3863"/>
      <c r="J3" s="3863"/>
      <c r="K3" s="3863"/>
      <c r="L3" s="3863"/>
      <c r="M3" s="3863"/>
      <c r="N3" s="3863"/>
      <c r="O3" s="3863"/>
      <c r="P3" s="3863"/>
      <c r="Q3" s="3863"/>
      <c r="R3" s="3863"/>
      <c r="S3" s="3863"/>
      <c r="T3" s="3863"/>
    </row>
    <row r="4" spans="1:25" ht="16.899999999999999" customHeight="1" x14ac:dyDescent="0.35">
      <c r="A4" s="3057" t="s">
        <v>1988</v>
      </c>
      <c r="B4" s="3057"/>
      <c r="C4" s="3057"/>
      <c r="D4" s="3057"/>
      <c r="E4" s="3057"/>
      <c r="F4" s="3057"/>
      <c r="G4" s="3057"/>
      <c r="H4" s="3057"/>
      <c r="I4" s="3057"/>
      <c r="J4" s="3057"/>
      <c r="K4" s="3057"/>
      <c r="L4" s="3057"/>
      <c r="M4" s="3057"/>
      <c r="N4" s="3057"/>
      <c r="O4" s="3057"/>
      <c r="P4" s="3057"/>
      <c r="Q4" s="3057"/>
      <c r="R4" s="3057"/>
      <c r="S4" s="3057"/>
      <c r="T4" s="3057"/>
    </row>
    <row r="5" spans="1:25" ht="15" customHeight="1" x14ac:dyDescent="0.45">
      <c r="A5" s="4086" t="s">
        <v>1844</v>
      </c>
      <c r="B5" s="4086"/>
      <c r="C5" s="108" t="s">
        <v>1268</v>
      </c>
      <c r="E5" s="108"/>
      <c r="F5" s="108"/>
      <c r="G5" s="108"/>
      <c r="H5" s="108"/>
      <c r="I5" s="108"/>
      <c r="J5" s="223"/>
      <c r="K5" s="108"/>
      <c r="L5" s="108"/>
      <c r="M5" s="108"/>
      <c r="N5" s="21"/>
      <c r="O5" s="21"/>
      <c r="P5" s="21"/>
    </row>
    <row r="6" spans="1:25" ht="22.9" customHeight="1" x14ac:dyDescent="0.45">
      <c r="C6" s="108" t="s">
        <v>1140</v>
      </c>
      <c r="D6" s="54"/>
      <c r="E6" s="21"/>
      <c r="F6" s="21"/>
      <c r="G6" s="21"/>
      <c r="H6" s="21"/>
      <c r="I6" s="21"/>
      <c r="J6" s="21"/>
      <c r="K6" s="4081" t="s">
        <v>194</v>
      </c>
      <c r="L6" s="4081"/>
      <c r="M6" s="4081"/>
      <c r="N6" s="4081"/>
      <c r="O6" s="4081"/>
      <c r="P6" s="4081"/>
      <c r="Q6" s="4081"/>
    </row>
    <row r="7" spans="1:25" ht="18" customHeight="1" x14ac:dyDescent="0.35">
      <c r="A7" s="1178"/>
      <c r="B7" s="4091" t="s">
        <v>419</v>
      </c>
      <c r="C7" s="4085" t="s">
        <v>196</v>
      </c>
      <c r="D7" s="4084" t="s">
        <v>439</v>
      </c>
      <c r="E7" s="4092" t="s">
        <v>2009</v>
      </c>
      <c r="F7" s="4093"/>
      <c r="G7" s="4093"/>
      <c r="H7" s="4093"/>
      <c r="I7" s="4093"/>
      <c r="J7" s="4093"/>
      <c r="K7" s="4093"/>
      <c r="L7" s="4093"/>
      <c r="M7" s="4093"/>
      <c r="N7" s="4093"/>
      <c r="O7" s="4093"/>
      <c r="P7" s="4094"/>
      <c r="Q7" s="4080" t="s">
        <v>2012</v>
      </c>
    </row>
    <row r="8" spans="1:25" ht="7.15" customHeight="1" x14ac:dyDescent="0.35">
      <c r="A8" s="1178"/>
      <c r="B8" s="4091"/>
      <c r="C8" s="4085"/>
      <c r="D8" s="4084"/>
      <c r="E8" s="4078" t="s">
        <v>1269</v>
      </c>
      <c r="F8" s="4084" t="s">
        <v>989</v>
      </c>
      <c r="G8" s="4084"/>
      <c r="H8" s="4084"/>
      <c r="I8" s="1179"/>
      <c r="J8" s="4082" t="s">
        <v>1125</v>
      </c>
      <c r="K8" s="4082" t="s">
        <v>594</v>
      </c>
      <c r="L8" s="4082" t="s">
        <v>928</v>
      </c>
      <c r="M8" s="4082" t="s">
        <v>1913</v>
      </c>
      <c r="N8" s="4078" t="s">
        <v>313</v>
      </c>
      <c r="O8" s="4098" t="s">
        <v>1858</v>
      </c>
      <c r="P8" s="4078" t="s">
        <v>195</v>
      </c>
      <c r="Q8" s="4080"/>
    </row>
    <row r="9" spans="1:25" ht="82.15" customHeight="1" x14ac:dyDescent="0.4">
      <c r="A9" s="1178"/>
      <c r="B9" s="4091"/>
      <c r="C9" s="4085"/>
      <c r="D9" s="4084"/>
      <c r="E9" s="4079"/>
      <c r="F9" s="4084"/>
      <c r="G9" s="4084"/>
      <c r="H9" s="4084"/>
      <c r="I9" s="1180" t="s">
        <v>1914</v>
      </c>
      <c r="J9" s="4083"/>
      <c r="K9" s="4083"/>
      <c r="L9" s="4083"/>
      <c r="M9" s="4083"/>
      <c r="N9" s="4079"/>
      <c r="O9" s="4099"/>
      <c r="P9" s="4079"/>
      <c r="Q9" s="4080"/>
      <c r="S9" s="195"/>
    </row>
    <row r="10" spans="1:25" s="57" customFormat="1" ht="21" customHeight="1" x14ac:dyDescent="0.2">
      <c r="B10" s="4048" t="s">
        <v>180</v>
      </c>
      <c r="C10" s="357" t="s">
        <v>1378</v>
      </c>
      <c r="D10" s="926" t="s">
        <v>144</v>
      </c>
      <c r="E10" s="638" t="s">
        <v>1327</v>
      </c>
      <c r="F10" s="927"/>
      <c r="G10" s="927"/>
      <c r="H10" s="927"/>
      <c r="I10" s="1834"/>
      <c r="J10" s="1835">
        <v>130692000000</v>
      </c>
      <c r="K10" s="1836"/>
      <c r="L10" s="1836"/>
      <c r="M10" s="1836"/>
      <c r="N10" s="933"/>
      <c r="O10" s="933"/>
      <c r="P10" s="933">
        <f>G10+J10+N10+M10+I10+O10</f>
        <v>130692000000</v>
      </c>
      <c r="Q10" s="1832">
        <v>1063814000000</v>
      </c>
    </row>
    <row r="11" spans="1:25" s="57" customFormat="1" ht="15.6" customHeight="1" x14ac:dyDescent="0.2">
      <c r="B11" s="4089"/>
      <c r="C11" s="425" t="s">
        <v>292</v>
      </c>
      <c r="D11" s="638" t="s">
        <v>1079</v>
      </c>
      <c r="E11" s="638" t="s">
        <v>1327</v>
      </c>
      <c r="F11" s="638"/>
      <c r="G11" s="928"/>
      <c r="H11" s="929"/>
      <c r="I11" s="1837"/>
      <c r="J11" s="1838"/>
      <c r="K11" s="716"/>
      <c r="L11" s="1839"/>
      <c r="M11" s="1839"/>
      <c r="N11" s="1840"/>
      <c r="O11" s="1840"/>
      <c r="P11" s="933">
        <f t="shared" ref="P11:P40" si="0">G11+J11+N11+M11+I11+O11</f>
        <v>0</v>
      </c>
      <c r="Q11" s="1695">
        <v>94361648569</v>
      </c>
      <c r="R11" s="386"/>
      <c r="Y11" s="57">
        <f>G11+G44</f>
        <v>0</v>
      </c>
    </row>
    <row r="12" spans="1:25" s="57" customFormat="1" ht="15.6" customHeight="1" x14ac:dyDescent="0.4">
      <c r="B12" s="4089"/>
      <c r="C12" s="425" t="s">
        <v>639</v>
      </c>
      <c r="D12" s="931" t="s">
        <v>638</v>
      </c>
      <c r="E12" s="638" t="s">
        <v>1327</v>
      </c>
      <c r="F12" s="932"/>
      <c r="G12" s="932"/>
      <c r="H12" s="932"/>
      <c r="I12" s="1841"/>
      <c r="J12" s="1841"/>
      <c r="K12" s="1835"/>
      <c r="L12" s="1835"/>
      <c r="M12" s="1835"/>
      <c r="N12" s="1842"/>
      <c r="O12" s="1842"/>
      <c r="P12" s="933">
        <f t="shared" si="0"/>
        <v>0</v>
      </c>
      <c r="Q12" s="933">
        <v>66096750</v>
      </c>
      <c r="R12" s="386"/>
    </row>
    <row r="13" spans="1:25" s="57" customFormat="1" ht="15.6" customHeight="1" x14ac:dyDescent="0.2">
      <c r="B13" s="4089"/>
      <c r="C13" s="734" t="s">
        <v>636</v>
      </c>
      <c r="D13" s="736" t="s">
        <v>638</v>
      </c>
      <c r="E13" s="638" t="s">
        <v>1327</v>
      </c>
      <c r="F13" s="927"/>
      <c r="G13" s="927"/>
      <c r="H13" s="932"/>
      <c r="I13" s="1841"/>
      <c r="J13" s="1841"/>
      <c r="K13" s="1835"/>
      <c r="L13" s="1835"/>
      <c r="M13" s="1835"/>
      <c r="N13" s="1842"/>
      <c r="O13" s="1842"/>
      <c r="P13" s="933">
        <f t="shared" si="0"/>
        <v>0</v>
      </c>
      <c r="Q13" s="933">
        <v>58103998</v>
      </c>
      <c r="R13" s="386"/>
      <c r="U13" s="57" t="s">
        <v>1808</v>
      </c>
    </row>
    <row r="14" spans="1:25" s="57" customFormat="1" ht="15.6" customHeight="1" x14ac:dyDescent="0.2">
      <c r="B14" s="4089"/>
      <c r="C14" s="734">
        <v>1503002046</v>
      </c>
      <c r="D14" s="314" t="s">
        <v>83</v>
      </c>
      <c r="E14" s="314" t="s">
        <v>1795</v>
      </c>
      <c r="F14" s="314"/>
      <c r="G14" s="314"/>
      <c r="H14" s="932"/>
      <c r="I14" s="1841">
        <v>9287000000</v>
      </c>
      <c r="J14" s="1841"/>
      <c r="K14" s="1835"/>
      <c r="L14" s="1835"/>
      <c r="M14" s="1835"/>
      <c r="N14" s="1842"/>
      <c r="O14" s="1842"/>
      <c r="P14" s="933">
        <f t="shared" si="0"/>
        <v>9287000000</v>
      </c>
      <c r="Q14" s="933">
        <v>9282000000</v>
      </c>
      <c r="R14" s="386"/>
    </row>
    <row r="15" spans="1:25" s="57" customFormat="1" ht="15.6" customHeight="1" x14ac:dyDescent="0.2">
      <c r="B15" s="4089"/>
      <c r="C15" s="1147">
        <v>1503002173</v>
      </c>
      <c r="D15" s="1652" t="s">
        <v>317</v>
      </c>
      <c r="E15" s="314" t="s">
        <v>1795</v>
      </c>
      <c r="F15" s="314"/>
      <c r="G15" s="314"/>
      <c r="H15" s="932"/>
      <c r="I15" s="1841">
        <v>702000000</v>
      </c>
      <c r="J15" s="1841"/>
      <c r="K15" s="1835"/>
      <c r="L15" s="1835"/>
      <c r="M15" s="1835"/>
      <c r="N15" s="1842"/>
      <c r="O15" s="1842"/>
      <c r="P15" s="933">
        <f t="shared" si="0"/>
        <v>702000000</v>
      </c>
      <c r="Q15" s="933"/>
      <c r="R15" s="386"/>
    </row>
    <row r="16" spans="1:25" s="57" customFormat="1" ht="15.6" customHeight="1" x14ac:dyDescent="0.2">
      <c r="B16" s="4089"/>
      <c r="C16" s="734">
        <v>1503002096</v>
      </c>
      <c r="D16" s="314" t="s">
        <v>84</v>
      </c>
      <c r="E16" s="314" t="s">
        <v>1795</v>
      </c>
      <c r="F16" s="314"/>
      <c r="G16" s="314"/>
      <c r="H16" s="932"/>
      <c r="I16" s="1841"/>
      <c r="J16" s="1841"/>
      <c r="K16" s="1835"/>
      <c r="L16" s="1835"/>
      <c r="M16" s="1835"/>
      <c r="N16" s="1842"/>
      <c r="O16" s="1842"/>
      <c r="P16" s="933">
        <f t="shared" si="0"/>
        <v>0</v>
      </c>
      <c r="Q16" s="933">
        <v>544000000</v>
      </c>
      <c r="R16" s="386"/>
    </row>
    <row r="17" spans="2:18" s="57" customFormat="1" ht="15.6" customHeight="1" x14ac:dyDescent="0.2">
      <c r="B17" s="4089"/>
      <c r="C17" s="734">
        <v>1307002010</v>
      </c>
      <c r="D17" s="314" t="s">
        <v>203</v>
      </c>
      <c r="E17" s="314" t="s">
        <v>1795</v>
      </c>
      <c r="F17" s="314"/>
      <c r="G17" s="314"/>
      <c r="H17" s="932"/>
      <c r="I17" s="1841">
        <v>5729000000</v>
      </c>
      <c r="J17" s="1841"/>
      <c r="K17" s="1835"/>
      <c r="L17" s="1835"/>
      <c r="M17" s="1835"/>
      <c r="N17" s="1842"/>
      <c r="O17" s="1842"/>
      <c r="P17" s="933">
        <f t="shared" si="0"/>
        <v>5729000000</v>
      </c>
      <c r="Q17" s="933">
        <v>13322000000</v>
      </c>
      <c r="R17" s="386"/>
    </row>
    <row r="18" spans="2:18" s="57" customFormat="1" ht="15.6" customHeight="1" x14ac:dyDescent="0.2">
      <c r="B18" s="4089"/>
      <c r="C18" s="734">
        <v>1307002080</v>
      </c>
      <c r="D18" s="314" t="s">
        <v>418</v>
      </c>
      <c r="E18" s="314" t="s">
        <v>1795</v>
      </c>
      <c r="F18" s="314"/>
      <c r="G18" s="314"/>
      <c r="H18" s="932"/>
      <c r="I18" s="1841">
        <v>3348000000</v>
      </c>
      <c r="J18" s="1841"/>
      <c r="K18" s="1835"/>
      <c r="L18" s="1835"/>
      <c r="M18" s="1835"/>
      <c r="N18" s="1842"/>
      <c r="O18" s="1842"/>
      <c r="P18" s="933">
        <f t="shared" si="0"/>
        <v>3348000000</v>
      </c>
      <c r="Q18" s="933">
        <v>9657000000</v>
      </c>
      <c r="R18" s="386"/>
    </row>
    <row r="19" spans="2:18" s="57" customFormat="1" ht="15.6" customHeight="1" x14ac:dyDescent="0.2">
      <c r="B19" s="4089"/>
      <c r="C19" s="734" t="s">
        <v>548</v>
      </c>
      <c r="D19" s="736" t="s">
        <v>547</v>
      </c>
      <c r="E19" s="314" t="s">
        <v>1795</v>
      </c>
      <c r="F19" s="314"/>
      <c r="G19" s="314"/>
      <c r="H19" s="932"/>
      <c r="I19" s="1841"/>
      <c r="J19" s="1841"/>
      <c r="K19" s="1835"/>
      <c r="L19" s="1835"/>
      <c r="M19" s="1835"/>
      <c r="N19" s="1842"/>
      <c r="O19" s="1842"/>
      <c r="P19" s="933">
        <f t="shared" si="0"/>
        <v>0</v>
      </c>
      <c r="Q19" s="933">
        <v>2051000000</v>
      </c>
      <c r="R19" s="386"/>
    </row>
    <row r="20" spans="2:18" s="57" customFormat="1" ht="15.6" customHeight="1" x14ac:dyDescent="0.2">
      <c r="B20" s="4089"/>
      <c r="C20" s="970" t="s">
        <v>540</v>
      </c>
      <c r="D20" s="735" t="s">
        <v>541</v>
      </c>
      <c r="E20" s="314" t="s">
        <v>1795</v>
      </c>
      <c r="F20" s="927"/>
      <c r="G20" s="927"/>
      <c r="H20" s="932"/>
      <c r="I20" s="1841"/>
      <c r="J20" s="1841"/>
      <c r="K20" s="1835"/>
      <c r="L20" s="1835"/>
      <c r="M20" s="1835"/>
      <c r="N20" s="1842"/>
      <c r="O20" s="1842"/>
      <c r="P20" s="933">
        <f t="shared" si="0"/>
        <v>0</v>
      </c>
      <c r="Q20" s="933">
        <v>90000000</v>
      </c>
      <c r="R20" s="386"/>
    </row>
    <row r="21" spans="2:18" s="57" customFormat="1" ht="15.6" customHeight="1" x14ac:dyDescent="0.2">
      <c r="B21" s="4089"/>
      <c r="C21" s="734" t="s">
        <v>542</v>
      </c>
      <c r="D21" s="735" t="s">
        <v>335</v>
      </c>
      <c r="E21" s="314" t="s">
        <v>1796</v>
      </c>
      <c r="F21" s="927"/>
      <c r="G21" s="927"/>
      <c r="H21" s="932"/>
      <c r="I21" s="1841">
        <v>211000000</v>
      </c>
      <c r="J21" s="1841"/>
      <c r="K21" s="1835"/>
      <c r="L21" s="1835"/>
      <c r="M21" s="1835"/>
      <c r="N21" s="1842"/>
      <c r="O21" s="1842"/>
      <c r="P21" s="933">
        <f t="shared" si="0"/>
        <v>211000000</v>
      </c>
      <c r="Q21" s="933">
        <v>192000000</v>
      </c>
      <c r="R21" s="386"/>
    </row>
    <row r="22" spans="2:18" s="57" customFormat="1" ht="15.6" customHeight="1" x14ac:dyDescent="0.2">
      <c r="B22" s="4089"/>
      <c r="C22" s="734" t="s">
        <v>546</v>
      </c>
      <c r="D22" s="735" t="s">
        <v>545</v>
      </c>
      <c r="E22" s="314" t="s">
        <v>1795</v>
      </c>
      <c r="F22" s="927"/>
      <c r="G22" s="927"/>
      <c r="H22" s="932"/>
      <c r="I22" s="1841">
        <v>153000000</v>
      </c>
      <c r="J22" s="1841"/>
      <c r="K22" s="1835"/>
      <c r="L22" s="1835"/>
      <c r="M22" s="1835"/>
      <c r="N22" s="1842"/>
      <c r="O22" s="1842"/>
      <c r="P22" s="933">
        <f t="shared" si="0"/>
        <v>153000000</v>
      </c>
      <c r="Q22" s="933">
        <v>1133398000</v>
      </c>
      <c r="R22" s="386"/>
    </row>
    <row r="23" spans="2:18" s="57" customFormat="1" ht="15.6" customHeight="1" x14ac:dyDescent="0.2">
      <c r="B23" s="4089"/>
      <c r="C23" s="734" t="s">
        <v>608</v>
      </c>
      <c r="D23" s="354" t="s">
        <v>1290</v>
      </c>
      <c r="E23" s="354" t="s">
        <v>1327</v>
      </c>
      <c r="F23" s="354"/>
      <c r="G23" s="354"/>
      <c r="H23" s="932"/>
      <c r="I23" s="1841">
        <v>7958000000</v>
      </c>
      <c r="J23" s="1841"/>
      <c r="K23" s="1835"/>
      <c r="L23" s="1835"/>
      <c r="M23" s="1835"/>
      <c r="N23" s="1842"/>
      <c r="O23" s="1842"/>
      <c r="P23" s="933">
        <f t="shared" si="0"/>
        <v>7958000000</v>
      </c>
      <c r="Q23" s="933">
        <v>13773000000</v>
      </c>
      <c r="R23" s="386"/>
    </row>
    <row r="24" spans="2:18" s="57" customFormat="1" ht="15.6" customHeight="1" x14ac:dyDescent="0.2">
      <c r="B24" s="4089"/>
      <c r="C24" s="734" t="s">
        <v>609</v>
      </c>
      <c r="D24" s="736" t="s">
        <v>607</v>
      </c>
      <c r="E24" s="354" t="s">
        <v>1327</v>
      </c>
      <c r="F24" s="927"/>
      <c r="G24" s="927"/>
      <c r="H24" s="932"/>
      <c r="I24" s="1841">
        <v>9263000000</v>
      </c>
      <c r="J24" s="1841"/>
      <c r="K24" s="1835"/>
      <c r="L24" s="1835"/>
      <c r="M24" s="1835"/>
      <c r="N24" s="1842"/>
      <c r="O24" s="1842"/>
      <c r="P24" s="933">
        <f t="shared" si="0"/>
        <v>9263000000</v>
      </c>
      <c r="Q24" s="933">
        <v>10998000000</v>
      </c>
      <c r="R24" s="386"/>
    </row>
    <row r="25" spans="2:18" s="57" customFormat="1" ht="15.6" customHeight="1" x14ac:dyDescent="0.2">
      <c r="B25" s="4089"/>
      <c r="C25" s="1150" t="s">
        <v>610</v>
      </c>
      <c r="D25" s="1152" t="s">
        <v>596</v>
      </c>
      <c r="E25" s="354" t="s">
        <v>1795</v>
      </c>
      <c r="F25" s="927"/>
      <c r="G25" s="927"/>
      <c r="H25" s="932"/>
      <c r="I25" s="1841">
        <v>58000000</v>
      </c>
      <c r="J25" s="1841"/>
      <c r="K25" s="1835"/>
      <c r="L25" s="1835"/>
      <c r="M25" s="1835"/>
      <c r="N25" s="1842"/>
      <c r="O25" s="1842"/>
      <c r="P25" s="933">
        <f t="shared" si="0"/>
        <v>58000000</v>
      </c>
      <c r="Q25" s="933"/>
      <c r="R25" s="386"/>
    </row>
    <row r="26" spans="2:18" s="57" customFormat="1" ht="15.6" customHeight="1" x14ac:dyDescent="0.2">
      <c r="B26" s="4089"/>
      <c r="C26" s="1151" t="s">
        <v>634</v>
      </c>
      <c r="D26" s="633" t="s">
        <v>598</v>
      </c>
      <c r="E26" s="354" t="s">
        <v>1327</v>
      </c>
      <c r="F26" s="927"/>
      <c r="G26" s="927"/>
      <c r="H26" s="932"/>
      <c r="I26" s="1841">
        <v>871000000</v>
      </c>
      <c r="J26" s="1841"/>
      <c r="K26" s="1835"/>
      <c r="L26" s="1835"/>
      <c r="M26" s="1835"/>
      <c r="N26" s="1842"/>
      <c r="O26" s="1842"/>
      <c r="P26" s="933">
        <f t="shared" si="0"/>
        <v>871000000</v>
      </c>
      <c r="Q26" s="933"/>
      <c r="R26" s="386"/>
    </row>
    <row r="27" spans="2:18" s="57" customFormat="1" ht="15.6" customHeight="1" x14ac:dyDescent="0.2">
      <c r="B27" s="4089"/>
      <c r="C27" s="734" t="s">
        <v>641</v>
      </c>
      <c r="D27" s="736" t="s">
        <v>640</v>
      </c>
      <c r="E27" s="354" t="s">
        <v>1327</v>
      </c>
      <c r="F27" s="927"/>
      <c r="G27" s="927"/>
      <c r="H27" s="932"/>
      <c r="I27" s="1841"/>
      <c r="J27" s="1841"/>
      <c r="K27" s="1835"/>
      <c r="L27" s="1835"/>
      <c r="M27" s="1835"/>
      <c r="N27" s="1842"/>
      <c r="O27" s="1842"/>
      <c r="P27" s="933">
        <f t="shared" si="0"/>
        <v>0</v>
      </c>
      <c r="Q27" s="933">
        <v>681000000</v>
      </c>
      <c r="R27" s="386"/>
    </row>
    <row r="28" spans="2:18" s="57" customFormat="1" ht="15.6" customHeight="1" x14ac:dyDescent="0.2">
      <c r="B28" s="4089"/>
      <c r="C28" s="734" t="s">
        <v>622</v>
      </c>
      <c r="D28" s="736" t="s">
        <v>620</v>
      </c>
      <c r="E28" s="354" t="s">
        <v>1327</v>
      </c>
      <c r="F28" s="927"/>
      <c r="G28" s="927"/>
      <c r="H28" s="932"/>
      <c r="I28" s="1841">
        <v>1868000000</v>
      </c>
      <c r="J28" s="1841"/>
      <c r="K28" s="1835"/>
      <c r="L28" s="1835"/>
      <c r="M28" s="1835"/>
      <c r="N28" s="1842"/>
      <c r="O28" s="1842"/>
      <c r="P28" s="933">
        <f t="shared" si="0"/>
        <v>1868000000</v>
      </c>
      <c r="Q28" s="933">
        <v>4421000000</v>
      </c>
      <c r="R28" s="386"/>
    </row>
    <row r="29" spans="2:18" s="57" customFormat="1" ht="15.6" customHeight="1" x14ac:dyDescent="0.2">
      <c r="B29" s="4089"/>
      <c r="C29" s="734" t="s">
        <v>642</v>
      </c>
      <c r="D29" s="736" t="s">
        <v>631</v>
      </c>
      <c r="E29" s="354" t="s">
        <v>1327</v>
      </c>
      <c r="F29" s="927"/>
      <c r="G29" s="927"/>
      <c r="H29" s="932"/>
      <c r="I29" s="1841">
        <v>1000000000</v>
      </c>
      <c r="J29" s="1841"/>
      <c r="K29" s="1835"/>
      <c r="L29" s="1835"/>
      <c r="M29" s="1835"/>
      <c r="N29" s="1842"/>
      <c r="O29" s="1842"/>
      <c r="P29" s="933">
        <f t="shared" si="0"/>
        <v>1000000000</v>
      </c>
      <c r="Q29" s="933">
        <v>2551000000</v>
      </c>
      <c r="R29" s="386"/>
    </row>
    <row r="30" spans="2:18" s="57" customFormat="1" ht="15.6" customHeight="1" x14ac:dyDescent="0.2">
      <c r="B30" s="4089"/>
      <c r="C30" s="568" t="s">
        <v>623</v>
      </c>
      <c r="D30" s="633" t="s">
        <v>599</v>
      </c>
      <c r="E30" s="354" t="s">
        <v>1327</v>
      </c>
      <c r="F30" s="927"/>
      <c r="G30" s="927"/>
      <c r="H30" s="932"/>
      <c r="I30" s="1841">
        <v>395000000</v>
      </c>
      <c r="J30" s="1841"/>
      <c r="K30" s="1835"/>
      <c r="L30" s="1835"/>
      <c r="M30" s="1835"/>
      <c r="N30" s="1842"/>
      <c r="O30" s="1842"/>
      <c r="P30" s="933">
        <f t="shared" si="0"/>
        <v>395000000</v>
      </c>
      <c r="Q30" s="933"/>
      <c r="R30" s="386"/>
    </row>
    <row r="31" spans="2:18" s="57" customFormat="1" ht="15.6" customHeight="1" x14ac:dyDescent="0.2">
      <c r="B31" s="4089"/>
      <c r="C31" s="734" t="s">
        <v>643</v>
      </c>
      <c r="D31" s="736" t="s">
        <v>632</v>
      </c>
      <c r="E31" s="354" t="s">
        <v>1327</v>
      </c>
      <c r="F31" s="927"/>
      <c r="G31" s="927"/>
      <c r="H31" s="932"/>
      <c r="I31" s="1841">
        <v>1067000000</v>
      </c>
      <c r="J31" s="1841"/>
      <c r="K31" s="1835"/>
      <c r="L31" s="1835"/>
      <c r="M31" s="1835"/>
      <c r="N31" s="1842"/>
      <c r="O31" s="1842"/>
      <c r="P31" s="933">
        <f t="shared" si="0"/>
        <v>1067000000</v>
      </c>
      <c r="Q31" s="933">
        <v>33000000</v>
      </c>
      <c r="R31" s="386"/>
    </row>
    <row r="32" spans="2:18" s="57" customFormat="1" ht="15.6" customHeight="1" x14ac:dyDescent="0.2">
      <c r="B32" s="4089"/>
      <c r="C32" s="734" t="s">
        <v>624</v>
      </c>
      <c r="D32" s="736" t="s">
        <v>600</v>
      </c>
      <c r="E32" s="354" t="s">
        <v>1327</v>
      </c>
      <c r="F32" s="927"/>
      <c r="G32" s="927"/>
      <c r="H32" s="932"/>
      <c r="I32" s="1841">
        <v>2989000000</v>
      </c>
      <c r="J32" s="1841"/>
      <c r="K32" s="1835"/>
      <c r="L32" s="1835"/>
      <c r="M32" s="1835"/>
      <c r="N32" s="1842"/>
      <c r="O32" s="1842"/>
      <c r="P32" s="933">
        <f t="shared" si="0"/>
        <v>2989000000</v>
      </c>
      <c r="Q32" s="933">
        <v>470000000</v>
      </c>
      <c r="R32" s="386"/>
    </row>
    <row r="33" spans="2:20" s="57" customFormat="1" ht="15.6" customHeight="1" x14ac:dyDescent="0.2">
      <c r="B33" s="4089"/>
      <c r="C33" s="1151" t="s">
        <v>677</v>
      </c>
      <c r="D33" s="1653" t="s">
        <v>676</v>
      </c>
      <c r="E33" s="354" t="s">
        <v>1327</v>
      </c>
      <c r="F33" s="927"/>
      <c r="G33" s="927"/>
      <c r="H33" s="932"/>
      <c r="I33" s="1841">
        <v>1869000000</v>
      </c>
      <c r="J33" s="1841"/>
      <c r="K33" s="1835"/>
      <c r="L33" s="1835"/>
      <c r="M33" s="1835"/>
      <c r="N33" s="1842"/>
      <c r="O33" s="1842"/>
      <c r="P33" s="933">
        <f t="shared" si="0"/>
        <v>1869000000</v>
      </c>
      <c r="Q33" s="933"/>
      <c r="R33" s="386"/>
    </row>
    <row r="34" spans="2:20" s="57" customFormat="1" ht="15.6" customHeight="1" x14ac:dyDescent="0.2">
      <c r="B34" s="4089"/>
      <c r="C34" s="734" t="s">
        <v>625</v>
      </c>
      <c r="D34" s="736" t="s">
        <v>601</v>
      </c>
      <c r="E34" s="354" t="s">
        <v>1327</v>
      </c>
      <c r="F34" s="927"/>
      <c r="G34" s="927"/>
      <c r="H34" s="932"/>
      <c r="I34" s="1841">
        <v>1764000000</v>
      </c>
      <c r="J34" s="1841"/>
      <c r="K34" s="1835"/>
      <c r="L34" s="1835"/>
      <c r="M34" s="1835"/>
      <c r="N34" s="1842"/>
      <c r="O34" s="1842"/>
      <c r="P34" s="933">
        <f t="shared" si="0"/>
        <v>1764000000</v>
      </c>
      <c r="Q34" s="933">
        <v>1874000000</v>
      </c>
      <c r="R34" s="386"/>
    </row>
    <row r="35" spans="2:20" s="57" customFormat="1" ht="15.6" customHeight="1" x14ac:dyDescent="0.2">
      <c r="B35" s="4089"/>
      <c r="C35" s="734" t="s">
        <v>626</v>
      </c>
      <c r="D35" s="736" t="s">
        <v>602</v>
      </c>
      <c r="E35" s="354" t="s">
        <v>1327</v>
      </c>
      <c r="F35" s="927"/>
      <c r="G35" s="927"/>
      <c r="H35" s="932"/>
      <c r="I35" s="1841">
        <v>1821000000</v>
      </c>
      <c r="J35" s="1841"/>
      <c r="K35" s="1835"/>
      <c r="L35" s="1835"/>
      <c r="M35" s="1835"/>
      <c r="N35" s="1842"/>
      <c r="O35" s="1842"/>
      <c r="P35" s="933">
        <f t="shared" si="0"/>
        <v>1821000000</v>
      </c>
      <c r="Q35" s="933">
        <v>2126000000</v>
      </c>
      <c r="R35" s="386"/>
    </row>
    <row r="36" spans="2:20" s="57" customFormat="1" ht="15.6" customHeight="1" x14ac:dyDescent="0.2">
      <c r="B36" s="4089"/>
      <c r="C36" s="384" t="s">
        <v>629</v>
      </c>
      <c r="D36" s="736" t="s">
        <v>605</v>
      </c>
      <c r="E36" s="354" t="s">
        <v>1327</v>
      </c>
      <c r="F36" s="927"/>
      <c r="G36" s="927"/>
      <c r="H36" s="932"/>
      <c r="I36" s="1841">
        <v>658000000</v>
      </c>
      <c r="J36" s="1841"/>
      <c r="K36" s="1835"/>
      <c r="L36" s="1835"/>
      <c r="M36" s="1835"/>
      <c r="N36" s="1842"/>
      <c r="O36" s="1842"/>
      <c r="P36" s="933">
        <f t="shared" si="0"/>
        <v>658000000</v>
      </c>
      <c r="Q36" s="933">
        <v>2066000000</v>
      </c>
      <c r="R36" s="386"/>
    </row>
    <row r="37" spans="2:20" s="57" customFormat="1" ht="15.6" customHeight="1" x14ac:dyDescent="0.4">
      <c r="B37" s="4089"/>
      <c r="C37" s="425" t="s">
        <v>1080</v>
      </c>
      <c r="D37" s="443" t="s">
        <v>1081</v>
      </c>
      <c r="E37" s="354" t="s">
        <v>1327</v>
      </c>
      <c r="F37" s="927"/>
      <c r="G37" s="927"/>
      <c r="H37" s="932"/>
      <c r="I37" s="1841">
        <v>255000000</v>
      </c>
      <c r="J37" s="1841"/>
      <c r="K37" s="1835"/>
      <c r="L37" s="1835"/>
      <c r="M37" s="1835"/>
      <c r="N37" s="1842"/>
      <c r="O37" s="1842"/>
      <c r="P37" s="933">
        <f t="shared" si="0"/>
        <v>255000000</v>
      </c>
      <c r="Q37" s="933">
        <v>174000000</v>
      </c>
      <c r="R37" s="386"/>
    </row>
    <row r="38" spans="2:20" s="57" customFormat="1" ht="15.6" customHeight="1" x14ac:dyDescent="0.2">
      <c r="B38" s="4089"/>
      <c r="C38" s="425" t="s">
        <v>1078</v>
      </c>
      <c r="D38" s="921" t="s">
        <v>1077</v>
      </c>
      <c r="E38" s="354" t="s">
        <v>1327</v>
      </c>
      <c r="F38" s="927"/>
      <c r="G38" s="927"/>
      <c r="H38" s="932"/>
      <c r="I38" s="1841">
        <v>2068000000</v>
      </c>
      <c r="J38" s="1841"/>
      <c r="K38" s="1835"/>
      <c r="L38" s="1835"/>
      <c r="M38" s="1835"/>
      <c r="N38" s="1842"/>
      <c r="O38" s="1842"/>
      <c r="P38" s="933">
        <f t="shared" si="0"/>
        <v>2068000000</v>
      </c>
      <c r="Q38" s="933">
        <v>9192000000</v>
      </c>
      <c r="R38" s="386"/>
    </row>
    <row r="39" spans="2:20" s="57" customFormat="1" ht="15.6" customHeight="1" x14ac:dyDescent="0.4">
      <c r="B39" s="4089"/>
      <c r="C39" s="667" t="s">
        <v>1330</v>
      </c>
      <c r="D39" s="1009" t="s">
        <v>1329</v>
      </c>
      <c r="E39" s="354" t="s">
        <v>1327</v>
      </c>
      <c r="F39" s="1009"/>
      <c r="G39" s="1009"/>
      <c r="H39" s="932"/>
      <c r="I39" s="1841">
        <v>11432000000</v>
      </c>
      <c r="J39" s="1841"/>
      <c r="K39" s="1835"/>
      <c r="L39" s="1835"/>
      <c r="M39" s="1835"/>
      <c r="N39" s="1842"/>
      <c r="O39" s="1842"/>
      <c r="P39" s="933">
        <f t="shared" si="0"/>
        <v>11432000000</v>
      </c>
      <c r="Q39" s="933">
        <v>17621000000</v>
      </c>
      <c r="R39" s="386"/>
    </row>
    <row r="40" spans="2:20" s="57" customFormat="1" ht="14.45" customHeight="1" x14ac:dyDescent="0.4">
      <c r="B40" s="4090"/>
      <c r="C40" s="1514" t="s">
        <v>2143</v>
      </c>
      <c r="D40" s="1513" t="s">
        <v>2142</v>
      </c>
      <c r="E40" s="1521"/>
      <c r="F40" s="927"/>
      <c r="G40" s="927"/>
      <c r="H40" s="932"/>
      <c r="I40" s="1841">
        <v>2909000000</v>
      </c>
      <c r="J40" s="1841"/>
      <c r="K40" s="1835"/>
      <c r="L40" s="1835"/>
      <c r="M40" s="1835"/>
      <c r="N40" s="1842"/>
      <c r="O40" s="1842"/>
      <c r="P40" s="933">
        <f t="shared" si="0"/>
        <v>2909000000</v>
      </c>
      <c r="Q40" s="933"/>
      <c r="R40" s="386"/>
    </row>
    <row r="41" spans="2:20" ht="22.15" hidden="1" customHeight="1" x14ac:dyDescent="0.35">
      <c r="B41" s="4095" t="s">
        <v>221</v>
      </c>
      <c r="C41" s="4096"/>
      <c r="D41" s="4096"/>
      <c r="E41" s="4097"/>
      <c r="F41" s="932"/>
      <c r="G41" s="932">
        <f>SUM(G10:G39)</f>
        <v>0</v>
      </c>
      <c r="H41" s="932">
        <f>SUM(H10:H39)</f>
        <v>0</v>
      </c>
      <c r="I41" s="1841">
        <f>SUM(I10:I40)</f>
        <v>67675000000</v>
      </c>
      <c r="J41" s="1841">
        <f t="shared" ref="J41:Q41" si="1">SUM(J10:J40)</f>
        <v>130692000000</v>
      </c>
      <c r="K41" s="1841">
        <f t="shared" si="1"/>
        <v>0</v>
      </c>
      <c r="L41" s="1841">
        <f t="shared" si="1"/>
        <v>0</v>
      </c>
      <c r="M41" s="1841">
        <f t="shared" si="1"/>
        <v>0</v>
      </c>
      <c r="N41" s="1841">
        <f t="shared" si="1"/>
        <v>0</v>
      </c>
      <c r="O41" s="1841">
        <f t="shared" si="1"/>
        <v>0</v>
      </c>
      <c r="P41" s="1841">
        <f t="shared" si="1"/>
        <v>198367000000</v>
      </c>
      <c r="Q41" s="1841">
        <f t="shared" si="1"/>
        <v>1260551247317</v>
      </c>
      <c r="R41" s="313"/>
    </row>
    <row r="42" spans="2:20" ht="33" hidden="1" customHeight="1" x14ac:dyDescent="0.35">
      <c r="B42" s="4048" t="s">
        <v>190</v>
      </c>
      <c r="C42" s="734" t="s">
        <v>639</v>
      </c>
      <c r="D42" s="736" t="s">
        <v>638</v>
      </c>
      <c r="E42" s="934"/>
      <c r="F42" s="932"/>
      <c r="G42" s="932"/>
      <c r="H42" s="932"/>
      <c r="I42" s="1841"/>
      <c r="J42" s="1841"/>
      <c r="K42" s="1835"/>
      <c r="L42" s="1835"/>
      <c r="M42" s="1835"/>
      <c r="N42" s="1842"/>
      <c r="O42" s="1842"/>
      <c r="P42" s="1843"/>
      <c r="Q42" s="933"/>
      <c r="R42" s="313"/>
      <c r="T42" s="1">
        <f>G42+G13</f>
        <v>0</v>
      </c>
    </row>
    <row r="43" spans="2:20" ht="33" hidden="1" customHeight="1" x14ac:dyDescent="0.35">
      <c r="B43" s="4089"/>
      <c r="C43" s="357">
        <v>1307002000</v>
      </c>
      <c r="D43" s="926" t="s">
        <v>144</v>
      </c>
      <c r="E43" s="934"/>
      <c r="F43" s="932"/>
      <c r="G43" s="932"/>
      <c r="H43" s="932"/>
      <c r="I43" s="1841"/>
      <c r="J43" s="1841"/>
      <c r="K43" s="1835"/>
      <c r="L43" s="1835"/>
      <c r="M43" s="1835"/>
      <c r="N43" s="1842">
        <f>L43</f>
        <v>0</v>
      </c>
      <c r="O43" s="1842"/>
      <c r="P43" s="1843">
        <f>J43+G43</f>
        <v>0</v>
      </c>
      <c r="Q43" s="1832">
        <v>0</v>
      </c>
      <c r="R43" s="313"/>
    </row>
    <row r="44" spans="2:20" ht="20.45" hidden="1" customHeight="1" x14ac:dyDescent="0.35">
      <c r="B44" s="4089"/>
      <c r="C44" s="425" t="s">
        <v>292</v>
      </c>
      <c r="D44" s="638" t="s">
        <v>1079</v>
      </c>
      <c r="E44" s="638" t="s">
        <v>1327</v>
      </c>
      <c r="F44" s="932"/>
      <c r="G44" s="932"/>
      <c r="H44" s="932"/>
      <c r="I44" s="1841"/>
      <c r="J44" s="1841"/>
      <c r="K44" s="1835"/>
      <c r="L44" s="1835"/>
      <c r="M44" s="1835"/>
      <c r="N44" s="1842"/>
      <c r="O44" s="1842"/>
      <c r="P44" s="1843">
        <f>G44+J44</f>
        <v>0</v>
      </c>
      <c r="Q44" s="1832">
        <v>0</v>
      </c>
      <c r="R44" s="313"/>
    </row>
    <row r="45" spans="2:20" ht="33" hidden="1" customHeight="1" x14ac:dyDescent="0.35">
      <c r="B45" s="4090"/>
      <c r="C45" s="734" t="s">
        <v>639</v>
      </c>
      <c r="D45" s="736" t="s">
        <v>638</v>
      </c>
      <c r="E45" s="933"/>
      <c r="F45" s="933"/>
      <c r="G45" s="933"/>
      <c r="H45" s="927"/>
      <c r="I45" s="933"/>
      <c r="J45" s="1835"/>
      <c r="K45" s="1844"/>
      <c r="L45" s="1844"/>
      <c r="M45" s="1844"/>
      <c r="N45" s="1845">
        <v>7785280384</v>
      </c>
      <c r="O45" s="1845"/>
      <c r="P45" s="1843">
        <f>G45+J45</f>
        <v>0</v>
      </c>
      <c r="Q45" s="933">
        <v>0</v>
      </c>
      <c r="R45" s="313"/>
    </row>
    <row r="46" spans="2:20" ht="5.45" hidden="1" customHeight="1" x14ac:dyDescent="0.5">
      <c r="B46" s="4087" t="s">
        <v>222</v>
      </c>
      <c r="C46" s="4088"/>
      <c r="D46" s="4088"/>
      <c r="E46" s="356"/>
      <c r="F46" s="935"/>
      <c r="G46" s="932">
        <f>+G44</f>
        <v>0</v>
      </c>
      <c r="H46" s="932">
        <f t="shared" ref="H46:N46" si="2">SUM(H42:H43)</f>
        <v>0</v>
      </c>
      <c r="I46" s="1841"/>
      <c r="J46" s="1841">
        <f t="shared" si="2"/>
        <v>0</v>
      </c>
      <c r="K46" s="1841">
        <f t="shared" si="2"/>
        <v>0</v>
      </c>
      <c r="L46" s="1841"/>
      <c r="M46" s="1841">
        <f t="shared" si="2"/>
        <v>0</v>
      </c>
      <c r="N46" s="1841">
        <f t="shared" si="2"/>
        <v>0</v>
      </c>
      <c r="O46" s="1841"/>
      <c r="P46" s="1846">
        <f>G46+J46</f>
        <v>0</v>
      </c>
      <c r="Q46" s="1841">
        <v>0</v>
      </c>
      <c r="R46" s="313"/>
    </row>
    <row r="47" spans="2:20" ht="19.899999999999999" customHeight="1" x14ac:dyDescent="0.5">
      <c r="B47" s="4100" t="s">
        <v>386</v>
      </c>
      <c r="C47" s="4101"/>
      <c r="D47" s="4101"/>
      <c r="E47" s="4102"/>
      <c r="F47" s="844">
        <f>G12+G13+G10</f>
        <v>0</v>
      </c>
      <c r="G47" s="844">
        <f>G41+G46</f>
        <v>0</v>
      </c>
      <c r="H47" s="844">
        <f>H41+H46</f>
        <v>0</v>
      </c>
      <c r="I47" s="922">
        <f>I41+I46</f>
        <v>67675000000</v>
      </c>
      <c r="J47" s="922">
        <f>J41+J46</f>
        <v>130692000000</v>
      </c>
      <c r="K47" s="922"/>
      <c r="L47" s="922">
        <f>L46+L41</f>
        <v>0</v>
      </c>
      <c r="M47" s="1847">
        <v>0</v>
      </c>
      <c r="N47" s="922">
        <f>N46+N41</f>
        <v>0</v>
      </c>
      <c r="O47" s="922">
        <f>O46+O41</f>
        <v>0</v>
      </c>
      <c r="P47" s="922">
        <f>P41+P44</f>
        <v>198367000000</v>
      </c>
      <c r="Q47" s="922">
        <v>1260551247317</v>
      </c>
      <c r="R47" s="319"/>
      <c r="T47" s="1">
        <f>I47+J47</f>
        <v>198367000000</v>
      </c>
    </row>
    <row r="48" spans="2:20" ht="14.45" customHeight="1" x14ac:dyDescent="0.4">
      <c r="C48" s="110"/>
      <c r="D48" s="21"/>
      <c r="G48" s="4104" t="s">
        <v>1117</v>
      </c>
      <c r="H48" s="4104"/>
      <c r="I48" s="4104"/>
      <c r="J48" s="923" t="s">
        <v>1348</v>
      </c>
      <c r="K48" s="194"/>
      <c r="L48" s="4106"/>
      <c r="M48" s="4106"/>
      <c r="N48" s="1372" t="s">
        <v>1139</v>
      </c>
      <c r="O48" s="1372" t="s">
        <v>1898</v>
      </c>
      <c r="P48" s="745" t="s">
        <v>897</v>
      </c>
    </row>
    <row r="49" spans="1:21" ht="13.15" customHeight="1" x14ac:dyDescent="0.35">
      <c r="B49" s="3790"/>
      <c r="C49" s="3790"/>
      <c r="D49" s="3790"/>
      <c r="E49" s="3790"/>
      <c r="F49" s="3790"/>
      <c r="G49" s="3790"/>
      <c r="H49" s="3790"/>
      <c r="I49" s="3790"/>
      <c r="J49" s="3790"/>
      <c r="K49" s="3790"/>
      <c r="L49" s="3790"/>
      <c r="M49" s="3790"/>
      <c r="N49" s="3790"/>
      <c r="O49" s="3790"/>
      <c r="P49" s="3790"/>
      <c r="Q49" s="3790"/>
    </row>
    <row r="50" spans="1:21" ht="14.45" customHeight="1" x14ac:dyDescent="0.35">
      <c r="B50" s="346" t="s">
        <v>1845</v>
      </c>
      <c r="C50" s="346"/>
      <c r="D50" s="346"/>
      <c r="E50" s="330"/>
      <c r="F50" s="331"/>
      <c r="G50" s="331"/>
      <c r="H50" s="331"/>
      <c r="I50" s="331"/>
      <c r="J50" s="329"/>
      <c r="K50" s="194"/>
      <c r="L50" s="194"/>
      <c r="M50" s="194"/>
    </row>
    <row r="51" spans="1:21" ht="32.450000000000003" customHeight="1" x14ac:dyDescent="0.35">
      <c r="B51" s="4103" t="s">
        <v>2231</v>
      </c>
      <c r="C51" s="4103"/>
      <c r="D51" s="4103"/>
      <c r="E51" s="4103"/>
      <c r="F51" s="4103"/>
      <c r="G51" s="4103"/>
      <c r="H51" s="4103"/>
      <c r="I51" s="4103"/>
      <c r="J51" s="4103"/>
      <c r="K51" s="4103"/>
      <c r="L51" s="4103"/>
      <c r="M51" s="4103"/>
      <c r="N51" s="4103"/>
      <c r="O51" s="4103"/>
      <c r="P51" s="4103"/>
      <c r="Q51" s="4103"/>
      <c r="U51" s="1" t="s">
        <v>1270</v>
      </c>
    </row>
    <row r="52" spans="1:21" ht="14.25" customHeight="1" x14ac:dyDescent="0.35">
      <c r="B52" s="4103"/>
      <c r="C52" s="4103"/>
      <c r="D52" s="4103"/>
      <c r="E52" s="4103"/>
      <c r="F52" s="4103"/>
      <c r="G52" s="4103"/>
      <c r="H52" s="4103"/>
      <c r="I52" s="4103"/>
      <c r="J52" s="4103"/>
      <c r="K52" s="4103"/>
      <c r="L52" s="4103"/>
      <c r="M52" s="4103"/>
      <c r="N52" s="4103"/>
      <c r="O52" s="4103"/>
      <c r="P52" s="4103"/>
      <c r="Q52" s="4103"/>
    </row>
    <row r="53" spans="1:21" ht="18" x14ac:dyDescent="0.4">
      <c r="A53" s="3998">
        <v>91</v>
      </c>
      <c r="B53" s="3998"/>
      <c r="C53" s="3998"/>
      <c r="D53" s="3998"/>
      <c r="E53" s="3998"/>
      <c r="F53" s="3998"/>
      <c r="G53" s="3998"/>
      <c r="H53" s="3998"/>
      <c r="I53" s="3998"/>
      <c r="J53" s="3998"/>
      <c r="K53" s="3998"/>
      <c r="L53" s="3998"/>
      <c r="M53" s="3998"/>
      <c r="N53" s="3998"/>
      <c r="O53" s="3998"/>
      <c r="P53" s="3998"/>
      <c r="Q53" s="3998"/>
      <c r="S53" s="193"/>
      <c r="T53" s="193"/>
    </row>
    <row r="54" spans="1:21" x14ac:dyDescent="0.35">
      <c r="A54" s="194"/>
      <c r="B54" s="194"/>
      <c r="C54" s="194"/>
      <c r="D54" s="194"/>
      <c r="E54" s="194"/>
      <c r="F54" s="194"/>
    </row>
    <row r="55" spans="1:21" ht="15.75" x14ac:dyDescent="0.35">
      <c r="A55" s="4105"/>
      <c r="B55" s="4105"/>
      <c r="C55" s="4105"/>
      <c r="D55" s="4105"/>
      <c r="E55" s="4105"/>
      <c r="F55" s="4105"/>
    </row>
    <row r="56" spans="1:21" x14ac:dyDescent="0.35">
      <c r="A56" s="194"/>
      <c r="C56" s="1"/>
      <c r="D56" s="3967"/>
      <c r="E56" s="3967"/>
      <c r="F56" s="3967"/>
      <c r="G56" s="3967"/>
      <c r="H56" s="3967"/>
      <c r="I56" s="3967"/>
      <c r="J56" s="3967"/>
      <c r="K56" s="3967"/>
      <c r="L56" s="3967"/>
      <c r="M56" s="3967"/>
      <c r="N56" s="3967"/>
      <c r="O56" s="3967"/>
      <c r="P56" s="3967"/>
      <c r="Q56" s="3967"/>
      <c r="R56" s="3967"/>
      <c r="S56" s="3967"/>
      <c r="T56" s="3967"/>
    </row>
    <row r="57" spans="1:21" x14ac:dyDescent="0.35">
      <c r="C57" s="1"/>
      <c r="D57" s="3967"/>
      <c r="E57" s="3967"/>
      <c r="F57" s="3967"/>
      <c r="G57" s="3967"/>
      <c r="H57" s="3967"/>
      <c r="I57" s="3967"/>
      <c r="J57" s="3967"/>
      <c r="K57" s="3967"/>
      <c r="L57" s="3967"/>
      <c r="M57" s="3967"/>
      <c r="N57" s="3967"/>
      <c r="O57" s="3967"/>
      <c r="P57" s="3967"/>
      <c r="Q57" s="3967"/>
      <c r="R57" s="3967"/>
      <c r="S57" s="3967"/>
      <c r="T57" s="3967"/>
    </row>
    <row r="58" spans="1:21" x14ac:dyDescent="0.35">
      <c r="C58" s="1"/>
    </row>
    <row r="59" spans="1:21" ht="13.5" customHeight="1" x14ac:dyDescent="0.35">
      <c r="C59" s="1"/>
    </row>
  </sheetData>
  <mergeCells count="32">
    <mergeCell ref="B47:E47"/>
    <mergeCell ref="B51:Q52"/>
    <mergeCell ref="G48:I48"/>
    <mergeCell ref="A55:F55"/>
    <mergeCell ref="D56:T57"/>
    <mergeCell ref="L48:M48"/>
    <mergeCell ref="A53:Q53"/>
    <mergeCell ref="B49:Q49"/>
    <mergeCell ref="B46:D46"/>
    <mergeCell ref="B42:B45"/>
    <mergeCell ref="J8:J9"/>
    <mergeCell ref="B7:B9"/>
    <mergeCell ref="E7:P7"/>
    <mergeCell ref="B41:E41"/>
    <mergeCell ref="O8:O9"/>
    <mergeCell ref="B10:B40"/>
    <mergeCell ref="A1:T1"/>
    <mergeCell ref="A2:T2"/>
    <mergeCell ref="A3:T3"/>
    <mergeCell ref="A4:T4"/>
    <mergeCell ref="N8:N9"/>
    <mergeCell ref="Q7:Q9"/>
    <mergeCell ref="K6:Q6"/>
    <mergeCell ref="M8:M9"/>
    <mergeCell ref="D7:D9"/>
    <mergeCell ref="F8:H9"/>
    <mergeCell ref="E8:E9"/>
    <mergeCell ref="K8:K9"/>
    <mergeCell ref="C7:C9"/>
    <mergeCell ref="P8:P9"/>
    <mergeCell ref="L8:L9"/>
    <mergeCell ref="A5:B5"/>
  </mergeCells>
  <phoneticPr fontId="123" type="noConversion"/>
  <printOptions horizontalCentered="1"/>
  <pageMargins left="0.27559055118110198" right="7.8740157480315001E-2" top="0.35433070866141703" bottom="0" header="0.118110236220472" footer="0.31496062992126"/>
  <pageSetup scale="91" fitToWidth="0" fitToHeight="0" orientation="portrait" r:id="rId1"/>
  <rowBreaks count="1" manualBreakCount="1">
    <brk id="54" max="16"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2060"/>
  </sheetPr>
  <dimension ref="A1:AW588"/>
  <sheetViews>
    <sheetView rightToLeft="1" view="pageBreakPreview" topLeftCell="A556" zoomScale="44" zoomScaleNormal="106" zoomScaleSheetLayoutView="44" workbookViewId="0">
      <selection activeCell="B574" sqref="B574"/>
    </sheetView>
  </sheetViews>
  <sheetFormatPr defaultColWidth="9.140625" defaultRowHeight="18.75" x14ac:dyDescent="0.2"/>
  <cols>
    <col min="1" max="1" width="3.28515625" style="2603" customWidth="1"/>
    <col min="2" max="2" width="5.5703125" style="2603" customWidth="1"/>
    <col min="3" max="3" width="16.140625" style="311" customWidth="1"/>
    <col min="4" max="4" width="61.28515625" style="2720" customWidth="1"/>
    <col min="5" max="5" width="15.5703125" style="2720" customWidth="1"/>
    <col min="6" max="6" width="6.28515625" style="2606" hidden="1" customWidth="1"/>
    <col min="7" max="7" width="8.7109375" style="2606" hidden="1" customWidth="1"/>
    <col min="8" max="8" width="9" style="2606" customWidth="1"/>
    <col min="9" max="9" width="13.28515625" style="2606" customWidth="1"/>
    <col min="10" max="10" width="5.42578125" style="2606" hidden="1" customWidth="1"/>
    <col min="11" max="11" width="1.5703125" style="2606" hidden="1" customWidth="1"/>
    <col min="12" max="12" width="3" style="2606" hidden="1" customWidth="1"/>
    <col min="13" max="13" width="12.140625" style="2606" hidden="1" customWidth="1"/>
    <col min="14" max="14" width="13.140625" style="2606" customWidth="1"/>
    <col min="15" max="15" width="11.5703125" style="2606" customWidth="1"/>
    <col min="16" max="16" width="9.28515625" style="2606" customWidth="1"/>
    <col min="17" max="17" width="10.42578125" style="2606" hidden="1" customWidth="1"/>
    <col min="18" max="18" width="9.7109375" style="2606" hidden="1" customWidth="1"/>
    <col min="19" max="19" width="9.28515625" style="2606" hidden="1" customWidth="1"/>
    <col min="20" max="20" width="10.42578125" style="2606" customWidth="1"/>
    <col min="21" max="22" width="12.42578125" style="2606" customWidth="1"/>
    <col min="23" max="23" width="10.42578125" style="2606" customWidth="1"/>
    <col min="24" max="24" width="6" style="300" hidden="1" customWidth="1"/>
    <col min="25" max="25" width="14.28515625" style="300" hidden="1" customWidth="1"/>
    <col min="26" max="26" width="5.28515625" style="300" hidden="1" customWidth="1"/>
    <col min="27" max="27" width="9.140625" style="300" hidden="1" customWidth="1"/>
    <col min="28" max="28" width="13.140625" style="2606" customWidth="1"/>
    <col min="29" max="29" width="1.140625" style="2603" customWidth="1"/>
    <col min="30" max="30" width="17.28515625" style="2603" customWidth="1"/>
    <col min="31" max="32" width="10.28515625" style="2603" bestFit="1" customWidth="1"/>
    <col min="33" max="33" width="25.140625" style="2603" customWidth="1"/>
    <col min="34" max="16384" width="9.140625" style="2603"/>
  </cols>
  <sheetData>
    <row r="1" spans="2:36" ht="19.5" customHeight="1" x14ac:dyDescent="0.2">
      <c r="B1" s="4108" t="s">
        <v>295</v>
      </c>
      <c r="C1" s="4108"/>
      <c r="D1" s="4108"/>
      <c r="E1" s="4108"/>
      <c r="F1" s="4108"/>
      <c r="G1" s="4108"/>
      <c r="H1" s="4108"/>
      <c r="I1" s="4108"/>
      <c r="J1" s="4108"/>
      <c r="K1" s="4108"/>
      <c r="L1" s="4108"/>
      <c r="M1" s="4108"/>
      <c r="N1" s="4108"/>
      <c r="O1" s="4108"/>
      <c r="P1" s="4108"/>
      <c r="Q1" s="4108"/>
      <c r="R1" s="4108"/>
      <c r="S1" s="4108"/>
      <c r="T1" s="4108"/>
      <c r="U1" s="4108"/>
      <c r="V1" s="4108"/>
      <c r="W1" s="4108"/>
      <c r="X1" s="4108"/>
      <c r="Y1" s="4108"/>
      <c r="Z1" s="4108"/>
      <c r="AA1" s="4108"/>
      <c r="AB1" s="4108"/>
    </row>
    <row r="2" spans="2:36" x14ac:dyDescent="0.2">
      <c r="B2" s="4108" t="s">
        <v>45</v>
      </c>
      <c r="C2" s="4108"/>
      <c r="D2" s="4108"/>
      <c r="E2" s="4108"/>
      <c r="F2" s="4108"/>
      <c r="G2" s="4108"/>
      <c r="H2" s="4108"/>
      <c r="I2" s="4108"/>
      <c r="J2" s="4108"/>
      <c r="K2" s="4108"/>
      <c r="L2" s="4108"/>
      <c r="M2" s="4108"/>
      <c r="N2" s="4108"/>
      <c r="O2" s="4108"/>
      <c r="P2" s="4108"/>
      <c r="Q2" s="4108"/>
      <c r="R2" s="4108"/>
      <c r="S2" s="4108"/>
      <c r="T2" s="4108"/>
      <c r="U2" s="4108"/>
      <c r="V2" s="4108"/>
      <c r="W2" s="4108"/>
      <c r="X2" s="4108"/>
      <c r="Y2" s="4108"/>
      <c r="Z2" s="4108"/>
      <c r="AA2" s="4108"/>
      <c r="AB2" s="4108"/>
    </row>
    <row r="3" spans="2:36" x14ac:dyDescent="0.2">
      <c r="B3" s="4108" t="s">
        <v>46</v>
      </c>
      <c r="C3" s="4108"/>
      <c r="D3" s="4108"/>
      <c r="E3" s="4108"/>
      <c r="F3" s="4108"/>
      <c r="G3" s="4108"/>
      <c r="H3" s="4108"/>
      <c r="I3" s="4108"/>
      <c r="J3" s="4108"/>
      <c r="K3" s="4108"/>
      <c r="L3" s="4108"/>
      <c r="M3" s="4108"/>
      <c r="N3" s="4108"/>
      <c r="O3" s="4108"/>
      <c r="P3" s="4108"/>
      <c r="Q3" s="4108"/>
      <c r="R3" s="4108"/>
      <c r="S3" s="4108"/>
      <c r="T3" s="4108"/>
      <c r="U3" s="4108"/>
      <c r="V3" s="4108"/>
      <c r="W3" s="4108"/>
      <c r="X3" s="4108"/>
      <c r="Y3" s="4108"/>
      <c r="Z3" s="4108"/>
      <c r="AA3" s="4108"/>
      <c r="AB3" s="4108"/>
    </row>
    <row r="4" spans="2:36" x14ac:dyDescent="0.2">
      <c r="B4" s="3294" t="s">
        <v>1981</v>
      </c>
      <c r="C4" s="3294"/>
      <c r="D4" s="3294"/>
      <c r="E4" s="3294"/>
      <c r="F4" s="3294"/>
      <c r="G4" s="3294"/>
      <c r="H4" s="3294"/>
      <c r="I4" s="3294"/>
      <c r="J4" s="3294"/>
      <c r="K4" s="3294"/>
      <c r="L4" s="3294"/>
      <c r="M4" s="3294"/>
      <c r="N4" s="3294"/>
      <c r="O4" s="3294"/>
      <c r="P4" s="3294"/>
      <c r="Q4" s="3294"/>
      <c r="R4" s="3294"/>
      <c r="S4" s="3294"/>
      <c r="T4" s="3294"/>
      <c r="U4" s="3294"/>
      <c r="V4" s="3294"/>
      <c r="W4" s="3294"/>
      <c r="X4" s="3294"/>
      <c r="Y4" s="3294"/>
      <c r="Z4" s="3294"/>
      <c r="AA4" s="3294"/>
      <c r="AB4" s="3294"/>
    </row>
    <row r="5" spans="2:36" x14ac:dyDescent="0.2">
      <c r="B5" s="1722"/>
      <c r="C5" s="1722"/>
      <c r="D5" s="1722"/>
      <c r="E5" s="1722"/>
      <c r="F5" s="1722"/>
      <c r="G5" s="1722"/>
      <c r="H5" s="1722"/>
      <c r="I5" s="1722"/>
      <c r="J5" s="1722"/>
      <c r="K5" s="1722"/>
      <c r="L5" s="1722"/>
      <c r="M5" s="1722"/>
      <c r="N5" s="1722"/>
      <c r="O5" s="1722"/>
      <c r="P5" s="1722"/>
      <c r="Q5" s="1722"/>
      <c r="R5" s="1722"/>
      <c r="S5" s="1722"/>
      <c r="T5" s="1722"/>
      <c r="U5" s="1722"/>
      <c r="V5" s="1722"/>
      <c r="W5" s="1722"/>
      <c r="X5" s="1722"/>
      <c r="Y5" s="1722"/>
      <c r="Z5" s="1722"/>
      <c r="AA5" s="1722"/>
      <c r="AB5" s="1722"/>
    </row>
    <row r="6" spans="2:36" x14ac:dyDescent="0.2">
      <c r="B6" s="1722"/>
      <c r="C6" s="1722"/>
      <c r="D6" s="1722"/>
      <c r="E6" s="1722"/>
      <c r="F6" s="1722"/>
      <c r="G6" s="1722"/>
      <c r="H6" s="1722"/>
      <c r="I6" s="1722"/>
      <c r="J6" s="1722"/>
      <c r="K6" s="1722"/>
      <c r="L6" s="1722"/>
      <c r="M6" s="1722"/>
      <c r="N6" s="1722"/>
      <c r="O6" s="1722"/>
      <c r="P6" s="1722"/>
      <c r="Q6" s="1722"/>
      <c r="R6" s="1722"/>
      <c r="S6" s="1722"/>
      <c r="T6" s="1722"/>
      <c r="U6" s="1722"/>
      <c r="V6" s="1722"/>
      <c r="W6" s="1722"/>
      <c r="X6" s="1722"/>
      <c r="Y6" s="1722"/>
      <c r="Z6" s="1722"/>
      <c r="AA6" s="1722"/>
      <c r="AB6" s="1722"/>
    </row>
    <row r="7" spans="2:36" ht="26.25" customHeight="1" x14ac:dyDescent="0.2">
      <c r="B7" s="4146" t="s">
        <v>1846</v>
      </c>
      <c r="C7" s="4146"/>
      <c r="D7" s="4146"/>
      <c r="E7" s="2604"/>
      <c r="F7" s="2605"/>
      <c r="G7" s="2605"/>
      <c r="H7" s="2605"/>
      <c r="I7" s="2605"/>
      <c r="J7" s="2605"/>
      <c r="K7" s="2605"/>
    </row>
    <row r="8" spans="2:36" ht="21" customHeight="1" x14ac:dyDescent="0.2">
      <c r="B8" s="4147" t="s">
        <v>1847</v>
      </c>
      <c r="C8" s="4147"/>
      <c r="D8" s="4147"/>
      <c r="E8" s="2607"/>
      <c r="F8" s="2607"/>
      <c r="G8" s="1851"/>
      <c r="H8" s="1851"/>
      <c r="I8" s="1851"/>
      <c r="J8" s="1854"/>
      <c r="K8" s="1854"/>
      <c r="AB8" s="2608" t="s">
        <v>194</v>
      </c>
    </row>
    <row r="9" spans="2:36" ht="20.45" customHeight="1" x14ac:dyDescent="0.2">
      <c r="B9" s="4112" t="s">
        <v>419</v>
      </c>
      <c r="C9" s="4117" t="s">
        <v>196</v>
      </c>
      <c r="D9" s="4124" t="s">
        <v>197</v>
      </c>
      <c r="E9" s="4111" t="s">
        <v>1400</v>
      </c>
      <c r="F9" s="2609"/>
      <c r="G9" s="4111" t="s">
        <v>921</v>
      </c>
      <c r="H9" s="4118" t="s">
        <v>1116</v>
      </c>
      <c r="I9" s="4118" t="s">
        <v>1271</v>
      </c>
      <c r="J9" s="4135" t="s">
        <v>1272</v>
      </c>
      <c r="K9" s="4136"/>
      <c r="L9" s="4136"/>
      <c r="M9" s="4136"/>
      <c r="N9" s="4136"/>
      <c r="O9" s="4137"/>
      <c r="P9" s="4113" t="s">
        <v>423</v>
      </c>
      <c r="Q9" s="4115" t="s">
        <v>827</v>
      </c>
      <c r="R9" s="4115" t="s">
        <v>888</v>
      </c>
      <c r="S9" s="4115"/>
      <c r="T9" s="4114" t="s">
        <v>2015</v>
      </c>
      <c r="U9" s="4121" t="s">
        <v>1274</v>
      </c>
      <c r="V9" s="4121" t="s">
        <v>2016</v>
      </c>
      <c r="W9" s="4116" t="s">
        <v>1033</v>
      </c>
      <c r="X9" s="2610"/>
      <c r="Y9" s="4127" t="s">
        <v>296</v>
      </c>
      <c r="Z9" s="4127" t="s">
        <v>190</v>
      </c>
      <c r="AA9" s="4129" t="s">
        <v>313</v>
      </c>
      <c r="AB9" s="4111" t="s">
        <v>2013</v>
      </c>
    </row>
    <row r="10" spans="2:36" ht="17.45" customHeight="1" x14ac:dyDescent="0.2">
      <c r="B10" s="4112"/>
      <c r="C10" s="4117"/>
      <c r="D10" s="4124"/>
      <c r="E10" s="4111"/>
      <c r="F10" s="2609"/>
      <c r="G10" s="4111"/>
      <c r="H10" s="4119"/>
      <c r="I10" s="4119"/>
      <c r="J10" s="4138"/>
      <c r="K10" s="4139"/>
      <c r="L10" s="4139"/>
      <c r="M10" s="4139"/>
      <c r="N10" s="4139"/>
      <c r="O10" s="4140"/>
      <c r="P10" s="4113"/>
      <c r="Q10" s="4115"/>
      <c r="R10" s="4109" t="s">
        <v>889</v>
      </c>
      <c r="S10" s="4109" t="s">
        <v>890</v>
      </c>
      <c r="T10" s="4114"/>
      <c r="U10" s="4122"/>
      <c r="V10" s="4122"/>
      <c r="W10" s="4116"/>
      <c r="X10" s="2611"/>
      <c r="Y10" s="4127"/>
      <c r="Z10" s="4127"/>
      <c r="AA10" s="4130"/>
      <c r="AB10" s="4111"/>
    </row>
    <row r="11" spans="2:36" s="2616" customFormat="1" ht="62.45" customHeight="1" x14ac:dyDescent="0.2">
      <c r="B11" s="4112"/>
      <c r="C11" s="4117"/>
      <c r="D11" s="4124"/>
      <c r="E11" s="4111"/>
      <c r="F11" s="2612" t="s">
        <v>421</v>
      </c>
      <c r="G11" s="2613" t="s">
        <v>27</v>
      </c>
      <c r="H11" s="4120"/>
      <c r="I11" s="4120"/>
      <c r="J11" s="2614" t="s">
        <v>1273</v>
      </c>
      <c r="K11" s="2614" t="s">
        <v>1292</v>
      </c>
      <c r="L11" s="2612" t="s">
        <v>999</v>
      </c>
      <c r="M11" s="2612" t="s">
        <v>422</v>
      </c>
      <c r="N11" s="2612" t="s">
        <v>2014</v>
      </c>
      <c r="O11" s="2615" t="s">
        <v>1794</v>
      </c>
      <c r="P11" s="4113"/>
      <c r="Q11" s="4115"/>
      <c r="R11" s="4109"/>
      <c r="S11" s="4109"/>
      <c r="T11" s="4114"/>
      <c r="U11" s="4123"/>
      <c r="V11" s="4123"/>
      <c r="W11" s="4116"/>
      <c r="X11" s="373" t="s">
        <v>62</v>
      </c>
      <c r="Y11" s="4127"/>
      <c r="Z11" s="4127"/>
      <c r="AA11" s="4131"/>
      <c r="AB11" s="4111"/>
    </row>
    <row r="12" spans="2:36" s="2616" customFormat="1" ht="21" customHeight="1" x14ac:dyDescent="0.2">
      <c r="B12" s="2617"/>
      <c r="C12" s="1691">
        <v>1307002010</v>
      </c>
      <c r="D12" s="2618" t="s">
        <v>203</v>
      </c>
      <c r="E12" s="2609">
        <v>6936270471660</v>
      </c>
      <c r="F12" s="2619">
        <v>0</v>
      </c>
      <c r="G12" s="2620">
        <v>3150734000000</v>
      </c>
      <c r="H12" s="2620"/>
      <c r="I12" s="2620">
        <f>E12+H12</f>
        <v>6936270471660</v>
      </c>
      <c r="J12" s="2620"/>
      <c r="K12" s="2620">
        <v>6406000000</v>
      </c>
      <c r="L12" s="276"/>
      <c r="M12" s="276"/>
      <c r="N12" s="2620">
        <f>'يادداشت 15سایر درآمد ها و انتقا'!O22-'يادداشت 15سایر درآمد ها و انتقا'!N22</f>
        <v>117704000000</v>
      </c>
      <c r="O12" s="2620">
        <f>'يادداشت 15سایر درآمد ها و انتقا'!W22</f>
        <v>1945261000000</v>
      </c>
      <c r="P12" s="276"/>
      <c r="Q12" s="2620"/>
      <c r="R12" s="2620"/>
      <c r="S12" s="2620"/>
      <c r="T12" s="2620">
        <f>-'حفظ قدرت خرید'!P13-'حفظ قدرت خرید'!V13</f>
        <v>-26945000000</v>
      </c>
      <c r="U12" s="2620">
        <f>-'حفظ قدرت خرید'!V13</f>
        <v>23164000000</v>
      </c>
      <c r="V12" s="2620">
        <f>-'حفظ قدرت خرید'!L13</f>
        <v>38578980000</v>
      </c>
      <c r="W12" s="2621">
        <f>-'ياد 15  سايرهزينه '!P17</f>
        <v>-5729000000</v>
      </c>
      <c r="X12" s="276"/>
      <c r="Y12" s="276" t="e">
        <f>#N/A</f>
        <v>#N/A</v>
      </c>
      <c r="Z12" s="276" t="e">
        <f>#N/A</f>
        <v>#N/A</v>
      </c>
      <c r="AA12" s="276"/>
      <c r="AB12" s="2620">
        <f>P12+W12+S12+R12+Q12+N12+T12+E12+H12+O12+V12+U12+M12</f>
        <v>9028304451660</v>
      </c>
    </row>
    <row r="13" spans="2:36" s="2616" customFormat="1" ht="21" customHeight="1" x14ac:dyDescent="0.2">
      <c r="B13" s="2617"/>
      <c r="C13" s="2622">
        <v>1307003025</v>
      </c>
      <c r="D13" s="2618" t="s">
        <v>425</v>
      </c>
      <c r="E13" s="2613">
        <v>392066186706</v>
      </c>
      <c r="F13" s="2619">
        <v>20969000000</v>
      </c>
      <c r="G13" s="2620">
        <v>1082267000000</v>
      </c>
      <c r="H13" s="2620"/>
      <c r="I13" s="2620">
        <f t="shared" ref="I13:I42" si="0">E13+H13</f>
        <v>392066186706</v>
      </c>
      <c r="J13" s="2620"/>
      <c r="K13" s="2620"/>
      <c r="L13" s="276"/>
      <c r="M13" s="2620"/>
      <c r="N13" s="2620"/>
      <c r="O13" s="2620">
        <f>'يادداشت 15سایر درآمد ها و انتقا'!W30</f>
        <v>0</v>
      </c>
      <c r="P13" s="276"/>
      <c r="Q13" s="2620"/>
      <c r="R13" s="2620"/>
      <c r="S13" s="2620"/>
      <c r="T13" s="2620"/>
      <c r="U13" s="2620"/>
      <c r="V13" s="2620"/>
      <c r="W13" s="2621">
        <f>-'ياد 15  سايرهزينه '!P10</f>
        <v>-130692000000</v>
      </c>
      <c r="X13" s="276"/>
      <c r="Y13" s="276" t="e">
        <f>#N/A</f>
        <v>#N/A</v>
      </c>
      <c r="Z13" s="276" t="e">
        <f>#REF!+#REF!-1000000000</f>
        <v>#REF!</v>
      </c>
      <c r="AA13" s="276"/>
      <c r="AB13" s="2620">
        <f t="shared" ref="AB13:AB42" si="1">P13+W13+S13+R13+Q13+N13+T13+E13+H13+O13+V13+U13+M13</f>
        <v>261374186706</v>
      </c>
      <c r="AD13" s="2616">
        <v>392066186706</v>
      </c>
    </row>
    <row r="14" spans="2:36" s="2616" customFormat="1" ht="21" customHeight="1" x14ac:dyDescent="0.2">
      <c r="B14" s="2617"/>
      <c r="C14" s="2622">
        <v>1307002080</v>
      </c>
      <c r="D14" s="2618" t="s">
        <v>426</v>
      </c>
      <c r="E14" s="2613">
        <f>12621108647698-E513</f>
        <v>9310108647698</v>
      </c>
      <c r="F14" s="2623">
        <v>0</v>
      </c>
      <c r="G14" s="2620">
        <v>406833000000</v>
      </c>
      <c r="H14" s="2620"/>
      <c r="I14" s="2620">
        <f t="shared" si="0"/>
        <v>9310108647698</v>
      </c>
      <c r="J14" s="2620">
        <v>50000000000</v>
      </c>
      <c r="K14" s="2620">
        <v>139857000000</v>
      </c>
      <c r="L14" s="276"/>
      <c r="M14" s="2620"/>
      <c r="N14" s="2620">
        <f>'يادداشت 15سایر درآمد ها و انتقا'!O24-'يادداشت 15سایر درآمد ها و انتقا'!N24</f>
        <v>146060000000</v>
      </c>
      <c r="O14" s="2620">
        <f>'يادداشت 15سایر درآمد ها و انتقا'!W24-'يادداشت 15سایر درآمد ها و انتقا'!V24</f>
        <v>5502000000000</v>
      </c>
      <c r="P14" s="276"/>
      <c r="Q14" s="2620"/>
      <c r="R14" s="2620"/>
      <c r="S14" s="2620"/>
      <c r="T14" s="2620">
        <f>-'حفظ قدرت خرید'!P16-'حفظ قدرت خرید'!V16</f>
        <v>-36835000000</v>
      </c>
      <c r="U14" s="2620">
        <f>-'حفظ قدرت خرید'!V16</f>
        <v>18747000000</v>
      </c>
      <c r="V14" s="2620">
        <f>-'حفظ قدرت خرید'!L16</f>
        <v>145461000000</v>
      </c>
      <c r="W14" s="2620">
        <f>-'ياد 15  سايرهزينه '!P18</f>
        <v>-3348000000</v>
      </c>
      <c r="X14" s="276"/>
      <c r="Y14" s="276" t="e">
        <f>#N/A</f>
        <v>#N/A</v>
      </c>
      <c r="Z14" s="276" t="e">
        <f>#REF!+#REF!</f>
        <v>#REF!</v>
      </c>
      <c r="AA14" s="276"/>
      <c r="AB14" s="2620">
        <f t="shared" si="1"/>
        <v>15082193647698</v>
      </c>
      <c r="AD14" s="2616">
        <v>12621108647698</v>
      </c>
    </row>
    <row r="15" spans="2:36" s="2616" customFormat="1" ht="21" customHeight="1" x14ac:dyDescent="0.4">
      <c r="B15" s="2617"/>
      <c r="C15" s="1691">
        <v>1503002046</v>
      </c>
      <c r="D15" s="2618" t="s">
        <v>83</v>
      </c>
      <c r="E15" s="2609">
        <v>3881018393187</v>
      </c>
      <c r="F15" s="2619">
        <v>78241000000</v>
      </c>
      <c r="G15" s="2620">
        <v>1783452000000</v>
      </c>
      <c r="H15" s="2620"/>
      <c r="I15" s="2620">
        <f t="shared" si="0"/>
        <v>3881018393187</v>
      </c>
      <c r="J15" s="2620"/>
      <c r="K15" s="2620">
        <v>38310000000</v>
      </c>
      <c r="L15" s="276"/>
      <c r="M15" s="276"/>
      <c r="N15" s="2620">
        <f>'يادداشت 15سایر درآمد ها و انتقا'!O17-'يادداشت 15سایر درآمد ها و انتقا'!N17</f>
        <v>39627000000</v>
      </c>
      <c r="O15" s="2620">
        <f>'يادداشت 15سایر درآمد ها و انتقا'!W17-'يادداشت 15سایر درآمد ها و انتقا'!V17</f>
        <v>327800000000</v>
      </c>
      <c r="P15" s="276">
        <f>'پيش پرداخت سرمايه اي يادداشت 6'!N9</f>
        <v>-1582060020</v>
      </c>
      <c r="Q15" s="301"/>
      <c r="R15" s="2620"/>
      <c r="S15" s="2620"/>
      <c r="T15" s="2620">
        <f>-'حفظ قدرت خرید'!P10-'حفظ قدرت خرید'!V10</f>
        <v>-9621000000</v>
      </c>
      <c r="U15" s="2620">
        <f>-'حفظ قدرت خرید'!V10</f>
        <v>8373000000</v>
      </c>
      <c r="V15" s="2620">
        <f>-'حفظ قدرت خرید'!L10</f>
        <v>34582000000</v>
      </c>
      <c r="W15" s="2620">
        <f>-'ياد 15  سايرهزينه '!P14</f>
        <v>-9287000000</v>
      </c>
      <c r="X15" s="276"/>
      <c r="Y15" s="276" t="e">
        <f>#N/A</f>
        <v>#N/A</v>
      </c>
      <c r="Z15" s="276" t="e">
        <f>#REF!+#REF!-7949000000</f>
        <v>#REF!</v>
      </c>
      <c r="AA15" s="276"/>
      <c r="AB15" s="2620">
        <f t="shared" si="1"/>
        <v>4270910333167</v>
      </c>
      <c r="AH15" s="2624"/>
      <c r="AI15" s="2624"/>
      <c r="AJ15" s="2625"/>
    </row>
    <row r="16" spans="2:36" s="2616" customFormat="1" ht="21" customHeight="1" x14ac:dyDescent="0.2">
      <c r="B16" s="2617"/>
      <c r="C16" s="1691">
        <v>1503002096</v>
      </c>
      <c r="D16" s="2618" t="s">
        <v>84</v>
      </c>
      <c r="E16" s="2609">
        <v>435718478702</v>
      </c>
      <c r="F16" s="2623">
        <v>4000000000</v>
      </c>
      <c r="G16" s="2620">
        <v>293224000000</v>
      </c>
      <c r="H16" s="2620"/>
      <c r="I16" s="2620">
        <f t="shared" si="0"/>
        <v>435718478702</v>
      </c>
      <c r="J16" s="2620"/>
      <c r="K16" s="2620">
        <v>339000000</v>
      </c>
      <c r="L16" s="276"/>
      <c r="M16" s="276"/>
      <c r="N16" s="2620">
        <f>'يادداشت 15سایر درآمد ها و انتقا'!O18-'يادداشت 15سایر درآمد ها و انتقا'!N18</f>
        <v>3473000000</v>
      </c>
      <c r="O16" s="2620"/>
      <c r="P16" s="276"/>
      <c r="Q16" s="301"/>
      <c r="R16" s="2620"/>
      <c r="S16" s="2620"/>
      <c r="T16" s="2620">
        <f>-'حفظ قدرت خرید'!P11-'حفظ قدرت خرید'!V11</f>
        <v>-912000000</v>
      </c>
      <c r="U16" s="2620">
        <f>-'حفظ قدرت خرید'!V11</f>
        <v>387000000</v>
      </c>
      <c r="V16" s="2620">
        <f>-'حفظ قدرت خرید'!L11</f>
        <v>1693000000</v>
      </c>
      <c r="W16" s="2620">
        <f>-'ياد 15  سايرهزينه '!P16</f>
        <v>0</v>
      </c>
      <c r="X16" s="276"/>
      <c r="Y16" s="276" t="e">
        <f>#N/A</f>
        <v>#N/A</v>
      </c>
      <c r="Z16" s="276" t="e">
        <f>#N/A</f>
        <v>#N/A</v>
      </c>
      <c r="AA16" s="276"/>
      <c r="AB16" s="2620">
        <f t="shared" si="1"/>
        <v>440359478702</v>
      </c>
    </row>
    <row r="17" spans="2:28" s="2616" customFormat="1" ht="21" customHeight="1" x14ac:dyDescent="0.2">
      <c r="B17" s="2617"/>
      <c r="C17" s="1691">
        <v>1503002173</v>
      </c>
      <c r="D17" s="2618" t="s">
        <v>85</v>
      </c>
      <c r="E17" s="2609">
        <v>1663969360554</v>
      </c>
      <c r="F17" s="2619">
        <v>1178000000</v>
      </c>
      <c r="G17" s="2620">
        <v>449238000000</v>
      </c>
      <c r="H17" s="2620"/>
      <c r="I17" s="2620">
        <f t="shared" si="0"/>
        <v>1663969360554</v>
      </c>
      <c r="J17" s="2620"/>
      <c r="K17" s="2620"/>
      <c r="L17" s="2620"/>
      <c r="M17" s="276"/>
      <c r="N17" s="2620">
        <f>'يادداشت 15سایر درآمد ها و انتقا'!O19-'يادداشت 15سایر درآمد ها و انتقا'!N19</f>
        <v>13717000000</v>
      </c>
      <c r="O17" s="2620">
        <f>'يادداشت 15سایر درآمد ها و انتقا'!W19-'يادداشت 15سایر درآمد ها و انتقا'!V19</f>
        <v>0</v>
      </c>
      <c r="P17" s="276"/>
      <c r="Q17" s="301"/>
      <c r="R17" s="2620"/>
      <c r="S17" s="2620"/>
      <c r="T17" s="2620">
        <f>-'حفظ قدرت خرید'!P12-'حفظ قدرت خرید'!V12</f>
        <v>-3332000000</v>
      </c>
      <c r="U17" s="2620">
        <f>-'حفظ قدرت خرید'!V12</f>
        <v>2283000000</v>
      </c>
      <c r="V17" s="2620">
        <f>-'حفظ قدرت خرید'!L12</f>
        <v>14269000000</v>
      </c>
      <c r="W17" s="2620">
        <f>-'ياد 15  سايرهزينه '!P15</f>
        <v>-702000000</v>
      </c>
      <c r="X17" s="276"/>
      <c r="Y17" s="276" t="e">
        <f>#N/A</f>
        <v>#N/A</v>
      </c>
      <c r="Z17" s="276" t="e">
        <f>#N/A</f>
        <v>#N/A</v>
      </c>
      <c r="AA17" s="276"/>
      <c r="AB17" s="2620">
        <f t="shared" si="1"/>
        <v>1690204360554</v>
      </c>
    </row>
    <row r="18" spans="2:28" s="2616" customFormat="1" ht="21" customHeight="1" x14ac:dyDescent="0.2">
      <c r="B18" s="2617"/>
      <c r="C18" s="1691">
        <v>1503002067</v>
      </c>
      <c r="D18" s="2618" t="s">
        <v>86</v>
      </c>
      <c r="E18" s="2609">
        <v>188925865463</v>
      </c>
      <c r="F18" s="2623">
        <v>500000000</v>
      </c>
      <c r="G18" s="2620">
        <v>117447000000</v>
      </c>
      <c r="H18" s="2620"/>
      <c r="I18" s="2620">
        <f t="shared" si="0"/>
        <v>188925865463</v>
      </c>
      <c r="J18" s="2620"/>
      <c r="K18" s="2620"/>
      <c r="L18" s="276"/>
      <c r="M18" s="2620"/>
      <c r="N18" s="2620">
        <f>'يادداشت 15سایر درآمد ها و انتقا'!O20-'يادداشت 15سایر درآمد ها و انتقا'!N20</f>
        <v>2348000000</v>
      </c>
      <c r="O18" s="2620">
        <f>'يادداشت 15سایر درآمد ها و انتقا'!W20</f>
        <v>8558000000</v>
      </c>
      <c r="P18" s="276"/>
      <c r="Q18" s="301"/>
      <c r="R18" s="2620"/>
      <c r="S18" s="2620"/>
      <c r="T18" s="2620">
        <f>-'حفظ قدرت خرید'!P14-'حفظ قدرت خرید'!V14</f>
        <v>-374000000</v>
      </c>
      <c r="U18" s="2620">
        <f>-'حفظ قدرت خرید'!V14</f>
        <v>112000000</v>
      </c>
      <c r="V18" s="2620"/>
      <c r="W18" s="2620"/>
      <c r="X18" s="276"/>
      <c r="Y18" s="276" t="e">
        <f>#N/A</f>
        <v>#N/A</v>
      </c>
      <c r="Z18" s="276" t="e">
        <f>#N/A</f>
        <v>#N/A</v>
      </c>
      <c r="AA18" s="276"/>
      <c r="AB18" s="2620">
        <f t="shared" si="1"/>
        <v>199569865463</v>
      </c>
    </row>
    <row r="19" spans="2:28" s="2616" customFormat="1" ht="21" customHeight="1" x14ac:dyDescent="0.2">
      <c r="B19" s="2617"/>
      <c r="C19" s="1691">
        <v>1307006001</v>
      </c>
      <c r="D19" s="2618" t="s">
        <v>87</v>
      </c>
      <c r="E19" s="2609">
        <v>689490325925</v>
      </c>
      <c r="F19" s="2619">
        <v>0</v>
      </c>
      <c r="G19" s="2620">
        <v>451827000000</v>
      </c>
      <c r="H19" s="2620"/>
      <c r="I19" s="2620">
        <f t="shared" si="0"/>
        <v>689490325925</v>
      </c>
      <c r="J19" s="2620"/>
      <c r="K19" s="2620"/>
      <c r="L19" s="276"/>
      <c r="M19" s="276"/>
      <c r="N19" s="2620">
        <f>'يادداشت 15سایر درآمد ها و انتقا'!O21-'يادداشت 15سایر درآمد ها و انتقا'!N21</f>
        <v>558523000000</v>
      </c>
      <c r="O19" s="2620">
        <f>'يادداشت 15سایر درآمد ها و انتقا'!W21</f>
        <v>70000000000</v>
      </c>
      <c r="P19" s="276"/>
      <c r="Q19" s="2620"/>
      <c r="R19" s="2620"/>
      <c r="S19" s="2620"/>
      <c r="T19" s="2620">
        <f>-'حفظ قدرت خرید'!P15-'حفظ قدرت خرید'!V15</f>
        <v>-108614000000</v>
      </c>
      <c r="U19" s="2620">
        <f>-'حفظ قدرت خرید'!V15</f>
        <v>56963000000</v>
      </c>
      <c r="V19" s="2620">
        <f>-'حفظ قدرت خرید'!L15</f>
        <v>1779000000</v>
      </c>
      <c r="W19" s="2620"/>
      <c r="X19" s="276"/>
      <c r="Y19" s="276" t="e">
        <f>#N/A</f>
        <v>#N/A</v>
      </c>
      <c r="Z19" s="276" t="e">
        <f>#N/A</f>
        <v>#N/A</v>
      </c>
      <c r="AA19" s="276"/>
      <c r="AB19" s="2620">
        <f t="shared" si="1"/>
        <v>1268141325925</v>
      </c>
    </row>
    <row r="20" spans="2:28" s="2616" customFormat="1" ht="21" customHeight="1" x14ac:dyDescent="0.2">
      <c r="B20" s="2617"/>
      <c r="C20" s="2622">
        <v>1503003007</v>
      </c>
      <c r="D20" s="2626" t="s">
        <v>427</v>
      </c>
      <c r="E20" s="2613">
        <f>4000000000+76014447626</f>
        <v>80014447626</v>
      </c>
      <c r="F20" s="2623">
        <v>0</v>
      </c>
      <c r="G20" s="2620">
        <v>23157000000</v>
      </c>
      <c r="H20" s="2620"/>
      <c r="I20" s="2620">
        <f t="shared" si="0"/>
        <v>80014447626</v>
      </c>
      <c r="J20" s="2620">
        <v>9000000000</v>
      </c>
      <c r="K20" s="2620"/>
      <c r="L20" s="276"/>
      <c r="M20" s="2620"/>
      <c r="N20" s="2627">
        <f>'يادداشت 15سایر درآمد ها و انتقا'!O26-'يادداشت 15سایر درآمد ها و انتقا'!N26</f>
        <v>4381000000</v>
      </c>
      <c r="O20" s="2620"/>
      <c r="P20" s="276"/>
      <c r="Q20" s="2620"/>
      <c r="R20" s="2620"/>
      <c r="S20" s="2620"/>
      <c r="T20" s="2620">
        <f>-'حفظ قدرت خرید'!P19-'حفظ قدرت خرید'!V19</f>
        <v>-1064000000</v>
      </c>
      <c r="U20" s="2620">
        <f>-'حفظ قدرت خرید'!V19</f>
        <v>619000000</v>
      </c>
      <c r="V20" s="2620"/>
      <c r="W20" s="2628"/>
      <c r="X20" s="276"/>
      <c r="Y20" s="2620" t="e">
        <f>#N/A</f>
        <v>#N/A</v>
      </c>
      <c r="Z20" s="276" t="e">
        <f>#N/A</f>
        <v>#N/A</v>
      </c>
      <c r="AA20" s="276"/>
      <c r="AB20" s="2620">
        <f t="shared" si="1"/>
        <v>83950447626</v>
      </c>
    </row>
    <row r="21" spans="2:28" s="2616" customFormat="1" ht="21" customHeight="1" x14ac:dyDescent="0.2">
      <c r="B21" s="2617"/>
      <c r="C21" s="2622">
        <v>1502001005</v>
      </c>
      <c r="D21" s="2626" t="s">
        <v>428</v>
      </c>
      <c r="E21" s="2613">
        <f>837655000000</f>
        <v>837655000000</v>
      </c>
      <c r="F21" s="2623">
        <v>0</v>
      </c>
      <c r="G21" s="2620">
        <v>237702000000</v>
      </c>
      <c r="H21" s="2620"/>
      <c r="I21" s="2620">
        <f t="shared" si="0"/>
        <v>837655000000</v>
      </c>
      <c r="J21" s="2620">
        <v>90000000000</v>
      </c>
      <c r="K21" s="2620">
        <v>13798000000</v>
      </c>
      <c r="L21" s="276"/>
      <c r="M21" s="2620"/>
      <c r="N21" s="2627">
        <f>'يادداشت 15سایر درآمد ها و انتقا'!O25-'يادداشت 15سایر درآمد ها و انتقا'!N25</f>
        <v>95768000000</v>
      </c>
      <c r="O21" s="2620"/>
      <c r="P21" s="276"/>
      <c r="Q21" s="2620"/>
      <c r="R21" s="301"/>
      <c r="S21" s="2620"/>
      <c r="T21" s="2620">
        <f>-'حفظ قدرت خرید'!P18-'حفظ قدرت خرید'!V18</f>
        <v>-22215000000</v>
      </c>
      <c r="U21" s="2620">
        <f>-'حفظ قدرت خرید'!V18</f>
        <v>8032000000</v>
      </c>
      <c r="V21" s="2620">
        <f>-'حفظ قدرت خرید'!L18</f>
        <v>5024000000</v>
      </c>
      <c r="W21" s="2628"/>
      <c r="X21" s="287"/>
      <c r="Y21" s="2620" t="e">
        <f>#N/A</f>
        <v>#N/A</v>
      </c>
      <c r="Z21" s="276" t="e">
        <f>#N/A</f>
        <v>#N/A</v>
      </c>
      <c r="AA21" s="276"/>
      <c r="AB21" s="2620">
        <f t="shared" si="1"/>
        <v>924264000000</v>
      </c>
    </row>
    <row r="22" spans="2:28" s="2616" customFormat="1" ht="21" customHeight="1" x14ac:dyDescent="0.2">
      <c r="B22" s="2617"/>
      <c r="C22" s="2622">
        <v>1503003008</v>
      </c>
      <c r="D22" s="2618" t="s">
        <v>129</v>
      </c>
      <c r="E22" s="2629">
        <f>1387500000+20541000000</f>
        <v>21928500000</v>
      </c>
      <c r="F22" s="220">
        <v>0</v>
      </c>
      <c r="G22" s="279">
        <v>8388000000</v>
      </c>
      <c r="H22" s="279"/>
      <c r="I22" s="2620">
        <f t="shared" si="0"/>
        <v>21928500000</v>
      </c>
      <c r="J22" s="247">
        <v>2500000000</v>
      </c>
      <c r="K22" s="247">
        <v>434000000</v>
      </c>
      <c r="L22" s="281"/>
      <c r="M22" s="2630"/>
      <c r="N22" s="2630">
        <f>'يادداشت 15سایر درآمد ها و انتقا'!O28-'يادداشت 15سایر درآمد ها و انتقا'!N28</f>
        <v>1342000000</v>
      </c>
      <c r="O22" s="2630">
        <f>'يادداشت 15سایر درآمد ها و انتقا'!W28</f>
        <v>5000000000</v>
      </c>
      <c r="P22" s="280"/>
      <c r="Q22" s="2630"/>
      <c r="R22" s="2630"/>
      <c r="S22" s="2631"/>
      <c r="T22" s="257">
        <f>-'حفظ قدرت خرید'!P21-'حفظ قدرت خرید'!V21</f>
        <v>-326000000</v>
      </c>
      <c r="U22" s="257">
        <f>-'حفظ قدرت خرید'!V21</f>
        <v>158000000</v>
      </c>
      <c r="V22" s="2620">
        <f>-'حفظ قدرت خرید'!L21</f>
        <v>158000000</v>
      </c>
      <c r="W22" s="2620"/>
      <c r="X22" s="276"/>
      <c r="Y22" s="2620" t="e">
        <f>#N/A</f>
        <v>#N/A</v>
      </c>
      <c r="Z22" s="276" t="e">
        <f>#N/A</f>
        <v>#N/A</v>
      </c>
      <c r="AA22" s="276"/>
      <c r="AB22" s="2620">
        <f t="shared" si="1"/>
        <v>28260500000</v>
      </c>
    </row>
    <row r="23" spans="2:28" s="2616" customFormat="1" ht="21" customHeight="1" x14ac:dyDescent="0.2">
      <c r="B23" s="2617"/>
      <c r="C23" s="2632" t="s">
        <v>608</v>
      </c>
      <c r="D23" s="2633" t="s">
        <v>595</v>
      </c>
      <c r="E23" s="2623">
        <f>10634004693210-E554</f>
        <v>7458935693210</v>
      </c>
      <c r="F23" s="257"/>
      <c r="G23" s="277"/>
      <c r="H23" s="277"/>
      <c r="I23" s="2620">
        <f t="shared" si="0"/>
        <v>7458935693210</v>
      </c>
      <c r="J23" s="278">
        <v>100000000000</v>
      </c>
      <c r="K23" s="277">
        <v>31963000000</v>
      </c>
      <c r="L23" s="2620"/>
      <c r="M23" s="596"/>
      <c r="N23" s="2620">
        <f>'يادداشت 15سایر درآمد ها و انتقا'!O27-'يادداشت 15سایر درآمد ها و انتقا'!N27</f>
        <v>493671000000</v>
      </c>
      <c r="O23" s="2620">
        <f>'يادداشت 15سایر درآمد ها و انتقا'!W27-'يادداشت 15سایر درآمد ها و انتقا'!V27</f>
        <v>862400000000</v>
      </c>
      <c r="P23" s="2620"/>
      <c r="Q23" s="2634"/>
      <c r="R23" s="2620"/>
      <c r="S23" s="2620"/>
      <c r="T23" s="257">
        <f>-'حفظ قدرت خرید'!P17-'حفظ قدرت خرید'!V17</f>
        <v>-116525000000</v>
      </c>
      <c r="U23" s="277">
        <f>-'حفظ قدرت خرید'!V17</f>
        <v>73705000000</v>
      </c>
      <c r="V23" s="2620">
        <f>-'حفظ قدرت خرید'!L17</f>
        <v>77810000000</v>
      </c>
      <c r="W23" s="2620">
        <f>-'ياد 15  سايرهزينه '!P23</f>
        <v>-7958000000</v>
      </c>
      <c r="X23" s="276"/>
      <c r="Y23" s="2620"/>
      <c r="Z23" s="276"/>
      <c r="AA23" s="276"/>
      <c r="AB23" s="2620">
        <f t="shared" si="1"/>
        <v>8842038693210</v>
      </c>
    </row>
    <row r="24" spans="2:28" s="2616" customFormat="1" ht="21" customHeight="1" x14ac:dyDescent="0.2">
      <c r="B24" s="2617"/>
      <c r="C24" s="2622">
        <v>1307006002</v>
      </c>
      <c r="D24" s="2618" t="s">
        <v>88</v>
      </c>
      <c r="E24" s="2629">
        <v>24239000000</v>
      </c>
      <c r="F24" s="220">
        <v>0</v>
      </c>
      <c r="G24" s="279">
        <v>15338000000</v>
      </c>
      <c r="H24" s="279"/>
      <c r="I24" s="2620">
        <f t="shared" si="0"/>
        <v>24239000000</v>
      </c>
      <c r="J24" s="247"/>
      <c r="K24" s="247"/>
      <c r="L24" s="279"/>
      <c r="M24" s="2630"/>
      <c r="N24" s="2630"/>
      <c r="O24" s="2630"/>
      <c r="P24" s="280"/>
      <c r="Q24" s="2630"/>
      <c r="R24" s="2630"/>
      <c r="S24" s="2631"/>
      <c r="T24" s="257"/>
      <c r="U24" s="257"/>
      <c r="V24" s="2620"/>
      <c r="W24" s="2620"/>
      <c r="X24" s="276"/>
      <c r="Y24" s="2620" t="e">
        <f>#N/A</f>
        <v>#N/A</v>
      </c>
      <c r="Z24" s="276" t="e">
        <f>#N/A</f>
        <v>#N/A</v>
      </c>
      <c r="AA24" s="276"/>
      <c r="AB24" s="2620">
        <f t="shared" si="1"/>
        <v>24239000000</v>
      </c>
    </row>
    <row r="25" spans="2:28" s="2616" customFormat="1" ht="21" customHeight="1" x14ac:dyDescent="0.2">
      <c r="B25" s="2617"/>
      <c r="C25" s="2632" t="s">
        <v>610</v>
      </c>
      <c r="D25" s="2633" t="s">
        <v>596</v>
      </c>
      <c r="E25" s="2623">
        <f>349344356486-E514</f>
        <v>309344356486</v>
      </c>
      <c r="F25" s="257"/>
      <c r="G25" s="277"/>
      <c r="H25" s="277"/>
      <c r="I25" s="2620">
        <f t="shared" si="0"/>
        <v>309344356486</v>
      </c>
      <c r="J25" s="277">
        <v>20000000000</v>
      </c>
      <c r="K25" s="277">
        <v>1452000000</v>
      </c>
      <c r="L25" s="2620"/>
      <c r="M25" s="596"/>
      <c r="N25" s="2620"/>
      <c r="O25" s="2620"/>
      <c r="P25" s="2635"/>
      <c r="Q25" s="2634"/>
      <c r="R25" s="2620"/>
      <c r="S25" s="2620"/>
      <c r="T25" s="257"/>
      <c r="U25" s="277"/>
      <c r="V25" s="2620">
        <f>-'حفظ قدرت خرید'!L20</f>
        <v>529000000</v>
      </c>
      <c r="W25" s="2620">
        <f>-'ياد 15  سايرهزينه '!P25</f>
        <v>-58000000</v>
      </c>
      <c r="X25" s="276"/>
      <c r="Y25" s="2620"/>
      <c r="Z25" s="276"/>
      <c r="AA25" s="276"/>
      <c r="AB25" s="2620">
        <f t="shared" si="1"/>
        <v>309815356486</v>
      </c>
    </row>
    <row r="26" spans="2:28" s="2616" customFormat="1" ht="21" customHeight="1" x14ac:dyDescent="0.45">
      <c r="B26" s="2617"/>
      <c r="C26" s="741" t="s">
        <v>1330</v>
      </c>
      <c r="D26" s="2636" t="s">
        <v>1329</v>
      </c>
      <c r="E26" s="2637">
        <v>3141348555570</v>
      </c>
      <c r="F26" s="2638"/>
      <c r="G26" s="2639"/>
      <c r="H26" s="302"/>
      <c r="I26" s="2620">
        <f t="shared" si="0"/>
        <v>3141348555570</v>
      </c>
      <c r="J26" s="2623"/>
      <c r="K26" s="2623"/>
      <c r="L26" s="266"/>
      <c r="M26" s="266"/>
      <c r="N26" s="266"/>
      <c r="O26" s="266"/>
      <c r="P26" s="266"/>
      <c r="Q26" s="266"/>
      <c r="R26" s="351"/>
      <c r="S26" s="266"/>
      <c r="T26" s="302"/>
      <c r="U26" s="302"/>
      <c r="V26" s="266">
        <f>-'حفظ قدرت خرید'!L22</f>
        <v>266462000000</v>
      </c>
      <c r="W26" s="266">
        <f>-'ياد 15  سايرهزينه '!P39</f>
        <v>-11432000000</v>
      </c>
      <c r="X26" s="266"/>
      <c r="Y26" s="266"/>
      <c r="Z26" s="266"/>
      <c r="AA26" s="266"/>
      <c r="AB26" s="2620">
        <f t="shared" si="1"/>
        <v>3396378555570</v>
      </c>
    </row>
    <row r="27" spans="2:28" s="2616" customFormat="1" ht="21" customHeight="1" x14ac:dyDescent="0.2">
      <c r="B27" s="2617"/>
      <c r="C27" s="2640" t="s">
        <v>2143</v>
      </c>
      <c r="D27" s="2641" t="s">
        <v>2142</v>
      </c>
      <c r="E27" s="2623"/>
      <c r="F27" s="2642"/>
      <c r="G27" s="1655"/>
      <c r="H27" s="302"/>
      <c r="I27" s="2620">
        <f t="shared" si="0"/>
        <v>0</v>
      </c>
      <c r="J27" s="266"/>
      <c r="K27" s="266"/>
      <c r="L27" s="2643"/>
      <c r="M27" s="266"/>
      <c r="N27" s="266">
        <f>'يادداشت 15سایر درآمد ها و انتقا'!O29-'يادداشت 15سایر درآمد ها و انتقا'!N29</f>
        <v>77076000000</v>
      </c>
      <c r="O27" s="266">
        <f>'يادداشت 15سایر درآمد ها و انتقا'!W29</f>
        <v>0</v>
      </c>
      <c r="P27" s="266"/>
      <c r="Q27" s="266"/>
      <c r="R27" s="351"/>
      <c r="S27" s="266"/>
      <c r="T27" s="302">
        <f>-'حفظ قدرت خرید'!P23-'حفظ قدرت خرید'!V23</f>
        <v>-12758000000</v>
      </c>
      <c r="U27" s="302">
        <f>-'حفظ قدرت خرید'!V23</f>
        <v>7924000000</v>
      </c>
      <c r="V27" s="266"/>
      <c r="W27" s="266">
        <f>-'ياد 15  سايرهزينه '!P40</f>
        <v>-2909000000</v>
      </c>
      <c r="X27" s="266"/>
      <c r="Y27" s="266"/>
      <c r="Z27" s="266"/>
      <c r="AA27" s="266"/>
      <c r="AB27" s="2620">
        <f t="shared" si="1"/>
        <v>69333000000</v>
      </c>
    </row>
    <row r="28" spans="2:28" s="2616" customFormat="1" ht="21" customHeight="1" x14ac:dyDescent="0.45">
      <c r="B28" s="2617"/>
      <c r="C28" s="2644" t="s">
        <v>2041</v>
      </c>
      <c r="D28" s="2645" t="s">
        <v>2040</v>
      </c>
      <c r="E28" s="2623"/>
      <c r="F28" s="2642"/>
      <c r="G28" s="1655"/>
      <c r="H28" s="302"/>
      <c r="I28" s="2620">
        <f t="shared" si="0"/>
        <v>0</v>
      </c>
      <c r="J28" s="266"/>
      <c r="K28" s="266"/>
      <c r="L28" s="2643"/>
      <c r="M28" s="266"/>
      <c r="N28" s="266"/>
      <c r="O28" s="266">
        <f>'يادداشت 15سایر درآمد ها و انتقا'!W23</f>
        <v>1080000000000</v>
      </c>
      <c r="P28" s="266"/>
      <c r="Q28" s="266"/>
      <c r="R28" s="351"/>
      <c r="S28" s="266"/>
      <c r="T28" s="302"/>
      <c r="U28" s="302"/>
      <c r="V28" s="266"/>
      <c r="W28" s="266"/>
      <c r="X28" s="266"/>
      <c r="Y28" s="266"/>
      <c r="Z28" s="266"/>
      <c r="AA28" s="266"/>
      <c r="AB28" s="2620">
        <f t="shared" si="1"/>
        <v>1080000000000</v>
      </c>
    </row>
    <row r="29" spans="2:28" s="2616" customFormat="1" ht="21" customHeight="1" x14ac:dyDescent="0.2">
      <c r="B29" s="4144" t="s">
        <v>180</v>
      </c>
      <c r="C29" s="326" t="s">
        <v>66</v>
      </c>
      <c r="D29" s="2646" t="s">
        <v>67</v>
      </c>
      <c r="E29" s="2609">
        <v>35514675318</v>
      </c>
      <c r="F29" s="2623">
        <v>0</v>
      </c>
      <c r="G29" s="2620">
        <v>10202000000</v>
      </c>
      <c r="H29" s="2620"/>
      <c r="I29" s="2620">
        <f t="shared" si="0"/>
        <v>35514675318</v>
      </c>
      <c r="J29" s="2620"/>
      <c r="K29" s="2620"/>
      <c r="L29" s="276"/>
      <c r="M29" s="2620"/>
      <c r="N29" s="2620">
        <f>J29+L29+M29+K29</f>
        <v>0</v>
      </c>
      <c r="O29" s="2620"/>
      <c r="P29" s="276"/>
      <c r="Q29" s="2620"/>
      <c r="R29" s="2620"/>
      <c r="S29" s="2620"/>
      <c r="T29" s="2620"/>
      <c r="U29" s="2620"/>
      <c r="V29" s="2620"/>
      <c r="W29" s="2620"/>
      <c r="X29" s="276"/>
      <c r="Y29" s="276" t="e">
        <f>AB29-Z29</f>
        <v>#N/A</v>
      </c>
      <c r="Z29" s="276" t="e">
        <f>#N/A</f>
        <v>#N/A</v>
      </c>
      <c r="AA29" s="276"/>
      <c r="AB29" s="2620">
        <f t="shared" si="1"/>
        <v>35514675318</v>
      </c>
    </row>
    <row r="30" spans="2:28" s="2616" customFormat="1" ht="21" customHeight="1" x14ac:dyDescent="0.2">
      <c r="B30" s="4125"/>
      <c r="C30" s="1691" t="s">
        <v>68</v>
      </c>
      <c r="D30" s="2618" t="s">
        <v>70</v>
      </c>
      <c r="E30" s="2609">
        <v>481517078932</v>
      </c>
      <c r="F30" s="2623">
        <v>2493728000</v>
      </c>
      <c r="G30" s="2620">
        <v>431328000000</v>
      </c>
      <c r="H30" s="2620"/>
      <c r="I30" s="2620">
        <f t="shared" si="0"/>
        <v>481517078932</v>
      </c>
      <c r="J30" s="2620"/>
      <c r="K30" s="2620"/>
      <c r="L30" s="276"/>
      <c r="M30" s="276"/>
      <c r="N30" s="2620"/>
      <c r="O30" s="2620"/>
      <c r="P30" s="276"/>
      <c r="Q30" s="301"/>
      <c r="R30" s="2620"/>
      <c r="S30" s="2620"/>
      <c r="T30" s="2620"/>
      <c r="U30" s="2620"/>
      <c r="V30" s="2620"/>
      <c r="W30" s="2620"/>
      <c r="X30" s="276"/>
      <c r="Y30" s="276" t="e">
        <f>#N/A</f>
        <v>#N/A</v>
      </c>
      <c r="Z30" s="276" t="e">
        <f>#N/A</f>
        <v>#N/A</v>
      </c>
      <c r="AA30" s="276"/>
      <c r="AB30" s="2620">
        <f t="shared" si="1"/>
        <v>481517078932</v>
      </c>
    </row>
    <row r="31" spans="2:28" s="2616" customFormat="1" ht="21" customHeight="1" x14ac:dyDescent="0.2">
      <c r="B31" s="4125"/>
      <c r="C31" s="1691" t="s">
        <v>161</v>
      </c>
      <c r="D31" s="2618" t="s">
        <v>202</v>
      </c>
      <c r="E31" s="2609">
        <f>1068000000+1500000000</f>
        <v>2568000000</v>
      </c>
      <c r="F31" s="2623">
        <v>0</v>
      </c>
      <c r="G31" s="2620">
        <v>2568000000</v>
      </c>
      <c r="H31" s="2620"/>
      <c r="I31" s="2620">
        <f t="shared" si="0"/>
        <v>2568000000</v>
      </c>
      <c r="J31" s="2620"/>
      <c r="K31" s="2620"/>
      <c r="L31" s="276"/>
      <c r="M31" s="2620"/>
      <c r="N31" s="2620"/>
      <c r="O31" s="2620"/>
      <c r="P31" s="276"/>
      <c r="Q31" s="2620"/>
      <c r="R31" s="2620"/>
      <c r="S31" s="2620"/>
      <c r="T31" s="2620"/>
      <c r="U31" s="2620"/>
      <c r="V31" s="2620"/>
      <c r="W31" s="2620"/>
      <c r="X31" s="276"/>
      <c r="Y31" s="276" t="e">
        <f>#N/A</f>
        <v>#N/A</v>
      </c>
      <c r="Z31" s="276" t="e">
        <f>#N/A</f>
        <v>#N/A</v>
      </c>
      <c r="AA31" s="276"/>
      <c r="AB31" s="2620">
        <f t="shared" si="1"/>
        <v>2568000000</v>
      </c>
    </row>
    <row r="32" spans="2:28" s="2616" customFormat="1" ht="21" customHeight="1" x14ac:dyDescent="0.2">
      <c r="B32" s="4125"/>
      <c r="C32" s="2647" t="s">
        <v>424</v>
      </c>
      <c r="D32" s="2648" t="s">
        <v>70</v>
      </c>
      <c r="E32" s="2609">
        <v>16327603600</v>
      </c>
      <c r="F32" s="266">
        <v>0</v>
      </c>
      <c r="G32" s="277">
        <v>15970000000</v>
      </c>
      <c r="H32" s="277"/>
      <c r="I32" s="2620">
        <f t="shared" si="0"/>
        <v>16327603600</v>
      </c>
      <c r="J32" s="277"/>
      <c r="K32" s="277"/>
      <c r="L32" s="276"/>
      <c r="M32" s="2620"/>
      <c r="N32" s="2620"/>
      <c r="O32" s="2620"/>
      <c r="P32" s="276"/>
      <c r="Q32" s="2620"/>
      <c r="R32" s="2620"/>
      <c r="S32" s="2620"/>
      <c r="T32" s="2620"/>
      <c r="U32" s="277"/>
      <c r="V32" s="2620"/>
      <c r="W32" s="2620"/>
      <c r="X32" s="276"/>
      <c r="Y32" s="276" t="e">
        <f>#N/A</f>
        <v>#N/A</v>
      </c>
      <c r="Z32" s="276" t="e">
        <f>#N/A</f>
        <v>#N/A</v>
      </c>
      <c r="AA32" s="276"/>
      <c r="AB32" s="2620">
        <f t="shared" si="1"/>
        <v>16327603600</v>
      </c>
    </row>
    <row r="33" spans="2:30" s="2616" customFormat="1" ht="21" customHeight="1" x14ac:dyDescent="0.2">
      <c r="B33" s="4125"/>
      <c r="C33" s="1691" t="s">
        <v>73</v>
      </c>
      <c r="D33" s="2618" t="s">
        <v>74</v>
      </c>
      <c r="E33" s="2609">
        <v>60000000000</v>
      </c>
      <c r="F33" s="2623">
        <v>0</v>
      </c>
      <c r="G33" s="2620">
        <v>60000000000</v>
      </c>
      <c r="H33" s="2620"/>
      <c r="I33" s="2620">
        <f t="shared" si="0"/>
        <v>60000000000</v>
      </c>
      <c r="J33" s="2620"/>
      <c r="K33" s="2620"/>
      <c r="L33" s="276"/>
      <c r="M33" s="2620"/>
      <c r="N33" s="2620"/>
      <c r="O33" s="2620"/>
      <c r="P33" s="276"/>
      <c r="Q33" s="2620"/>
      <c r="R33" s="2620"/>
      <c r="S33" s="2620"/>
      <c r="T33" s="2620"/>
      <c r="U33" s="2620"/>
      <c r="V33" s="2620"/>
      <c r="W33" s="2620"/>
      <c r="X33" s="276"/>
      <c r="Y33" s="276" t="e">
        <f>#N/A</f>
        <v>#N/A</v>
      </c>
      <c r="Z33" s="276" t="e">
        <f>#N/A</f>
        <v>#N/A</v>
      </c>
      <c r="AA33" s="276"/>
      <c r="AB33" s="2620">
        <f t="shared" si="1"/>
        <v>60000000000</v>
      </c>
    </row>
    <row r="34" spans="2:30" s="2616" customFormat="1" ht="21" customHeight="1" x14ac:dyDescent="0.2">
      <c r="B34" s="4125"/>
      <c r="C34" s="1691" t="s">
        <v>344</v>
      </c>
      <c r="D34" s="2618" t="s">
        <v>345</v>
      </c>
      <c r="E34" s="2609">
        <v>8000000000</v>
      </c>
      <c r="F34" s="2623">
        <v>0</v>
      </c>
      <c r="G34" s="2620">
        <v>8000000000</v>
      </c>
      <c r="H34" s="2620"/>
      <c r="I34" s="2620">
        <f t="shared" si="0"/>
        <v>8000000000</v>
      </c>
      <c r="J34" s="2620"/>
      <c r="K34" s="2620"/>
      <c r="L34" s="276"/>
      <c r="M34" s="2620"/>
      <c r="N34" s="2620"/>
      <c r="O34" s="2620"/>
      <c r="P34" s="276"/>
      <c r="Q34" s="2620"/>
      <c r="R34" s="2620"/>
      <c r="S34" s="2620"/>
      <c r="T34" s="2620"/>
      <c r="U34" s="2620"/>
      <c r="V34" s="2620"/>
      <c r="W34" s="2620"/>
      <c r="X34" s="276"/>
      <c r="Y34" s="276" t="e">
        <f>#N/A</f>
        <v>#N/A</v>
      </c>
      <c r="Z34" s="276" t="e">
        <f>#N/A</f>
        <v>#N/A</v>
      </c>
      <c r="AA34" s="276"/>
      <c r="AB34" s="2620">
        <f t="shared" si="1"/>
        <v>8000000000</v>
      </c>
    </row>
    <row r="35" spans="2:30" s="2616" customFormat="1" ht="21" customHeight="1" x14ac:dyDescent="0.2">
      <c r="B35" s="4125"/>
      <c r="C35" s="1691" t="s">
        <v>204</v>
      </c>
      <c r="D35" s="2618" t="s">
        <v>205</v>
      </c>
      <c r="E35" s="2609">
        <v>13440000000</v>
      </c>
      <c r="F35" s="2623">
        <v>0</v>
      </c>
      <c r="G35" s="2620">
        <v>13440000000</v>
      </c>
      <c r="H35" s="2620"/>
      <c r="I35" s="2620">
        <f t="shared" si="0"/>
        <v>13440000000</v>
      </c>
      <c r="J35" s="2620"/>
      <c r="K35" s="2620"/>
      <c r="L35" s="276"/>
      <c r="M35" s="2620"/>
      <c r="N35" s="2620"/>
      <c r="O35" s="2620"/>
      <c r="P35" s="276"/>
      <c r="Q35" s="2620"/>
      <c r="R35" s="2620"/>
      <c r="S35" s="2620"/>
      <c r="T35" s="2620"/>
      <c r="U35" s="2620"/>
      <c r="V35" s="2620"/>
      <c r="W35" s="2620"/>
      <c r="X35" s="276"/>
      <c r="Y35" s="276" t="e">
        <f>#N/A</f>
        <v>#N/A</v>
      </c>
      <c r="Z35" s="276" t="e">
        <f>#REF!+#REF!</f>
        <v>#REF!</v>
      </c>
      <c r="AA35" s="276"/>
      <c r="AB35" s="2620">
        <f t="shared" si="1"/>
        <v>13440000000</v>
      </c>
    </row>
    <row r="36" spans="2:30" s="2616" customFormat="1" ht="21" customHeight="1" x14ac:dyDescent="0.2">
      <c r="B36" s="4125"/>
      <c r="C36" s="1691" t="s">
        <v>89</v>
      </c>
      <c r="D36" s="2618" t="s">
        <v>255</v>
      </c>
      <c r="E36" s="2609">
        <v>131976000000</v>
      </c>
      <c r="F36" s="2623">
        <v>0</v>
      </c>
      <c r="G36" s="2620">
        <v>20000000000</v>
      </c>
      <c r="H36" s="2620"/>
      <c r="I36" s="2620">
        <f t="shared" si="0"/>
        <v>131976000000</v>
      </c>
      <c r="J36" s="2620"/>
      <c r="K36" s="2620"/>
      <c r="L36" s="276"/>
      <c r="M36" s="2620"/>
      <c r="N36" s="2620"/>
      <c r="O36" s="2620"/>
      <c r="P36" s="276"/>
      <c r="Q36" s="2620"/>
      <c r="R36" s="2620"/>
      <c r="S36" s="2620"/>
      <c r="T36" s="2620"/>
      <c r="U36" s="2620"/>
      <c r="V36" s="2620"/>
      <c r="W36" s="2620"/>
      <c r="X36" s="2620"/>
      <c r="Y36" s="276" t="e">
        <f>#N/A</f>
        <v>#N/A</v>
      </c>
      <c r="Z36" s="276" t="e">
        <f>#N/A</f>
        <v>#N/A</v>
      </c>
      <c r="AA36" s="276"/>
      <c r="AB36" s="2620">
        <f t="shared" si="1"/>
        <v>131976000000</v>
      </c>
    </row>
    <row r="37" spans="2:30" s="2616" customFormat="1" ht="21" customHeight="1" x14ac:dyDescent="0.2">
      <c r="B37" s="4125"/>
      <c r="C37" s="1691" t="s">
        <v>90</v>
      </c>
      <c r="D37" s="2618" t="s">
        <v>91</v>
      </c>
      <c r="E37" s="2609">
        <v>46107000000</v>
      </c>
      <c r="F37" s="2623">
        <v>0</v>
      </c>
      <c r="G37" s="2620">
        <v>41893000000</v>
      </c>
      <c r="H37" s="2620"/>
      <c r="I37" s="2620">
        <f t="shared" si="0"/>
        <v>46107000000</v>
      </c>
      <c r="J37" s="2620"/>
      <c r="K37" s="2620"/>
      <c r="L37" s="276"/>
      <c r="M37" s="2620"/>
      <c r="N37" s="2620"/>
      <c r="O37" s="2620"/>
      <c r="P37" s="276"/>
      <c r="Q37" s="2620"/>
      <c r="R37" s="2620"/>
      <c r="S37" s="2620"/>
      <c r="T37" s="2620"/>
      <c r="U37" s="2620"/>
      <c r="V37" s="2620"/>
      <c r="W37" s="2620"/>
      <c r="X37" s="276"/>
      <c r="Y37" s="276" t="e">
        <f>#N/A</f>
        <v>#N/A</v>
      </c>
      <c r="Z37" s="276" t="e">
        <f>#N/A</f>
        <v>#N/A</v>
      </c>
      <c r="AA37" s="276"/>
      <c r="AB37" s="2620">
        <f t="shared" si="1"/>
        <v>46107000000</v>
      </c>
    </row>
    <row r="38" spans="2:30" s="2616" customFormat="1" ht="21" customHeight="1" x14ac:dyDescent="0.2">
      <c r="B38" s="4125"/>
      <c r="C38" s="1691" t="s">
        <v>92</v>
      </c>
      <c r="D38" s="2618" t="s">
        <v>93</v>
      </c>
      <c r="E38" s="2609">
        <v>35153254875</v>
      </c>
      <c r="F38" s="2623">
        <v>0</v>
      </c>
      <c r="G38" s="2620">
        <v>35017000000</v>
      </c>
      <c r="H38" s="2620"/>
      <c r="I38" s="2620">
        <f t="shared" si="0"/>
        <v>35153254875</v>
      </c>
      <c r="J38" s="2620"/>
      <c r="K38" s="2620"/>
      <c r="L38" s="276"/>
      <c r="M38" s="2620"/>
      <c r="N38" s="2620"/>
      <c r="O38" s="2620"/>
      <c r="P38" s="276"/>
      <c r="Q38" s="2620"/>
      <c r="R38" s="2620"/>
      <c r="S38" s="2620"/>
      <c r="T38" s="2620"/>
      <c r="U38" s="2620"/>
      <c r="V38" s="2620"/>
      <c r="W38" s="2620"/>
      <c r="X38" s="276"/>
      <c r="Y38" s="276" t="e">
        <f>#N/A</f>
        <v>#N/A</v>
      </c>
      <c r="Z38" s="276" t="e">
        <f>#N/A</f>
        <v>#N/A</v>
      </c>
      <c r="AA38" s="276"/>
      <c r="AB38" s="2620">
        <f t="shared" si="1"/>
        <v>35153254875</v>
      </c>
    </row>
    <row r="39" spans="2:30" s="2616" customFormat="1" ht="21" customHeight="1" x14ac:dyDescent="0.2">
      <c r="B39" s="4125"/>
      <c r="C39" s="1691" t="s">
        <v>96</v>
      </c>
      <c r="D39" s="2618" t="s">
        <v>97</v>
      </c>
      <c r="E39" s="2609">
        <v>58220401492</v>
      </c>
      <c r="F39" s="2623">
        <v>0</v>
      </c>
      <c r="G39" s="2620">
        <v>39584000000</v>
      </c>
      <c r="H39" s="2620"/>
      <c r="I39" s="2620">
        <f t="shared" si="0"/>
        <v>58220401492</v>
      </c>
      <c r="J39" s="2620"/>
      <c r="K39" s="2620"/>
      <c r="L39" s="276"/>
      <c r="M39" s="2620"/>
      <c r="N39" s="2620"/>
      <c r="O39" s="2620"/>
      <c r="P39" s="276"/>
      <c r="Q39" s="2620"/>
      <c r="R39" s="2620"/>
      <c r="S39" s="2620"/>
      <c r="T39" s="2620"/>
      <c r="U39" s="2620"/>
      <c r="V39" s="2620"/>
      <c r="W39" s="2620"/>
      <c r="X39" s="276"/>
      <c r="Y39" s="276" t="e">
        <f>#N/A</f>
        <v>#N/A</v>
      </c>
      <c r="Z39" s="276" t="e">
        <f>#N/A</f>
        <v>#N/A</v>
      </c>
      <c r="AA39" s="276"/>
      <c r="AB39" s="2620">
        <f t="shared" si="1"/>
        <v>58220401492</v>
      </c>
    </row>
    <row r="40" spans="2:30" s="2616" customFormat="1" ht="21" customHeight="1" x14ac:dyDescent="0.2">
      <c r="B40" s="4125"/>
      <c r="C40" s="1691" t="s">
        <v>98</v>
      </c>
      <c r="D40" s="2618" t="s">
        <v>219</v>
      </c>
      <c r="E40" s="2609">
        <v>62392907181</v>
      </c>
      <c r="F40" s="2619">
        <v>306000000</v>
      </c>
      <c r="G40" s="2620">
        <v>2076000000</v>
      </c>
      <c r="H40" s="2620"/>
      <c r="I40" s="2620">
        <f t="shared" si="0"/>
        <v>62392907181</v>
      </c>
      <c r="J40" s="2620"/>
      <c r="K40" s="2620"/>
      <c r="L40" s="276"/>
      <c r="M40" s="2620"/>
      <c r="N40" s="2620"/>
      <c r="O40" s="2620"/>
      <c r="P40" s="276"/>
      <c r="Q40" s="301"/>
      <c r="R40" s="2620"/>
      <c r="S40" s="2620"/>
      <c r="T40" s="2620"/>
      <c r="U40" s="2620"/>
      <c r="V40" s="2620"/>
      <c r="W40" s="2620"/>
      <c r="X40" s="276"/>
      <c r="Y40" s="276" t="e">
        <f>#N/A</f>
        <v>#N/A</v>
      </c>
      <c r="Z40" s="276" t="e">
        <f>#N/A</f>
        <v>#N/A</v>
      </c>
      <c r="AA40" s="276"/>
      <c r="AB40" s="2620">
        <f t="shared" si="1"/>
        <v>62392907181</v>
      </c>
    </row>
    <row r="41" spans="2:30" s="2616" customFormat="1" ht="21" customHeight="1" x14ac:dyDescent="0.2">
      <c r="B41" s="4125"/>
      <c r="C41" s="1691" t="s">
        <v>99</v>
      </c>
      <c r="D41" s="2618" t="s">
        <v>100</v>
      </c>
      <c r="E41" s="2609">
        <v>21525000000</v>
      </c>
      <c r="F41" s="2623">
        <v>0</v>
      </c>
      <c r="G41" s="2620">
        <v>21525000000</v>
      </c>
      <c r="H41" s="2620"/>
      <c r="I41" s="2620">
        <f t="shared" si="0"/>
        <v>21525000000</v>
      </c>
      <c r="J41" s="2620"/>
      <c r="K41" s="2620"/>
      <c r="L41" s="276"/>
      <c r="M41" s="2620"/>
      <c r="N41" s="2620"/>
      <c r="O41" s="2620"/>
      <c r="P41" s="276"/>
      <c r="Q41" s="2620"/>
      <c r="R41" s="2620"/>
      <c r="S41" s="2620"/>
      <c r="T41" s="2620"/>
      <c r="U41" s="2620"/>
      <c r="V41" s="2620"/>
      <c r="W41" s="2620"/>
      <c r="X41" s="276"/>
      <c r="Y41" s="276" t="e">
        <f>#N/A</f>
        <v>#N/A</v>
      </c>
      <c r="Z41" s="276" t="e">
        <f>#N/A</f>
        <v>#N/A</v>
      </c>
      <c r="AA41" s="276"/>
      <c r="AB41" s="2620">
        <f t="shared" si="1"/>
        <v>21525000000</v>
      </c>
    </row>
    <row r="42" spans="2:30" s="2616" customFormat="1" ht="21" customHeight="1" x14ac:dyDescent="0.2">
      <c r="B42" s="4125"/>
      <c r="C42" s="1691" t="s">
        <v>101</v>
      </c>
      <c r="D42" s="2618" t="s">
        <v>102</v>
      </c>
      <c r="E42" s="2649">
        <v>9755000000</v>
      </c>
      <c r="F42" s="2650">
        <v>0</v>
      </c>
      <c r="G42" s="2627">
        <v>9755000000</v>
      </c>
      <c r="H42" s="2627"/>
      <c r="I42" s="2620">
        <f t="shared" si="0"/>
        <v>9755000000</v>
      </c>
      <c r="J42" s="2627"/>
      <c r="K42" s="2627"/>
      <c r="L42" s="327"/>
      <c r="M42" s="2627"/>
      <c r="N42" s="2627"/>
      <c r="O42" s="2627"/>
      <c r="P42" s="2651"/>
      <c r="Q42" s="2627"/>
      <c r="R42" s="2627"/>
      <c r="S42" s="2652"/>
      <c r="T42" s="2627"/>
      <c r="U42" s="2627"/>
      <c r="V42" s="2627"/>
      <c r="W42" s="2628"/>
      <c r="X42" s="286"/>
      <c r="Y42" s="286" t="e">
        <f>#N/A</f>
        <v>#N/A</v>
      </c>
      <c r="Z42" s="286" t="e">
        <f>#N/A</f>
        <v>#N/A</v>
      </c>
      <c r="AA42" s="746"/>
      <c r="AB42" s="2620">
        <f t="shared" si="1"/>
        <v>9755000000</v>
      </c>
    </row>
    <row r="43" spans="2:30" s="2616" customFormat="1" ht="21" customHeight="1" x14ac:dyDescent="0.2">
      <c r="B43" s="4125"/>
      <c r="C43" s="4112" t="s">
        <v>94</v>
      </c>
      <c r="D43" s="4112"/>
      <c r="E43" s="2623">
        <f>SUM(E12:E42)+1000000</f>
        <v>36353531204185</v>
      </c>
      <c r="F43" s="2623">
        <f t="shared" ref="F43:AA43" si="2">SUM(F12:F42)</f>
        <v>107687728000</v>
      </c>
      <c r="G43" s="2623">
        <f t="shared" si="2"/>
        <v>8730965000000</v>
      </c>
      <c r="H43" s="2623">
        <f t="shared" si="2"/>
        <v>0</v>
      </c>
      <c r="I43" s="2623">
        <f>SUM(I12:I42)+1000000</f>
        <v>36353531204185</v>
      </c>
      <c r="J43" s="2623">
        <f t="shared" si="2"/>
        <v>271500000000</v>
      </c>
      <c r="K43" s="2623">
        <f t="shared" si="2"/>
        <v>232559000000</v>
      </c>
      <c r="L43" s="2623">
        <f t="shared" si="2"/>
        <v>0</v>
      </c>
      <c r="M43" s="2623">
        <f t="shared" si="2"/>
        <v>0</v>
      </c>
      <c r="N43" s="2623">
        <f t="shared" si="2"/>
        <v>1553690000000</v>
      </c>
      <c r="O43" s="2623">
        <f t="shared" si="2"/>
        <v>9801019000000</v>
      </c>
      <c r="P43" s="2623">
        <f t="shared" si="2"/>
        <v>-1582060020</v>
      </c>
      <c r="Q43" s="2623">
        <f t="shared" si="2"/>
        <v>0</v>
      </c>
      <c r="R43" s="2623">
        <f t="shared" si="2"/>
        <v>0</v>
      </c>
      <c r="S43" s="2623">
        <f t="shared" si="2"/>
        <v>0</v>
      </c>
      <c r="T43" s="2623">
        <f t="shared" si="2"/>
        <v>-339521000000</v>
      </c>
      <c r="U43" s="2623">
        <f t="shared" si="2"/>
        <v>200467000000</v>
      </c>
      <c r="V43" s="2623">
        <f t="shared" si="2"/>
        <v>586345980000</v>
      </c>
      <c r="W43" s="2623">
        <f t="shared" si="2"/>
        <v>-172115000000</v>
      </c>
      <c r="X43" s="2623">
        <f t="shared" si="2"/>
        <v>0</v>
      </c>
      <c r="Y43" s="2623" t="e">
        <f t="shared" si="2"/>
        <v>#N/A</v>
      </c>
      <c r="Z43" s="2623" t="e">
        <f t="shared" si="2"/>
        <v>#N/A</v>
      </c>
      <c r="AA43" s="2623">
        <f t="shared" si="2"/>
        <v>0</v>
      </c>
      <c r="AB43" s="2623">
        <f>SUM(AB12:AB42)+1000000</f>
        <v>47981835124165</v>
      </c>
      <c r="AD43" s="2616">
        <f>I43+N43+O43+P43+T43+U43+V43+W43</f>
        <v>47981835124165</v>
      </c>
    </row>
    <row r="44" spans="2:30" s="2616" customFormat="1" ht="21" customHeight="1" x14ac:dyDescent="0.2">
      <c r="B44" s="2653"/>
      <c r="E44" s="2654"/>
      <c r="F44" s="2654"/>
      <c r="G44" s="2654"/>
      <c r="H44" s="2654"/>
      <c r="I44" s="2654"/>
      <c r="J44" s="2654"/>
      <c r="K44" s="2654"/>
      <c r="L44" s="2654"/>
      <c r="M44" s="2654"/>
      <c r="N44" s="2654"/>
      <c r="O44" s="2654"/>
    </row>
    <row r="45" spans="2:30" s="2616" customFormat="1" ht="21" customHeight="1" x14ac:dyDescent="0.2">
      <c r="B45" s="2655"/>
      <c r="C45" s="4107" t="s">
        <v>2279</v>
      </c>
      <c r="D45" s="4107"/>
      <c r="E45" s="4107"/>
      <c r="F45" s="4107"/>
      <c r="G45" s="4107"/>
      <c r="H45" s="4107"/>
      <c r="I45" s="4107"/>
      <c r="J45" s="4107"/>
      <c r="K45" s="4107"/>
      <c r="L45" s="4107"/>
      <c r="M45" s="4107"/>
      <c r="N45" s="4107"/>
      <c r="O45" s="4107"/>
      <c r="P45" s="4107"/>
      <c r="Q45" s="4107"/>
      <c r="R45" s="4107"/>
      <c r="S45" s="4107"/>
      <c r="T45" s="4107"/>
      <c r="U45" s="4107"/>
      <c r="V45" s="4107"/>
      <c r="W45" s="4107"/>
      <c r="X45" s="4107"/>
      <c r="Y45" s="4107"/>
      <c r="Z45" s="4107"/>
      <c r="AA45" s="4107"/>
      <c r="AB45" s="4107"/>
      <c r="AC45" s="4107"/>
    </row>
    <row r="46" spans="2:30" s="2616" customFormat="1" ht="21" customHeight="1" x14ac:dyDescent="0.2">
      <c r="B46" s="4108" t="s">
        <v>295</v>
      </c>
      <c r="C46" s="4108"/>
      <c r="D46" s="4108"/>
      <c r="E46" s="4108"/>
      <c r="F46" s="4108"/>
      <c r="G46" s="4108"/>
      <c r="H46" s="4108"/>
      <c r="I46" s="4108"/>
      <c r="J46" s="4108"/>
      <c r="K46" s="4108"/>
      <c r="L46" s="4108"/>
      <c r="M46" s="4108"/>
      <c r="N46" s="4108"/>
      <c r="O46" s="4108"/>
      <c r="P46" s="4108"/>
      <c r="Q46" s="4108"/>
      <c r="R46" s="4108"/>
      <c r="S46" s="4108"/>
      <c r="T46" s="4108"/>
      <c r="U46" s="4108"/>
      <c r="V46" s="4108"/>
      <c r="W46" s="4108"/>
      <c r="X46" s="4108"/>
      <c r="Y46" s="4108"/>
      <c r="Z46" s="4108"/>
      <c r="AA46" s="4108"/>
      <c r="AB46" s="4108"/>
      <c r="AC46" s="1894"/>
    </row>
    <row r="47" spans="2:30" s="2616" customFormat="1" ht="21" customHeight="1" x14ac:dyDescent="0.2">
      <c r="B47" s="4108" t="s">
        <v>45</v>
      </c>
      <c r="C47" s="4108"/>
      <c r="D47" s="4108"/>
      <c r="E47" s="4108"/>
      <c r="F47" s="4108"/>
      <c r="G47" s="4108"/>
      <c r="H47" s="4108"/>
      <c r="I47" s="4108"/>
      <c r="J47" s="4108"/>
      <c r="K47" s="4108"/>
      <c r="L47" s="4108"/>
      <c r="M47" s="4108"/>
      <c r="N47" s="4108"/>
      <c r="O47" s="4108"/>
      <c r="P47" s="4108"/>
      <c r="Q47" s="4108"/>
      <c r="R47" s="4108"/>
      <c r="S47" s="4108"/>
      <c r="T47" s="4108"/>
      <c r="U47" s="4108"/>
      <c r="V47" s="4108"/>
      <c r="W47" s="4108"/>
      <c r="X47" s="4108"/>
      <c r="Y47" s="4108"/>
      <c r="Z47" s="4108"/>
      <c r="AA47" s="4108"/>
      <c r="AB47" s="4108"/>
      <c r="AC47" s="1894"/>
    </row>
    <row r="48" spans="2:30" s="2616" customFormat="1" ht="21" customHeight="1" x14ac:dyDescent="0.2">
      <c r="B48" s="4108" t="s">
        <v>46</v>
      </c>
      <c r="C48" s="4108"/>
      <c r="D48" s="4108"/>
      <c r="E48" s="4108"/>
      <c r="F48" s="4108"/>
      <c r="G48" s="4108"/>
      <c r="H48" s="4108"/>
      <c r="I48" s="4108"/>
      <c r="J48" s="4108"/>
      <c r="K48" s="4108"/>
      <c r="L48" s="4108"/>
      <c r="M48" s="4108"/>
      <c r="N48" s="4108"/>
      <c r="O48" s="4108"/>
      <c r="P48" s="4108"/>
      <c r="Q48" s="4108"/>
      <c r="R48" s="4108"/>
      <c r="S48" s="4108"/>
      <c r="T48" s="4108"/>
      <c r="U48" s="4108"/>
      <c r="V48" s="4108"/>
      <c r="W48" s="4108"/>
      <c r="X48" s="4108"/>
      <c r="Y48" s="4108"/>
      <c r="Z48" s="4108"/>
      <c r="AA48" s="4108"/>
      <c r="AB48" s="4108"/>
      <c r="AC48" s="1894"/>
    </row>
    <row r="49" spans="2:29" s="2616" customFormat="1" ht="21" customHeight="1" x14ac:dyDescent="0.2">
      <c r="B49" s="3294" t="s">
        <v>1981</v>
      </c>
      <c r="C49" s="3294"/>
      <c r="D49" s="3294"/>
      <c r="E49" s="3294"/>
      <c r="F49" s="3294"/>
      <c r="G49" s="3294"/>
      <c r="H49" s="3294"/>
      <c r="I49" s="3294"/>
      <c r="J49" s="3294"/>
      <c r="K49" s="3294"/>
      <c r="L49" s="3294"/>
      <c r="M49" s="3294"/>
      <c r="N49" s="3294"/>
      <c r="O49" s="3294"/>
      <c r="P49" s="3294"/>
      <c r="Q49" s="3294"/>
      <c r="R49" s="3294"/>
      <c r="S49" s="3294"/>
      <c r="T49" s="3294"/>
      <c r="U49" s="3294"/>
      <c r="V49" s="3294"/>
      <c r="W49" s="3294"/>
      <c r="X49" s="3294"/>
      <c r="Y49" s="3294"/>
      <c r="Z49" s="3294"/>
      <c r="AA49" s="3294"/>
      <c r="AB49" s="3294"/>
      <c r="AC49" s="1853"/>
    </row>
    <row r="50" spans="2:29" s="2616" customFormat="1" ht="21" customHeight="1" x14ac:dyDescent="0.2">
      <c r="B50" s="1722"/>
      <c r="C50" s="1722"/>
      <c r="D50" s="1722"/>
      <c r="E50" s="1722"/>
      <c r="F50" s="1722"/>
      <c r="G50" s="1722"/>
      <c r="H50" s="1722"/>
      <c r="I50" s="1722"/>
      <c r="J50" s="1722"/>
      <c r="K50" s="1722"/>
      <c r="L50" s="1722"/>
      <c r="M50" s="1722"/>
      <c r="N50" s="1722"/>
      <c r="O50" s="1722"/>
      <c r="P50" s="1722"/>
      <c r="Q50" s="1722"/>
      <c r="R50" s="1722"/>
      <c r="S50" s="1722"/>
      <c r="T50" s="1722"/>
      <c r="U50" s="1722"/>
      <c r="V50" s="1722"/>
      <c r="W50" s="1722"/>
      <c r="X50" s="1722"/>
      <c r="Y50" s="1722"/>
      <c r="Z50" s="1722"/>
      <c r="AA50" s="1722"/>
      <c r="AB50" s="1722"/>
      <c r="AC50" s="1853"/>
    </row>
    <row r="51" spans="2:29" s="2616" customFormat="1" ht="21" customHeight="1" x14ac:dyDescent="0.2">
      <c r="B51" s="1722"/>
      <c r="C51" s="1722"/>
      <c r="D51" s="1722"/>
      <c r="E51" s="1722"/>
      <c r="F51" s="1722"/>
      <c r="G51" s="1722"/>
      <c r="H51" s="1722"/>
      <c r="I51" s="1722"/>
      <c r="J51" s="1722"/>
      <c r="K51" s="1722"/>
      <c r="L51" s="1722"/>
      <c r="M51" s="1722"/>
      <c r="N51" s="1722"/>
      <c r="O51" s="1722"/>
      <c r="P51" s="1722"/>
      <c r="Q51" s="1722"/>
      <c r="R51" s="1722"/>
      <c r="S51" s="1722"/>
      <c r="T51" s="1722"/>
      <c r="U51" s="1722"/>
      <c r="V51" s="1722"/>
      <c r="W51" s="1722"/>
      <c r="X51" s="1722"/>
      <c r="Y51" s="1722"/>
      <c r="Z51" s="1722"/>
      <c r="AA51" s="1722"/>
      <c r="AB51" s="1722"/>
      <c r="AC51" s="1853"/>
    </row>
    <row r="52" spans="2:29" s="2616" customFormat="1" ht="21" customHeight="1" x14ac:dyDescent="0.2">
      <c r="B52" s="1722"/>
      <c r="C52" s="1722"/>
      <c r="D52" s="1722"/>
      <c r="E52" s="1722"/>
      <c r="F52" s="1722"/>
      <c r="G52" s="1722"/>
      <c r="H52" s="1722"/>
      <c r="I52" s="1722"/>
      <c r="J52" s="1722"/>
      <c r="K52" s="1722"/>
      <c r="L52" s="1722"/>
      <c r="M52" s="1722"/>
      <c r="N52" s="1722"/>
      <c r="O52" s="1722"/>
      <c r="P52" s="1722"/>
      <c r="Q52" s="1722"/>
      <c r="R52" s="1722"/>
      <c r="S52" s="1722"/>
      <c r="T52" s="1722"/>
      <c r="U52" s="1722"/>
      <c r="V52" s="1722"/>
      <c r="W52" s="1722"/>
      <c r="X52" s="1722"/>
      <c r="Y52" s="1722"/>
      <c r="Z52" s="1722"/>
      <c r="AA52" s="1722"/>
      <c r="AB52" s="1722"/>
      <c r="AC52" s="1853"/>
    </row>
    <row r="53" spans="2:29" s="2616" customFormat="1" ht="21" customHeight="1" x14ac:dyDescent="0.2">
      <c r="B53" s="4110" t="s">
        <v>1848</v>
      </c>
      <c r="C53" s="4110"/>
      <c r="D53" s="4110"/>
      <c r="E53" s="2656"/>
      <c r="F53" s="2657"/>
      <c r="G53" s="2658"/>
      <c r="H53" s="2658"/>
      <c r="I53" s="2658"/>
      <c r="J53" s="2658"/>
      <c r="K53" s="2658"/>
      <c r="L53" s="2658"/>
      <c r="M53" s="2658"/>
      <c r="N53" s="2658"/>
      <c r="O53" s="2658"/>
      <c r="P53" s="2658"/>
      <c r="Q53" s="2658"/>
      <c r="R53" s="2658"/>
      <c r="S53" s="2658"/>
      <c r="T53" s="2658"/>
      <c r="U53" s="2658"/>
      <c r="V53" s="2658"/>
      <c r="W53" s="2658"/>
      <c r="X53" s="104"/>
      <c r="Y53" s="104"/>
      <c r="Z53" s="104"/>
      <c r="AA53" s="104"/>
      <c r="AB53" s="2608" t="s">
        <v>194</v>
      </c>
    </row>
    <row r="54" spans="2:29" s="2616" customFormat="1" ht="47.45" customHeight="1" x14ac:dyDescent="0.2">
      <c r="B54" s="4112" t="s">
        <v>419</v>
      </c>
      <c r="C54" s="4117" t="s">
        <v>196</v>
      </c>
      <c r="D54" s="4124" t="s">
        <v>197</v>
      </c>
      <c r="E54" s="4111" t="s">
        <v>1400</v>
      </c>
      <c r="F54" s="2609"/>
      <c r="G54" s="4111" t="s">
        <v>921</v>
      </c>
      <c r="H54" s="4118" t="s">
        <v>1116</v>
      </c>
      <c r="I54" s="4118" t="s">
        <v>1271</v>
      </c>
      <c r="J54" s="4135" t="s">
        <v>1272</v>
      </c>
      <c r="K54" s="4136"/>
      <c r="L54" s="4136"/>
      <c r="M54" s="4136"/>
      <c r="N54" s="4136"/>
      <c r="O54" s="4137"/>
      <c r="P54" s="4113" t="s">
        <v>423</v>
      </c>
      <c r="Q54" s="4115" t="s">
        <v>827</v>
      </c>
      <c r="R54" s="4115" t="s">
        <v>888</v>
      </c>
      <c r="S54" s="4115"/>
      <c r="T54" s="4114" t="s">
        <v>2015</v>
      </c>
      <c r="U54" s="4121" t="s">
        <v>1274</v>
      </c>
      <c r="V54" s="4121" t="s">
        <v>2016</v>
      </c>
      <c r="W54" s="4116" t="s">
        <v>1033</v>
      </c>
      <c r="X54" s="2610"/>
      <c r="Y54" s="4127" t="s">
        <v>296</v>
      </c>
      <c r="Z54" s="4127" t="s">
        <v>190</v>
      </c>
      <c r="AA54" s="4129" t="s">
        <v>313</v>
      </c>
      <c r="AB54" s="4111" t="s">
        <v>2013</v>
      </c>
    </row>
    <row r="55" spans="2:29" s="2616" customFormat="1" ht="73.150000000000006" customHeight="1" x14ac:dyDescent="0.2">
      <c r="B55" s="4112"/>
      <c r="C55" s="4117"/>
      <c r="D55" s="4124"/>
      <c r="E55" s="4111"/>
      <c r="F55" s="2609"/>
      <c r="G55" s="4111"/>
      <c r="H55" s="4119"/>
      <c r="I55" s="4119"/>
      <c r="J55" s="4138"/>
      <c r="K55" s="4139"/>
      <c r="L55" s="4139"/>
      <c r="M55" s="4139"/>
      <c r="N55" s="4139"/>
      <c r="O55" s="4140"/>
      <c r="P55" s="4113"/>
      <c r="Q55" s="4115"/>
      <c r="R55" s="4109" t="s">
        <v>889</v>
      </c>
      <c r="S55" s="4109" t="s">
        <v>890</v>
      </c>
      <c r="T55" s="4114"/>
      <c r="U55" s="4122"/>
      <c r="V55" s="4122"/>
      <c r="W55" s="4116"/>
      <c r="X55" s="2611"/>
      <c r="Y55" s="4127"/>
      <c r="Z55" s="4127"/>
      <c r="AA55" s="4130"/>
      <c r="AB55" s="4111"/>
    </row>
    <row r="56" spans="2:29" s="2616" customFormat="1" ht="63" customHeight="1" x14ac:dyDescent="0.2">
      <c r="B56" s="4112"/>
      <c r="C56" s="4117"/>
      <c r="D56" s="4124"/>
      <c r="E56" s="4111"/>
      <c r="F56" s="2612" t="s">
        <v>421</v>
      </c>
      <c r="G56" s="2613" t="s">
        <v>27</v>
      </c>
      <c r="H56" s="4120"/>
      <c r="I56" s="4120"/>
      <c r="J56" s="2614" t="s">
        <v>1273</v>
      </c>
      <c r="K56" s="2614" t="s">
        <v>1292</v>
      </c>
      <c r="L56" s="2612" t="s">
        <v>999</v>
      </c>
      <c r="M56" s="2612" t="s">
        <v>422</v>
      </c>
      <c r="N56" s="2612" t="s">
        <v>2014</v>
      </c>
      <c r="O56" s="2615" t="s">
        <v>1794</v>
      </c>
      <c r="P56" s="4113"/>
      <c r="Q56" s="4115"/>
      <c r="R56" s="4109"/>
      <c r="S56" s="4109"/>
      <c r="T56" s="4114"/>
      <c r="U56" s="4123"/>
      <c r="V56" s="4123"/>
      <c r="W56" s="4116"/>
      <c r="X56" s="373" t="s">
        <v>62</v>
      </c>
      <c r="Y56" s="4127"/>
      <c r="Z56" s="4127"/>
      <c r="AA56" s="4131"/>
      <c r="AB56" s="4111"/>
    </row>
    <row r="57" spans="2:29" s="2616" customFormat="1" ht="20.45" customHeight="1" x14ac:dyDescent="0.2">
      <c r="B57" s="4125" t="s">
        <v>180</v>
      </c>
      <c r="C57" s="4112" t="s">
        <v>181</v>
      </c>
      <c r="D57" s="4112"/>
      <c r="E57" s="2659">
        <f>E43</f>
        <v>36353531204185</v>
      </c>
      <c r="F57" s="2659">
        <f>F43</f>
        <v>107687728000</v>
      </c>
      <c r="G57" s="2659">
        <f>G43</f>
        <v>8730965000000</v>
      </c>
      <c r="H57" s="2659"/>
      <c r="I57" s="2659">
        <f t="shared" ref="I57:Z57" si="3">I43</f>
        <v>36353531204185</v>
      </c>
      <c r="J57" s="2660">
        <f t="shared" si="3"/>
        <v>271500000000</v>
      </c>
      <c r="K57" s="2660">
        <f t="shared" si="3"/>
        <v>232559000000</v>
      </c>
      <c r="L57" s="2660">
        <f t="shared" si="3"/>
        <v>0</v>
      </c>
      <c r="M57" s="2661">
        <f t="shared" si="3"/>
        <v>0</v>
      </c>
      <c r="N57" s="2613">
        <f t="shared" si="3"/>
        <v>1553690000000</v>
      </c>
      <c r="O57" s="2613">
        <f t="shared" si="3"/>
        <v>9801019000000</v>
      </c>
      <c r="P57" s="2660">
        <f t="shared" si="3"/>
        <v>-1582060020</v>
      </c>
      <c r="Q57" s="2660">
        <f t="shared" si="3"/>
        <v>0</v>
      </c>
      <c r="R57" s="2660">
        <f t="shared" si="3"/>
        <v>0</v>
      </c>
      <c r="S57" s="2660">
        <f t="shared" si="3"/>
        <v>0</v>
      </c>
      <c r="T57" s="2660">
        <f t="shared" si="3"/>
        <v>-339521000000</v>
      </c>
      <c r="U57" s="2660">
        <f t="shared" si="3"/>
        <v>200467000000</v>
      </c>
      <c r="V57" s="2660">
        <f t="shared" si="3"/>
        <v>586345980000</v>
      </c>
      <c r="W57" s="2660">
        <f t="shared" si="3"/>
        <v>-172115000000</v>
      </c>
      <c r="X57" s="2660">
        <f t="shared" si="3"/>
        <v>0</v>
      </c>
      <c r="Y57" s="2660" t="e">
        <f t="shared" si="3"/>
        <v>#N/A</v>
      </c>
      <c r="Z57" s="2660" t="e">
        <f t="shared" si="3"/>
        <v>#N/A</v>
      </c>
      <c r="AA57" s="2660"/>
      <c r="AB57" s="2660">
        <f>AB43</f>
        <v>47981835124165</v>
      </c>
    </row>
    <row r="58" spans="2:29" s="2616" customFormat="1" ht="24.6" customHeight="1" x14ac:dyDescent="0.2">
      <c r="B58" s="4125"/>
      <c r="C58" s="1691" t="s">
        <v>206</v>
      </c>
      <c r="D58" s="2626" t="s">
        <v>207</v>
      </c>
      <c r="E58" s="2613">
        <v>137818929602</v>
      </c>
      <c r="F58" s="2619">
        <v>10155000000</v>
      </c>
      <c r="G58" s="2620">
        <v>113359000000</v>
      </c>
      <c r="H58" s="2620"/>
      <c r="I58" s="2620">
        <f>E58+H58</f>
        <v>137818929602</v>
      </c>
      <c r="J58" s="2620"/>
      <c r="K58" s="2620"/>
      <c r="L58" s="276"/>
      <c r="M58" s="596"/>
      <c r="N58" s="2620"/>
      <c r="O58" s="2620"/>
      <c r="P58" s="2662"/>
      <c r="Q58" s="301"/>
      <c r="R58" s="2620"/>
      <c r="S58" s="2620"/>
      <c r="T58" s="2620"/>
      <c r="U58" s="2620"/>
      <c r="V58" s="2620"/>
      <c r="W58" s="2620"/>
      <c r="X58" s="276"/>
      <c r="Y58" s="276" t="e">
        <f>#N/A</f>
        <v>#N/A</v>
      </c>
      <c r="Z58" s="276" t="e">
        <f>#REF!+#REF!-918000000</f>
        <v>#REF!</v>
      </c>
      <c r="AA58" s="276"/>
      <c r="AB58" s="2620">
        <f>P58+W58+S58+R58+Q58+N58+T58+E58+H58+O58+V58+U58+M58</f>
        <v>137818929602</v>
      </c>
    </row>
    <row r="59" spans="2:29" s="2616" customFormat="1" ht="24.6" customHeight="1" x14ac:dyDescent="0.2">
      <c r="B59" s="4125"/>
      <c r="C59" s="1691" t="s">
        <v>162</v>
      </c>
      <c r="D59" s="2626" t="s">
        <v>256</v>
      </c>
      <c r="E59" s="2613">
        <v>5924000000</v>
      </c>
      <c r="F59" s="2623">
        <v>0</v>
      </c>
      <c r="G59" s="2620">
        <v>4204000000</v>
      </c>
      <c r="H59" s="2620"/>
      <c r="I59" s="2620">
        <f t="shared" ref="I59:I74" si="4">E59+H59</f>
        <v>5924000000</v>
      </c>
      <c r="J59" s="2620"/>
      <c r="K59" s="2620"/>
      <c r="L59" s="276"/>
      <c r="M59" s="2663"/>
      <c r="N59" s="2620"/>
      <c r="O59" s="2620"/>
      <c r="P59" s="2662"/>
      <c r="Q59" s="2620"/>
      <c r="R59" s="2620"/>
      <c r="S59" s="2620"/>
      <c r="T59" s="2620"/>
      <c r="U59" s="2620"/>
      <c r="V59" s="2620"/>
      <c r="W59" s="2620"/>
      <c r="X59" s="276"/>
      <c r="Y59" s="276" t="e">
        <f>#N/A</f>
        <v>#N/A</v>
      </c>
      <c r="Z59" s="276" t="e">
        <f>#N/A</f>
        <v>#N/A</v>
      </c>
      <c r="AA59" s="276"/>
      <c r="AB59" s="2620">
        <f t="shared" ref="AB59:AB74" si="5">P59+W59+S59+R59+Q59+N59+T59+E59+H59+O59+V59+U59+M59</f>
        <v>5924000000</v>
      </c>
    </row>
    <row r="60" spans="2:29" s="2616" customFormat="1" ht="24.6" customHeight="1" x14ac:dyDescent="0.2">
      <c r="B60" s="4125"/>
      <c r="C60" s="1691" t="s">
        <v>103</v>
      </c>
      <c r="D60" s="2626" t="s">
        <v>208</v>
      </c>
      <c r="E60" s="2613">
        <v>3200000000</v>
      </c>
      <c r="F60" s="2623">
        <v>0</v>
      </c>
      <c r="G60" s="2620">
        <v>2700000000</v>
      </c>
      <c r="H60" s="2620"/>
      <c r="I60" s="2620">
        <f t="shared" si="4"/>
        <v>3200000000</v>
      </c>
      <c r="J60" s="2620"/>
      <c r="K60" s="2620"/>
      <c r="L60" s="276"/>
      <c r="M60" s="2663"/>
      <c r="N60" s="2620"/>
      <c r="O60" s="2620"/>
      <c r="P60" s="2662"/>
      <c r="Q60" s="2620"/>
      <c r="R60" s="2620"/>
      <c r="S60" s="2620"/>
      <c r="T60" s="2620"/>
      <c r="U60" s="2620"/>
      <c r="V60" s="2620"/>
      <c r="W60" s="2620"/>
      <c r="X60" s="276"/>
      <c r="Y60" s="276" t="e">
        <f>#N/A</f>
        <v>#N/A</v>
      </c>
      <c r="Z60" s="276" t="e">
        <f>#N/A</f>
        <v>#N/A</v>
      </c>
      <c r="AA60" s="276"/>
      <c r="AB60" s="2620">
        <f t="shared" si="5"/>
        <v>3200000000</v>
      </c>
    </row>
    <row r="61" spans="2:29" s="2616" customFormat="1" ht="24.6" customHeight="1" x14ac:dyDescent="0.2">
      <c r="B61" s="4125"/>
      <c r="C61" s="2664" t="s">
        <v>63</v>
      </c>
      <c r="D61" s="2665" t="s">
        <v>64</v>
      </c>
      <c r="E61" s="2613">
        <v>16830143689</v>
      </c>
      <c r="F61" s="2623">
        <v>0</v>
      </c>
      <c r="G61" s="2620">
        <v>1800000000</v>
      </c>
      <c r="H61" s="2620"/>
      <c r="I61" s="2620">
        <f t="shared" si="4"/>
        <v>16830143689</v>
      </c>
      <c r="J61" s="2620"/>
      <c r="K61" s="2620"/>
      <c r="L61" s="276"/>
      <c r="M61" s="2663"/>
      <c r="N61" s="2620"/>
      <c r="O61" s="2620"/>
      <c r="P61" s="2662"/>
      <c r="Q61" s="2620"/>
      <c r="R61" s="301"/>
      <c r="S61" s="2620"/>
      <c r="T61" s="2620"/>
      <c r="U61" s="2620"/>
      <c r="V61" s="2620"/>
      <c r="W61" s="2620"/>
      <c r="X61" s="276"/>
      <c r="Y61" s="276" t="e">
        <f>#N/A</f>
        <v>#N/A</v>
      </c>
      <c r="Z61" s="276" t="e">
        <f>#N/A</f>
        <v>#N/A</v>
      </c>
      <c r="AA61" s="276"/>
      <c r="AB61" s="2620">
        <f t="shared" si="5"/>
        <v>16830143689</v>
      </c>
    </row>
    <row r="62" spans="2:29" s="2616" customFormat="1" ht="24.6" customHeight="1" x14ac:dyDescent="0.2">
      <c r="B62" s="4125"/>
      <c r="C62" s="1691" t="s">
        <v>209</v>
      </c>
      <c r="D62" s="2626" t="s">
        <v>210</v>
      </c>
      <c r="E62" s="2613">
        <v>747400701</v>
      </c>
      <c r="F62" s="2623">
        <v>0</v>
      </c>
      <c r="G62" s="2620">
        <v>1500000000</v>
      </c>
      <c r="H62" s="2620"/>
      <c r="I62" s="2620">
        <f t="shared" si="4"/>
        <v>747400701</v>
      </c>
      <c r="J62" s="277"/>
      <c r="K62" s="277"/>
      <c r="L62" s="276"/>
      <c r="M62" s="2620"/>
      <c r="N62" s="2627"/>
      <c r="O62" s="2620"/>
      <c r="P62" s="276"/>
      <c r="Q62" s="2620"/>
      <c r="R62" s="301"/>
      <c r="S62" s="2620"/>
      <c r="T62" s="2620"/>
      <c r="U62" s="277"/>
      <c r="V62" s="2620"/>
      <c r="W62" s="2620"/>
      <c r="X62" s="276"/>
      <c r="Y62" s="276" t="e">
        <f>#N/A</f>
        <v>#N/A</v>
      </c>
      <c r="Z62" s="276" t="e">
        <f>#N/A</f>
        <v>#N/A</v>
      </c>
      <c r="AA62" s="276"/>
      <c r="AB62" s="2620">
        <f t="shared" si="5"/>
        <v>747400701</v>
      </c>
    </row>
    <row r="63" spans="2:29" s="2616" customFormat="1" ht="24.6" customHeight="1" x14ac:dyDescent="0.2">
      <c r="B63" s="4125"/>
      <c r="C63" s="1691" t="s">
        <v>104</v>
      </c>
      <c r="D63" s="2626" t="s">
        <v>198</v>
      </c>
      <c r="E63" s="2613">
        <f>1822843072+75871761741</f>
        <v>77694604813</v>
      </c>
      <c r="F63" s="2623">
        <v>500000000</v>
      </c>
      <c r="G63" s="2620">
        <v>64529000000</v>
      </c>
      <c r="H63" s="2620"/>
      <c r="I63" s="2620">
        <f t="shared" si="4"/>
        <v>77694604813</v>
      </c>
      <c r="J63" s="2620"/>
      <c r="K63" s="2620"/>
      <c r="L63" s="276"/>
      <c r="M63" s="2620"/>
      <c r="N63" s="2627"/>
      <c r="O63" s="2620"/>
      <c r="P63" s="276"/>
      <c r="Q63" s="301"/>
      <c r="R63" s="2620"/>
      <c r="S63" s="2620"/>
      <c r="T63" s="2620"/>
      <c r="U63" s="2620"/>
      <c r="V63" s="2620"/>
      <c r="W63" s="2620"/>
      <c r="X63" s="276"/>
      <c r="Y63" s="276" t="e">
        <f>#N/A</f>
        <v>#N/A</v>
      </c>
      <c r="Z63" s="276" t="e">
        <f>#N/A</f>
        <v>#N/A</v>
      </c>
      <c r="AA63" s="276"/>
      <c r="AB63" s="2620">
        <f t="shared" si="5"/>
        <v>77694604813</v>
      </c>
    </row>
    <row r="64" spans="2:29" s="2616" customFormat="1" ht="24.6" customHeight="1" x14ac:dyDescent="0.2">
      <c r="B64" s="4125"/>
      <c r="C64" s="1691" t="s">
        <v>231</v>
      </c>
      <c r="D64" s="2626" t="s">
        <v>232</v>
      </c>
      <c r="E64" s="2613">
        <v>10805000000</v>
      </c>
      <c r="F64" s="2623">
        <v>0</v>
      </c>
      <c r="G64" s="2620">
        <v>4000000</v>
      </c>
      <c r="H64" s="2620"/>
      <c r="I64" s="2620">
        <f t="shared" si="4"/>
        <v>10805000000</v>
      </c>
      <c r="J64" s="2620"/>
      <c r="K64" s="2620"/>
      <c r="L64" s="276"/>
      <c r="M64" s="2620"/>
      <c r="N64" s="2627"/>
      <c r="O64" s="2620"/>
      <c r="P64" s="276"/>
      <c r="Q64" s="2620"/>
      <c r="R64" s="2620"/>
      <c r="S64" s="2620"/>
      <c r="T64" s="2620"/>
      <c r="U64" s="2620"/>
      <c r="V64" s="2620"/>
      <c r="W64" s="2620"/>
      <c r="X64" s="276"/>
      <c r="Y64" s="276" t="e">
        <f>#N/A</f>
        <v>#N/A</v>
      </c>
      <c r="Z64" s="276" t="e">
        <f>#N/A</f>
        <v>#N/A</v>
      </c>
      <c r="AA64" s="276"/>
      <c r="AB64" s="2620">
        <f t="shared" si="5"/>
        <v>10805000000</v>
      </c>
    </row>
    <row r="65" spans="2:30" s="2616" customFormat="1" ht="24.6" customHeight="1" x14ac:dyDescent="0.2">
      <c r="B65" s="4125"/>
      <c r="C65" s="1691" t="s">
        <v>105</v>
      </c>
      <c r="D65" s="2626" t="s">
        <v>106</v>
      </c>
      <c r="E65" s="2613">
        <v>26921748865</v>
      </c>
      <c r="F65" s="2623">
        <v>2300000000</v>
      </c>
      <c r="G65" s="2620">
        <v>4236000000</v>
      </c>
      <c r="H65" s="2620"/>
      <c r="I65" s="2620">
        <f t="shared" si="4"/>
        <v>26921748865</v>
      </c>
      <c r="J65" s="2620"/>
      <c r="K65" s="2620"/>
      <c r="L65" s="276"/>
      <c r="M65" s="2620"/>
      <c r="N65" s="2627"/>
      <c r="O65" s="2620"/>
      <c r="P65" s="276"/>
      <c r="Q65" s="301"/>
      <c r="R65" s="2620"/>
      <c r="S65" s="2620"/>
      <c r="T65" s="2620"/>
      <c r="U65" s="2620"/>
      <c r="V65" s="2620"/>
      <c r="W65" s="2620"/>
      <c r="X65" s="276"/>
      <c r="Y65" s="276" t="e">
        <f>#N/A</f>
        <v>#N/A</v>
      </c>
      <c r="Z65" s="276" t="e">
        <f>#N/A</f>
        <v>#N/A</v>
      </c>
      <c r="AA65" s="276"/>
      <c r="AB65" s="2620">
        <f t="shared" si="5"/>
        <v>26921748865</v>
      </c>
    </row>
    <row r="66" spans="2:30" s="2616" customFormat="1" ht="24.6" customHeight="1" x14ac:dyDescent="0.2">
      <c r="B66" s="4125"/>
      <c r="C66" s="1691" t="s">
        <v>164</v>
      </c>
      <c r="D66" s="2626" t="s">
        <v>211</v>
      </c>
      <c r="E66" s="2613">
        <v>25000000000</v>
      </c>
      <c r="F66" s="2623">
        <v>0</v>
      </c>
      <c r="G66" s="2620">
        <v>3658000000</v>
      </c>
      <c r="H66" s="2620"/>
      <c r="I66" s="2620">
        <f t="shared" si="4"/>
        <v>25000000000</v>
      </c>
      <c r="J66" s="2620"/>
      <c r="K66" s="2620"/>
      <c r="L66" s="276"/>
      <c r="M66" s="2620"/>
      <c r="N66" s="2627"/>
      <c r="O66" s="2620"/>
      <c r="P66" s="276"/>
      <c r="Q66" s="2620"/>
      <c r="R66" s="301"/>
      <c r="S66" s="2620"/>
      <c r="T66" s="2620"/>
      <c r="U66" s="2620"/>
      <c r="V66" s="2620"/>
      <c r="W66" s="2620"/>
      <c r="X66" s="276"/>
      <c r="Y66" s="2620" t="e">
        <f>#N/A</f>
        <v>#N/A</v>
      </c>
      <c r="Z66" s="276" t="e">
        <f>#N/A</f>
        <v>#N/A</v>
      </c>
      <c r="AA66" s="276"/>
      <c r="AB66" s="2620">
        <f t="shared" si="5"/>
        <v>25000000000</v>
      </c>
    </row>
    <row r="67" spans="2:30" s="2616" customFormat="1" ht="24.6" customHeight="1" x14ac:dyDescent="0.2">
      <c r="B67" s="4125"/>
      <c r="C67" s="1691" t="s">
        <v>107</v>
      </c>
      <c r="D67" s="2626" t="s">
        <v>108</v>
      </c>
      <c r="E67" s="2613">
        <v>90000000000</v>
      </c>
      <c r="F67" s="2623">
        <v>0</v>
      </c>
      <c r="G67" s="2620">
        <v>60000000000</v>
      </c>
      <c r="H67" s="2620"/>
      <c r="I67" s="2620">
        <f t="shared" si="4"/>
        <v>90000000000</v>
      </c>
      <c r="J67" s="2620"/>
      <c r="K67" s="2620"/>
      <c r="L67" s="276"/>
      <c r="M67" s="2620"/>
      <c r="N67" s="2627"/>
      <c r="O67" s="2620"/>
      <c r="P67" s="276"/>
      <c r="Q67" s="2620"/>
      <c r="R67" s="301"/>
      <c r="S67" s="2620"/>
      <c r="T67" s="2620"/>
      <c r="U67" s="2620"/>
      <c r="V67" s="2620"/>
      <c r="W67" s="2620"/>
      <c r="X67" s="276"/>
      <c r="Y67" s="2620" t="e">
        <f>#N/A</f>
        <v>#N/A</v>
      </c>
      <c r="Z67" s="276" t="e">
        <f>#N/A</f>
        <v>#N/A</v>
      </c>
      <c r="AA67" s="276"/>
      <c r="AB67" s="2620">
        <f t="shared" si="5"/>
        <v>90000000000</v>
      </c>
    </row>
    <row r="68" spans="2:30" s="2616" customFormat="1" ht="24.6" customHeight="1" x14ac:dyDescent="0.2">
      <c r="B68" s="4125"/>
      <c r="C68" s="1691" t="s">
        <v>165</v>
      </c>
      <c r="D68" s="2626" t="s">
        <v>212</v>
      </c>
      <c r="E68" s="2613">
        <v>23000000000</v>
      </c>
      <c r="F68" s="2623">
        <v>0</v>
      </c>
      <c r="G68" s="2620">
        <v>12492000000</v>
      </c>
      <c r="H68" s="2620"/>
      <c r="I68" s="2620">
        <f t="shared" si="4"/>
        <v>23000000000</v>
      </c>
      <c r="J68" s="2620"/>
      <c r="K68" s="2620"/>
      <c r="L68" s="276"/>
      <c r="M68" s="2620"/>
      <c r="N68" s="2627"/>
      <c r="O68" s="2620"/>
      <c r="P68" s="276"/>
      <c r="Q68" s="2620"/>
      <c r="R68" s="301"/>
      <c r="S68" s="2620"/>
      <c r="T68" s="2620"/>
      <c r="U68" s="2620"/>
      <c r="V68" s="2620"/>
      <c r="W68" s="2620"/>
      <c r="X68" s="276"/>
      <c r="Y68" s="2620" t="e">
        <f>#N/A</f>
        <v>#N/A</v>
      </c>
      <c r="Z68" s="276" t="e">
        <f>#N/A</f>
        <v>#N/A</v>
      </c>
      <c r="AA68" s="276"/>
      <c r="AB68" s="2620">
        <f t="shared" si="5"/>
        <v>23000000000</v>
      </c>
    </row>
    <row r="69" spans="2:30" s="2616" customFormat="1" ht="24.6" customHeight="1" x14ac:dyDescent="0.2">
      <c r="B69" s="4125"/>
      <c r="C69" s="1691" t="s">
        <v>200</v>
      </c>
      <c r="D69" s="2626" t="s">
        <v>201</v>
      </c>
      <c r="E69" s="2613">
        <v>9593000000</v>
      </c>
      <c r="F69" s="2623">
        <v>0</v>
      </c>
      <c r="G69" s="2620">
        <v>408000000</v>
      </c>
      <c r="H69" s="2620"/>
      <c r="I69" s="2620">
        <f t="shared" si="4"/>
        <v>9593000000</v>
      </c>
      <c r="J69" s="2620"/>
      <c r="K69" s="2620"/>
      <c r="L69" s="276"/>
      <c r="M69" s="2620"/>
      <c r="N69" s="2627"/>
      <c r="O69" s="2620"/>
      <c r="P69" s="276"/>
      <c r="Q69" s="2620"/>
      <c r="R69" s="2620"/>
      <c r="S69" s="2620"/>
      <c r="T69" s="2620"/>
      <c r="U69" s="2620"/>
      <c r="V69" s="2620"/>
      <c r="W69" s="2620"/>
      <c r="X69" s="276"/>
      <c r="Y69" s="2620" t="e">
        <f>#N/A</f>
        <v>#N/A</v>
      </c>
      <c r="Z69" s="276" t="e">
        <f>#N/A</f>
        <v>#N/A</v>
      </c>
      <c r="AA69" s="276"/>
      <c r="AB69" s="2620">
        <f t="shared" si="5"/>
        <v>9593000000</v>
      </c>
    </row>
    <row r="70" spans="2:30" s="2616" customFormat="1" ht="24.6" hidden="1" customHeight="1" x14ac:dyDescent="0.2">
      <c r="B70" s="4125"/>
      <c r="E70" s="2613">
        <v>0</v>
      </c>
      <c r="F70" s="2613"/>
      <c r="G70" s="2613"/>
      <c r="H70" s="2613"/>
      <c r="I70" s="2620">
        <f t="shared" si="4"/>
        <v>0</v>
      </c>
      <c r="J70" s="2613"/>
      <c r="K70" s="2613"/>
      <c r="L70" s="2613"/>
      <c r="M70" s="2613"/>
      <c r="N70" s="2627"/>
      <c r="O70" s="2613"/>
      <c r="P70" s="2613"/>
      <c r="Q70" s="2613"/>
      <c r="R70" s="2613"/>
      <c r="S70" s="2613"/>
      <c r="T70" s="2620"/>
      <c r="U70" s="2613"/>
      <c r="V70" s="2613"/>
      <c r="W70" s="2613"/>
      <c r="X70" s="2613"/>
      <c r="Y70" s="2613"/>
      <c r="Z70" s="2613"/>
      <c r="AA70" s="2613"/>
      <c r="AB70" s="2620">
        <f t="shared" si="5"/>
        <v>0</v>
      </c>
    </row>
    <row r="71" spans="2:30" s="2616" customFormat="1" ht="24.6" customHeight="1" x14ac:dyDescent="0.2">
      <c r="B71" s="4125"/>
      <c r="C71" s="1691" t="s">
        <v>111</v>
      </c>
      <c r="D71" s="2626" t="s">
        <v>112</v>
      </c>
      <c r="E71" s="2613">
        <v>1769000000</v>
      </c>
      <c r="F71" s="2623">
        <v>0</v>
      </c>
      <c r="G71" s="2620">
        <v>1769000000</v>
      </c>
      <c r="H71" s="2620"/>
      <c r="I71" s="2620">
        <f t="shared" si="4"/>
        <v>1769000000</v>
      </c>
      <c r="J71" s="2620"/>
      <c r="K71" s="2620"/>
      <c r="L71" s="276"/>
      <c r="M71" s="2620"/>
      <c r="N71" s="2627"/>
      <c r="O71" s="2620"/>
      <c r="P71" s="276"/>
      <c r="Q71" s="2620"/>
      <c r="R71" s="2620"/>
      <c r="S71" s="2620"/>
      <c r="T71" s="2620"/>
      <c r="U71" s="2620"/>
      <c r="V71" s="2620"/>
      <c r="W71" s="2620"/>
      <c r="X71" s="276"/>
      <c r="Y71" s="2620" t="e">
        <f>#N/A</f>
        <v>#N/A</v>
      </c>
      <c r="Z71" s="276" t="e">
        <f>#N/A</f>
        <v>#N/A</v>
      </c>
      <c r="AA71" s="276"/>
      <c r="AB71" s="2620">
        <f t="shared" si="5"/>
        <v>1769000000</v>
      </c>
    </row>
    <row r="72" spans="2:30" s="2616" customFormat="1" ht="24.6" customHeight="1" x14ac:dyDescent="0.2">
      <c r="B72" s="4125"/>
      <c r="C72" s="1691" t="s">
        <v>113</v>
      </c>
      <c r="D72" s="2626" t="s">
        <v>114</v>
      </c>
      <c r="E72" s="2613">
        <v>14000000000</v>
      </c>
      <c r="F72" s="2623">
        <v>0</v>
      </c>
      <c r="G72" s="2620">
        <v>14000000000</v>
      </c>
      <c r="H72" s="2620"/>
      <c r="I72" s="2620">
        <f t="shared" si="4"/>
        <v>14000000000</v>
      </c>
      <c r="J72" s="2620"/>
      <c r="K72" s="2620"/>
      <c r="L72" s="276"/>
      <c r="M72" s="2620"/>
      <c r="N72" s="2627"/>
      <c r="O72" s="2620"/>
      <c r="P72" s="276"/>
      <c r="Q72" s="2620"/>
      <c r="R72" s="2620"/>
      <c r="S72" s="2620"/>
      <c r="T72" s="2620"/>
      <c r="U72" s="2620"/>
      <c r="V72" s="2620"/>
      <c r="W72" s="2620"/>
      <c r="X72" s="276"/>
      <c r="Y72" s="2620" t="e">
        <f>#N/A</f>
        <v>#N/A</v>
      </c>
      <c r="Z72" s="276" t="e">
        <f>#N/A</f>
        <v>#N/A</v>
      </c>
      <c r="AA72" s="276"/>
      <c r="AB72" s="2620">
        <f t="shared" si="5"/>
        <v>14000000000</v>
      </c>
    </row>
    <row r="73" spans="2:30" s="2616" customFormat="1" ht="24.6" customHeight="1" x14ac:dyDescent="0.2">
      <c r="B73" s="4125"/>
      <c r="C73" s="1691" t="s">
        <v>115</v>
      </c>
      <c r="D73" s="2626" t="s">
        <v>116</v>
      </c>
      <c r="E73" s="2613">
        <v>4000000000</v>
      </c>
      <c r="F73" s="2623">
        <v>0</v>
      </c>
      <c r="G73" s="2620">
        <v>1000000000</v>
      </c>
      <c r="H73" s="2620"/>
      <c r="I73" s="2620">
        <f t="shared" si="4"/>
        <v>4000000000</v>
      </c>
      <c r="J73" s="2620"/>
      <c r="K73" s="2620"/>
      <c r="L73" s="276"/>
      <c r="M73" s="2620"/>
      <c r="N73" s="2627"/>
      <c r="O73" s="2620"/>
      <c r="P73" s="276"/>
      <c r="Q73" s="2620"/>
      <c r="R73" s="2620"/>
      <c r="S73" s="2620"/>
      <c r="T73" s="2620"/>
      <c r="U73" s="2620"/>
      <c r="V73" s="2620"/>
      <c r="W73" s="2620"/>
      <c r="X73" s="276"/>
      <c r="Y73" s="2620" t="e">
        <f>#N/A</f>
        <v>#N/A</v>
      </c>
      <c r="Z73" s="276" t="e">
        <f>#N/A</f>
        <v>#N/A</v>
      </c>
      <c r="AA73" s="276"/>
      <c r="AB73" s="2620">
        <f t="shared" si="5"/>
        <v>4000000000</v>
      </c>
    </row>
    <row r="74" spans="2:30" s="2616" customFormat="1" ht="24.6" customHeight="1" x14ac:dyDescent="0.2">
      <c r="B74" s="4125"/>
      <c r="C74" s="1691" t="s">
        <v>363</v>
      </c>
      <c r="D74" s="2626" t="s">
        <v>364</v>
      </c>
      <c r="E74" s="2613">
        <v>63243000000</v>
      </c>
      <c r="F74" s="2623">
        <v>0</v>
      </c>
      <c r="G74" s="2620">
        <v>63243000000</v>
      </c>
      <c r="H74" s="2620"/>
      <c r="I74" s="2620">
        <f t="shared" si="4"/>
        <v>63243000000</v>
      </c>
      <c r="J74" s="2620"/>
      <c r="K74" s="2620"/>
      <c r="L74" s="276"/>
      <c r="M74" s="2620"/>
      <c r="N74" s="2627"/>
      <c r="O74" s="2620"/>
      <c r="P74" s="276"/>
      <c r="Q74" s="2620"/>
      <c r="R74" s="2620"/>
      <c r="S74" s="2620"/>
      <c r="T74" s="2627"/>
      <c r="U74" s="2627"/>
      <c r="V74" s="2627"/>
      <c r="W74" s="2628"/>
      <c r="X74" s="327"/>
      <c r="Y74" s="2627" t="e">
        <f>#N/A</f>
        <v>#N/A</v>
      </c>
      <c r="Z74" s="327" t="e">
        <f>#N/A</f>
        <v>#N/A</v>
      </c>
      <c r="AA74" s="327"/>
      <c r="AB74" s="2620">
        <f t="shared" si="5"/>
        <v>63243000000</v>
      </c>
    </row>
    <row r="75" spans="2:30" s="2616" customFormat="1" ht="24.6" customHeight="1" x14ac:dyDescent="0.2">
      <c r="B75" s="4125"/>
      <c r="C75" s="4112" t="s">
        <v>94</v>
      </c>
      <c r="D75" s="4112"/>
      <c r="E75" s="2666">
        <f>SUM(E57:E74)+1000000</f>
        <v>36864079031855</v>
      </c>
      <c r="F75" s="2666">
        <f t="shared" ref="F75:AA75" si="6">SUM(F57:F74)</f>
        <v>120642728000</v>
      </c>
      <c r="G75" s="2666">
        <f t="shared" si="6"/>
        <v>9079867000000</v>
      </c>
      <c r="H75" s="2666">
        <f t="shared" si="6"/>
        <v>0</v>
      </c>
      <c r="I75" s="2666">
        <f>SUM(I57:I74)+1000000</f>
        <v>36864079031855</v>
      </c>
      <c r="J75" s="2666">
        <f t="shared" si="6"/>
        <v>271500000000</v>
      </c>
      <c r="K75" s="2666">
        <f t="shared" si="6"/>
        <v>232559000000</v>
      </c>
      <c r="L75" s="2666">
        <f t="shared" si="6"/>
        <v>0</v>
      </c>
      <c r="M75" s="2666">
        <f t="shared" si="6"/>
        <v>0</v>
      </c>
      <c r="N75" s="2666">
        <f t="shared" si="6"/>
        <v>1553690000000</v>
      </c>
      <c r="O75" s="2666">
        <f t="shared" si="6"/>
        <v>9801019000000</v>
      </c>
      <c r="P75" s="2666">
        <f t="shared" si="6"/>
        <v>-1582060020</v>
      </c>
      <c r="Q75" s="2666">
        <f t="shared" si="6"/>
        <v>0</v>
      </c>
      <c r="R75" s="2666">
        <f t="shared" si="6"/>
        <v>0</v>
      </c>
      <c r="S75" s="2666">
        <f t="shared" si="6"/>
        <v>0</v>
      </c>
      <c r="T75" s="2666">
        <f t="shared" si="6"/>
        <v>-339521000000</v>
      </c>
      <c r="U75" s="2666">
        <f t="shared" si="6"/>
        <v>200467000000</v>
      </c>
      <c r="V75" s="2666">
        <f t="shared" si="6"/>
        <v>586345980000</v>
      </c>
      <c r="W75" s="2666">
        <f t="shared" si="6"/>
        <v>-172115000000</v>
      </c>
      <c r="X75" s="2666">
        <f t="shared" si="6"/>
        <v>0</v>
      </c>
      <c r="Y75" s="2666" t="e">
        <f t="shared" si="6"/>
        <v>#N/A</v>
      </c>
      <c r="Z75" s="2666" t="e">
        <f t="shared" si="6"/>
        <v>#N/A</v>
      </c>
      <c r="AA75" s="2666">
        <f t="shared" si="6"/>
        <v>0</v>
      </c>
      <c r="AB75" s="2666">
        <f>SUM(AB57:AB74)+1000000</f>
        <v>48492382951835</v>
      </c>
      <c r="AD75" s="2616">
        <f>I75+N75+O75+P75+T75+U75+V75+W75</f>
        <v>48492382951835</v>
      </c>
    </row>
    <row r="76" spans="2:30" s="2616" customFormat="1" ht="24.6" customHeight="1" x14ac:dyDescent="0.2">
      <c r="B76" s="2653"/>
      <c r="H76" s="2654"/>
      <c r="I76" s="2654"/>
    </row>
    <row r="77" spans="2:30" s="2616" customFormat="1" ht="24.6" customHeight="1" x14ac:dyDescent="0.2">
      <c r="B77" s="2653"/>
      <c r="H77" s="2654"/>
      <c r="I77" s="2654"/>
    </row>
    <row r="78" spans="2:30" s="2616" customFormat="1" ht="21" customHeight="1" x14ac:dyDescent="0.2">
      <c r="B78" s="2653"/>
      <c r="F78" s="2667"/>
      <c r="G78" s="2667"/>
      <c r="H78" s="2667"/>
      <c r="I78" s="2667"/>
      <c r="J78" s="2667"/>
      <c r="K78" s="2667"/>
      <c r="L78" s="2667"/>
      <c r="M78" s="2667"/>
      <c r="N78" s="2667"/>
      <c r="O78" s="2667"/>
      <c r="P78" s="2667"/>
      <c r="Q78" s="2667"/>
      <c r="R78" s="2667"/>
      <c r="S78" s="2667"/>
      <c r="T78" s="2667"/>
      <c r="U78" s="2667"/>
      <c r="V78" s="2667"/>
      <c r="W78" s="2667"/>
      <c r="X78" s="2667"/>
      <c r="Y78" s="2667"/>
      <c r="Z78" s="2667"/>
      <c r="AA78" s="2667"/>
      <c r="AB78" s="2667"/>
      <c r="AC78" s="2667"/>
    </row>
    <row r="79" spans="2:30" s="2616" customFormat="1" ht="21" customHeight="1" x14ac:dyDescent="0.2">
      <c r="B79" s="2653"/>
      <c r="F79" s="2667"/>
      <c r="G79" s="2667"/>
      <c r="H79" s="2667"/>
      <c r="I79" s="2667"/>
      <c r="J79" s="2667"/>
      <c r="K79" s="2667"/>
      <c r="L79" s="2667"/>
      <c r="M79" s="2667"/>
      <c r="N79" s="2667"/>
      <c r="O79" s="2667"/>
      <c r="P79" s="2667"/>
      <c r="Q79" s="2667"/>
      <c r="R79" s="2667"/>
      <c r="S79" s="2667"/>
      <c r="T79" s="2667"/>
      <c r="U79" s="2667"/>
      <c r="V79" s="2667"/>
      <c r="W79" s="2667"/>
      <c r="X79" s="2667"/>
      <c r="Y79" s="2667"/>
      <c r="Z79" s="2667"/>
      <c r="AA79" s="2667"/>
      <c r="AB79" s="2667"/>
      <c r="AC79" s="2667"/>
    </row>
    <row r="80" spans="2:30" s="2616" customFormat="1" ht="16.899999999999999" customHeight="1" x14ac:dyDescent="0.2">
      <c r="B80" s="2653"/>
      <c r="C80" s="4107" t="s">
        <v>1886</v>
      </c>
      <c r="D80" s="4107"/>
      <c r="E80" s="4107"/>
      <c r="F80" s="4107"/>
      <c r="G80" s="4107"/>
      <c r="H80" s="4107"/>
      <c r="I80" s="4107"/>
      <c r="J80" s="4107"/>
      <c r="K80" s="4107"/>
      <c r="L80" s="4107"/>
      <c r="M80" s="4107"/>
      <c r="N80" s="4107"/>
      <c r="O80" s="4107"/>
      <c r="P80" s="4107"/>
      <c r="Q80" s="4107"/>
      <c r="R80" s="4107"/>
      <c r="S80" s="4107"/>
      <c r="T80" s="4107"/>
      <c r="U80" s="4107"/>
      <c r="V80" s="4107"/>
      <c r="W80" s="4107"/>
      <c r="X80" s="4107"/>
      <c r="Y80" s="4107"/>
      <c r="Z80" s="4107"/>
      <c r="AA80" s="4107"/>
      <c r="AB80" s="4107"/>
      <c r="AC80" s="2668"/>
    </row>
    <row r="81" spans="2:30" s="2616" customFormat="1" ht="23.45" customHeight="1" x14ac:dyDescent="0.2">
      <c r="B81" s="4108" t="s">
        <v>295</v>
      </c>
      <c r="C81" s="4108"/>
      <c r="D81" s="4108"/>
      <c r="E81" s="4108"/>
      <c r="F81" s="4108"/>
      <c r="G81" s="4108"/>
      <c r="H81" s="4108"/>
      <c r="I81" s="4108"/>
      <c r="J81" s="4108"/>
      <c r="K81" s="4108"/>
      <c r="L81" s="4108"/>
      <c r="M81" s="4108"/>
      <c r="N81" s="4108"/>
      <c r="O81" s="4108"/>
      <c r="P81" s="4108"/>
      <c r="Q81" s="4108"/>
      <c r="R81" s="4108"/>
      <c r="S81" s="4108"/>
      <c r="T81" s="4108"/>
      <c r="U81" s="4108"/>
      <c r="V81" s="4108"/>
      <c r="W81" s="4108"/>
      <c r="X81" s="4108"/>
      <c r="Y81" s="4108"/>
      <c r="Z81" s="4108"/>
      <c r="AA81" s="4108"/>
      <c r="AB81" s="4108"/>
      <c r="AC81" s="1894"/>
    </row>
    <row r="82" spans="2:30" s="2616" customFormat="1" ht="23.45" customHeight="1" x14ac:dyDescent="0.2">
      <c r="B82" s="4108" t="s">
        <v>45</v>
      </c>
      <c r="C82" s="4108"/>
      <c r="D82" s="4108"/>
      <c r="E82" s="4108"/>
      <c r="F82" s="4108"/>
      <c r="G82" s="4108"/>
      <c r="H82" s="4108"/>
      <c r="I82" s="4108"/>
      <c r="J82" s="4108"/>
      <c r="K82" s="4108"/>
      <c r="L82" s="4108"/>
      <c r="M82" s="4108"/>
      <c r="N82" s="4108"/>
      <c r="O82" s="4108"/>
      <c r="P82" s="4108"/>
      <c r="Q82" s="4108"/>
      <c r="R82" s="4108"/>
      <c r="S82" s="4108"/>
      <c r="T82" s="4108"/>
      <c r="U82" s="4108"/>
      <c r="V82" s="4108"/>
      <c r="W82" s="4108"/>
      <c r="X82" s="4108"/>
      <c r="Y82" s="4108"/>
      <c r="Z82" s="4108"/>
      <c r="AA82" s="4108"/>
      <c r="AB82" s="4108"/>
      <c r="AC82" s="1894"/>
    </row>
    <row r="83" spans="2:30" s="2616" customFormat="1" ht="23.45" customHeight="1" x14ac:dyDescent="0.2">
      <c r="B83" s="4108" t="s">
        <v>46</v>
      </c>
      <c r="C83" s="4108"/>
      <c r="D83" s="4108"/>
      <c r="E83" s="4108"/>
      <c r="F83" s="4108"/>
      <c r="G83" s="4108"/>
      <c r="H83" s="4108"/>
      <c r="I83" s="4108"/>
      <c r="J83" s="4108"/>
      <c r="K83" s="4108"/>
      <c r="L83" s="4108"/>
      <c r="M83" s="4108"/>
      <c r="N83" s="4108"/>
      <c r="O83" s="4108"/>
      <c r="P83" s="4108"/>
      <c r="Q83" s="4108"/>
      <c r="R83" s="4108"/>
      <c r="S83" s="4108"/>
      <c r="T83" s="4108"/>
      <c r="U83" s="4108"/>
      <c r="V83" s="4108"/>
      <c r="W83" s="4108"/>
      <c r="X83" s="4108"/>
      <c r="Y83" s="4108"/>
      <c r="Z83" s="4108"/>
      <c r="AA83" s="4108"/>
      <c r="AB83" s="4108"/>
      <c r="AC83" s="1894"/>
    </row>
    <row r="84" spans="2:30" s="2616" customFormat="1" ht="23.45" customHeight="1" x14ac:dyDescent="0.2">
      <c r="B84" s="3294" t="s">
        <v>1981</v>
      </c>
      <c r="C84" s="3294"/>
      <c r="D84" s="3294"/>
      <c r="E84" s="3294"/>
      <c r="F84" s="3294"/>
      <c r="G84" s="3294"/>
      <c r="H84" s="3294"/>
      <c r="I84" s="3294"/>
      <c r="J84" s="3294"/>
      <c r="K84" s="3294"/>
      <c r="L84" s="3294"/>
      <c r="M84" s="3294"/>
      <c r="N84" s="3294"/>
      <c r="O84" s="3294"/>
      <c r="P84" s="3294"/>
      <c r="Q84" s="3294"/>
      <c r="R84" s="3294"/>
      <c r="S84" s="3294"/>
      <c r="T84" s="3294"/>
      <c r="U84" s="3294"/>
      <c r="V84" s="3294"/>
      <c r="W84" s="3294"/>
      <c r="X84" s="3294"/>
      <c r="Y84" s="3294"/>
      <c r="Z84" s="3294"/>
      <c r="AA84" s="3294"/>
      <c r="AB84" s="3294"/>
      <c r="AC84" s="1853"/>
    </row>
    <row r="85" spans="2:30" s="2616" customFormat="1" ht="23.45" customHeight="1" x14ac:dyDescent="0.2">
      <c r="B85" s="1722"/>
      <c r="C85" s="1722"/>
      <c r="D85" s="1722"/>
      <c r="E85" s="1722"/>
      <c r="F85" s="1722"/>
      <c r="G85" s="1722"/>
      <c r="H85" s="1722"/>
      <c r="I85" s="1722"/>
      <c r="J85" s="1722"/>
      <c r="K85" s="1722"/>
      <c r="L85" s="1722"/>
      <c r="M85" s="1722"/>
      <c r="N85" s="1722"/>
      <c r="O85" s="1722"/>
      <c r="P85" s="1722"/>
      <c r="Q85" s="1722"/>
      <c r="R85" s="1722"/>
      <c r="S85" s="1722"/>
      <c r="T85" s="1722"/>
      <c r="U85" s="1722"/>
      <c r="V85" s="1722"/>
      <c r="W85" s="1722"/>
      <c r="X85" s="1722"/>
      <c r="Y85" s="1722"/>
      <c r="Z85" s="1722"/>
      <c r="AA85" s="1722"/>
      <c r="AB85" s="1722"/>
      <c r="AC85" s="1853"/>
    </row>
    <row r="86" spans="2:30" s="2616" customFormat="1" ht="25.15" customHeight="1" x14ac:dyDescent="0.2">
      <c r="B86" s="1722"/>
      <c r="C86" s="1722"/>
      <c r="D86" s="1722"/>
      <c r="E86" s="1722"/>
      <c r="F86" s="1722"/>
      <c r="G86" s="1722"/>
      <c r="H86" s="1722"/>
      <c r="I86" s="1722"/>
      <c r="J86" s="1722"/>
      <c r="K86" s="1722"/>
      <c r="L86" s="1722"/>
      <c r="M86" s="1722"/>
      <c r="N86" s="1722"/>
      <c r="O86" s="1722"/>
      <c r="P86" s="1722"/>
      <c r="Q86" s="1722"/>
      <c r="R86" s="1722"/>
      <c r="S86" s="1722"/>
      <c r="T86" s="1722"/>
      <c r="U86" s="1722"/>
      <c r="V86" s="1722"/>
      <c r="W86" s="1722"/>
      <c r="X86" s="1722"/>
      <c r="Y86" s="1722"/>
      <c r="Z86" s="1722"/>
      <c r="AA86" s="1722"/>
      <c r="AB86" s="1722"/>
      <c r="AC86" s="1853"/>
    </row>
    <row r="87" spans="2:30" s="2616" customFormat="1" ht="27.6" customHeight="1" x14ac:dyDescent="0.2">
      <c r="B87" s="1722"/>
      <c r="C87" s="1722"/>
      <c r="D87" s="1722"/>
      <c r="E87" s="1722"/>
      <c r="F87" s="1722"/>
      <c r="G87" s="1722"/>
      <c r="H87" s="1722"/>
      <c r="I87" s="1722"/>
      <c r="J87" s="1722"/>
      <c r="K87" s="1722"/>
      <c r="L87" s="1722"/>
      <c r="M87" s="1722"/>
      <c r="N87" s="1722"/>
      <c r="O87" s="1722"/>
      <c r="P87" s="1722"/>
      <c r="Q87" s="1722"/>
      <c r="R87" s="1722"/>
      <c r="S87" s="1722"/>
      <c r="T87" s="1722"/>
      <c r="U87" s="1722"/>
      <c r="V87" s="1722"/>
      <c r="W87" s="1722"/>
      <c r="X87" s="1722"/>
      <c r="Y87" s="1722"/>
      <c r="Z87" s="1722"/>
      <c r="AA87" s="1722"/>
      <c r="AB87" s="1722"/>
      <c r="AC87" s="1853"/>
    </row>
    <row r="88" spans="2:30" s="2616" customFormat="1" ht="27.6" customHeight="1" x14ac:dyDescent="0.2">
      <c r="B88" s="4110" t="s">
        <v>1848</v>
      </c>
      <c r="C88" s="4110"/>
      <c r="D88" s="4110"/>
      <c r="E88" s="2656"/>
      <c r="F88" s="2657"/>
      <c r="G88" s="2658"/>
      <c r="H88" s="2658"/>
      <c r="I88" s="2658"/>
      <c r="J88" s="2658"/>
      <c r="K88" s="2658"/>
      <c r="L88" s="2658"/>
      <c r="M88" s="2658"/>
      <c r="N88" s="2658"/>
      <c r="O88" s="2658"/>
      <c r="P88" s="2658"/>
      <c r="Q88" s="2658"/>
      <c r="R88" s="2658"/>
      <c r="S88" s="2658"/>
      <c r="T88" s="2658"/>
      <c r="U88" s="2658"/>
      <c r="V88" s="2658"/>
      <c r="W88" s="2658"/>
      <c r="X88" s="104"/>
      <c r="Y88" s="104"/>
      <c r="Z88" s="104"/>
      <c r="AA88" s="104"/>
      <c r="AB88" s="2608" t="s">
        <v>194</v>
      </c>
    </row>
    <row r="89" spans="2:30" s="2616" customFormat="1" ht="36.6" customHeight="1" x14ac:dyDescent="0.2">
      <c r="B89" s="4112" t="s">
        <v>419</v>
      </c>
      <c r="C89" s="4117" t="s">
        <v>196</v>
      </c>
      <c r="D89" s="4124" t="s">
        <v>197</v>
      </c>
      <c r="E89" s="4111" t="s">
        <v>1400</v>
      </c>
      <c r="F89" s="2609"/>
      <c r="G89" s="4111" t="s">
        <v>921</v>
      </c>
      <c r="H89" s="4118" t="s">
        <v>1116</v>
      </c>
      <c r="I89" s="4118" t="s">
        <v>1271</v>
      </c>
      <c r="J89" s="4135" t="s">
        <v>1272</v>
      </c>
      <c r="K89" s="4136"/>
      <c r="L89" s="4136"/>
      <c r="M89" s="4136"/>
      <c r="N89" s="4136"/>
      <c r="O89" s="4137"/>
      <c r="P89" s="4113" t="s">
        <v>423</v>
      </c>
      <c r="Q89" s="4115" t="s">
        <v>827</v>
      </c>
      <c r="R89" s="4115" t="s">
        <v>888</v>
      </c>
      <c r="S89" s="4115"/>
      <c r="T89" s="4114" t="s">
        <v>2015</v>
      </c>
      <c r="U89" s="4121" t="s">
        <v>1274</v>
      </c>
      <c r="V89" s="4121" t="s">
        <v>2016</v>
      </c>
      <c r="W89" s="4116" t="s">
        <v>1033</v>
      </c>
      <c r="X89" s="2610"/>
      <c r="Y89" s="4127" t="s">
        <v>296</v>
      </c>
      <c r="Z89" s="4127" t="s">
        <v>190</v>
      </c>
      <c r="AA89" s="4129" t="s">
        <v>313</v>
      </c>
      <c r="AB89" s="4111" t="s">
        <v>2013</v>
      </c>
    </row>
    <row r="90" spans="2:30" s="2616" customFormat="1" ht="61.15" customHeight="1" x14ac:dyDescent="0.2">
      <c r="B90" s="4112"/>
      <c r="C90" s="4117"/>
      <c r="D90" s="4124"/>
      <c r="E90" s="4111"/>
      <c r="F90" s="2609"/>
      <c r="G90" s="4111"/>
      <c r="H90" s="4119"/>
      <c r="I90" s="4119"/>
      <c r="J90" s="4138"/>
      <c r="K90" s="4139"/>
      <c r="L90" s="4139"/>
      <c r="M90" s="4139"/>
      <c r="N90" s="4139"/>
      <c r="O90" s="4140"/>
      <c r="P90" s="4113"/>
      <c r="Q90" s="4115"/>
      <c r="R90" s="4109" t="s">
        <v>889</v>
      </c>
      <c r="S90" s="4109" t="s">
        <v>890</v>
      </c>
      <c r="T90" s="4114"/>
      <c r="U90" s="4122"/>
      <c r="V90" s="4122"/>
      <c r="W90" s="4116"/>
      <c r="X90" s="2611"/>
      <c r="Y90" s="4127"/>
      <c r="Z90" s="4127"/>
      <c r="AA90" s="4130"/>
      <c r="AB90" s="4111"/>
    </row>
    <row r="91" spans="2:30" s="2616" customFormat="1" ht="63" customHeight="1" x14ac:dyDescent="0.2">
      <c r="B91" s="4112"/>
      <c r="C91" s="4117"/>
      <c r="D91" s="4124"/>
      <c r="E91" s="4111"/>
      <c r="F91" s="2612" t="s">
        <v>421</v>
      </c>
      <c r="G91" s="2613" t="s">
        <v>27</v>
      </c>
      <c r="H91" s="4120"/>
      <c r="I91" s="4120"/>
      <c r="J91" s="2614" t="s">
        <v>1273</v>
      </c>
      <c r="K91" s="2614" t="s">
        <v>1292</v>
      </c>
      <c r="L91" s="2612" t="s">
        <v>999</v>
      </c>
      <c r="M91" s="2612" t="s">
        <v>422</v>
      </c>
      <c r="N91" s="2612" t="s">
        <v>2014</v>
      </c>
      <c r="O91" s="2615" t="s">
        <v>1794</v>
      </c>
      <c r="P91" s="4113"/>
      <c r="Q91" s="4115"/>
      <c r="R91" s="4109"/>
      <c r="S91" s="4109"/>
      <c r="T91" s="4114"/>
      <c r="U91" s="4123"/>
      <c r="V91" s="4123"/>
      <c r="W91" s="4116"/>
      <c r="X91" s="373" t="s">
        <v>62</v>
      </c>
      <c r="Y91" s="4127"/>
      <c r="Z91" s="4127"/>
      <c r="AA91" s="4131"/>
      <c r="AB91" s="4111"/>
    </row>
    <row r="92" spans="2:30" s="2616" customFormat="1" ht="21.6" customHeight="1" x14ac:dyDescent="0.2">
      <c r="B92" s="4125" t="s">
        <v>180</v>
      </c>
      <c r="C92" s="4112" t="s">
        <v>181</v>
      </c>
      <c r="D92" s="4112"/>
      <c r="E92" s="2623">
        <f>E75</f>
        <v>36864079031855</v>
      </c>
      <c r="F92" s="2623">
        <f t="shared" ref="F92:AB92" si="7">F75</f>
        <v>120642728000</v>
      </c>
      <c r="G92" s="2623">
        <f t="shared" si="7"/>
        <v>9079867000000</v>
      </c>
      <c r="H92" s="2623">
        <f t="shared" si="7"/>
        <v>0</v>
      </c>
      <c r="I92" s="2623">
        <f t="shared" si="7"/>
        <v>36864079031855</v>
      </c>
      <c r="J92" s="2623">
        <f t="shared" si="7"/>
        <v>271500000000</v>
      </c>
      <c r="K92" s="2623">
        <f t="shared" si="7"/>
        <v>232559000000</v>
      </c>
      <c r="L92" s="2623">
        <f t="shared" si="7"/>
        <v>0</v>
      </c>
      <c r="M92" s="2623">
        <f t="shared" si="7"/>
        <v>0</v>
      </c>
      <c r="N92" s="2623">
        <f t="shared" si="7"/>
        <v>1553690000000</v>
      </c>
      <c r="O92" s="2623">
        <f t="shared" si="7"/>
        <v>9801019000000</v>
      </c>
      <c r="P92" s="2623">
        <f t="shared" si="7"/>
        <v>-1582060020</v>
      </c>
      <c r="Q92" s="2623">
        <f t="shared" si="7"/>
        <v>0</v>
      </c>
      <c r="R92" s="2623">
        <f t="shared" si="7"/>
        <v>0</v>
      </c>
      <c r="S92" s="2623">
        <f t="shared" si="7"/>
        <v>0</v>
      </c>
      <c r="T92" s="2623">
        <f t="shared" si="7"/>
        <v>-339521000000</v>
      </c>
      <c r="U92" s="2623">
        <f t="shared" si="7"/>
        <v>200467000000</v>
      </c>
      <c r="V92" s="2623">
        <f t="shared" si="7"/>
        <v>586345980000</v>
      </c>
      <c r="W92" s="2623">
        <f t="shared" si="7"/>
        <v>-172115000000</v>
      </c>
      <c r="X92" s="2623">
        <f t="shared" si="7"/>
        <v>0</v>
      </c>
      <c r="Y92" s="2623" t="e">
        <f t="shared" si="7"/>
        <v>#N/A</v>
      </c>
      <c r="Z92" s="2623" t="e">
        <f t="shared" si="7"/>
        <v>#N/A</v>
      </c>
      <c r="AA92" s="2623">
        <f t="shared" si="7"/>
        <v>0</v>
      </c>
      <c r="AB92" s="2623">
        <f t="shared" si="7"/>
        <v>48492382951835</v>
      </c>
    </row>
    <row r="93" spans="2:30" s="2616" customFormat="1" ht="24" customHeight="1" x14ac:dyDescent="0.2">
      <c r="B93" s="4125"/>
      <c r="C93" s="1691" t="s">
        <v>234</v>
      </c>
      <c r="D93" s="2618" t="s">
        <v>235</v>
      </c>
      <c r="E93" s="2613">
        <v>52390350683</v>
      </c>
      <c r="F93" s="2623">
        <v>0</v>
      </c>
      <c r="G93" s="2620">
        <v>24524000000</v>
      </c>
      <c r="H93" s="2620"/>
      <c r="I93" s="2620">
        <f>E93+H93</f>
        <v>52390350683</v>
      </c>
      <c r="J93" s="2620"/>
      <c r="K93" s="2620"/>
      <c r="L93" s="276"/>
      <c r="M93" s="2669"/>
      <c r="N93" s="2620">
        <f>J93+L93+M93+K93</f>
        <v>0</v>
      </c>
      <c r="O93" s="2620"/>
      <c r="P93" s="276"/>
      <c r="Q93" s="2620"/>
      <c r="R93" s="301"/>
      <c r="S93" s="2620"/>
      <c r="T93" s="2620">
        <f>-K93</f>
        <v>0</v>
      </c>
      <c r="U93" s="2620"/>
      <c r="V93" s="2628"/>
      <c r="W93" s="2670"/>
      <c r="X93" s="276"/>
      <c r="Y93" s="2620" t="e">
        <f>#N/A</f>
        <v>#N/A</v>
      </c>
      <c r="Z93" s="276" t="e">
        <f>#N/A</f>
        <v>#N/A</v>
      </c>
      <c r="AA93" s="276"/>
      <c r="AB93" s="2620">
        <f>P93+W93+S93+R93+Q93+N93+T93+E93+H93+O93+V93+U93+M93</f>
        <v>52390350683</v>
      </c>
    </row>
    <row r="94" spans="2:30" s="2616" customFormat="1" ht="18.600000000000001" customHeight="1" x14ac:dyDescent="0.2">
      <c r="B94" s="4125"/>
      <c r="C94" s="1691" t="s">
        <v>213</v>
      </c>
      <c r="D94" s="2618" t="s">
        <v>214</v>
      </c>
      <c r="E94" s="2613">
        <v>36429403743</v>
      </c>
      <c r="F94" s="2623">
        <v>0</v>
      </c>
      <c r="G94" s="2620">
        <v>5339000000</v>
      </c>
      <c r="H94" s="2620"/>
      <c r="I94" s="2620">
        <f t="shared" ref="I94:I111" si="8">E94+H94</f>
        <v>36429403743</v>
      </c>
      <c r="J94" s="2620"/>
      <c r="K94" s="2620"/>
      <c r="L94" s="276"/>
      <c r="M94" s="2671"/>
      <c r="N94" s="2620">
        <f t="shared" ref="N94:N110" si="9">J94+L94+M94+K94</f>
        <v>0</v>
      </c>
      <c r="O94" s="2620"/>
      <c r="P94" s="276"/>
      <c r="Q94" s="2620"/>
      <c r="R94" s="2620"/>
      <c r="S94" s="2620"/>
      <c r="T94" s="2620">
        <f t="shared" ref="T94:T111" si="10">-K94</f>
        <v>0</v>
      </c>
      <c r="U94" s="2620"/>
      <c r="V94" s="2672"/>
      <c r="W94" s="2673"/>
      <c r="X94" s="276"/>
      <c r="Y94" s="2620" t="e">
        <f>#N/A</f>
        <v>#N/A</v>
      </c>
      <c r="Z94" s="276" t="e">
        <f>#N/A</f>
        <v>#N/A</v>
      </c>
      <c r="AA94" s="276"/>
      <c r="AB94" s="2620">
        <f t="shared" ref="AB94:AB111" si="11">P94+W94+S94+R94+Q94+N94+T94+E94+H94+O94+V94+U94+M94</f>
        <v>36429403743</v>
      </c>
      <c r="AD94" s="2616">
        <v>36429403743</v>
      </c>
    </row>
    <row r="95" spans="2:30" s="2616" customFormat="1" ht="18.600000000000001" customHeight="1" x14ac:dyDescent="0.2">
      <c r="B95" s="4125"/>
      <c r="C95" s="1691" t="s">
        <v>130</v>
      </c>
      <c r="D95" s="2618" t="s">
        <v>131</v>
      </c>
      <c r="E95" s="2613">
        <v>1600000000</v>
      </c>
      <c r="F95" s="2623">
        <v>0</v>
      </c>
      <c r="G95" s="2620">
        <v>1600000000</v>
      </c>
      <c r="H95" s="2620"/>
      <c r="I95" s="2620">
        <f t="shared" si="8"/>
        <v>1600000000</v>
      </c>
      <c r="J95" s="2620"/>
      <c r="K95" s="2620"/>
      <c r="L95" s="276"/>
      <c r="M95" s="2674"/>
      <c r="N95" s="2620">
        <f t="shared" si="9"/>
        <v>0</v>
      </c>
      <c r="O95" s="2620"/>
      <c r="P95" s="276"/>
      <c r="Q95" s="2620"/>
      <c r="R95" s="301"/>
      <c r="S95" s="2620"/>
      <c r="T95" s="2620">
        <f t="shared" si="10"/>
        <v>0</v>
      </c>
      <c r="U95" s="2620"/>
      <c r="V95" s="2634"/>
      <c r="W95" s="2620"/>
      <c r="X95" s="276"/>
      <c r="Y95" s="2620" t="e">
        <f>#N/A</f>
        <v>#N/A</v>
      </c>
      <c r="Z95" s="276" t="e">
        <f>#N/A</f>
        <v>#N/A</v>
      </c>
      <c r="AA95" s="276"/>
      <c r="AB95" s="2620">
        <f t="shared" si="11"/>
        <v>1600000000</v>
      </c>
      <c r="AD95" s="2616">
        <v>1600000000</v>
      </c>
    </row>
    <row r="96" spans="2:30" s="2616" customFormat="1" ht="21" customHeight="1" x14ac:dyDescent="0.2">
      <c r="B96" s="4125"/>
      <c r="C96" s="1691" t="s">
        <v>189</v>
      </c>
      <c r="D96" s="2618" t="s">
        <v>132</v>
      </c>
      <c r="E96" s="2613">
        <v>-34333835</v>
      </c>
      <c r="F96" s="2623">
        <v>0</v>
      </c>
      <c r="G96" s="2620">
        <v>-77000000</v>
      </c>
      <c r="H96" s="2620"/>
      <c r="I96" s="2620">
        <f>E96+H96</f>
        <v>-34333835</v>
      </c>
      <c r="J96" s="2620"/>
      <c r="K96" s="2620"/>
      <c r="L96" s="276"/>
      <c r="M96" s="2674"/>
      <c r="N96" s="2620">
        <f t="shared" si="9"/>
        <v>0</v>
      </c>
      <c r="O96" s="2620"/>
      <c r="P96" s="276"/>
      <c r="Q96" s="2620"/>
      <c r="R96" s="2620"/>
      <c r="S96" s="2620"/>
      <c r="T96" s="2620">
        <f t="shared" si="10"/>
        <v>0</v>
      </c>
      <c r="U96" s="2620"/>
      <c r="V96" s="2674"/>
      <c r="W96" s="2620"/>
      <c r="X96" s="276"/>
      <c r="Y96" s="2620" t="e">
        <f>#N/A</f>
        <v>#N/A</v>
      </c>
      <c r="Z96" s="276" t="e">
        <f>#N/A</f>
        <v>#N/A</v>
      </c>
      <c r="AA96" s="276"/>
      <c r="AB96" s="2620">
        <f t="shared" si="11"/>
        <v>-34333835</v>
      </c>
    </row>
    <row r="97" spans="2:30" s="2616" customFormat="1" ht="23.45" customHeight="1" x14ac:dyDescent="0.2">
      <c r="B97" s="4125"/>
      <c r="C97" s="1691" t="s">
        <v>157</v>
      </c>
      <c r="D97" s="2618" t="s">
        <v>133</v>
      </c>
      <c r="E97" s="2613">
        <v>51460993323</v>
      </c>
      <c r="F97" s="2623">
        <v>0</v>
      </c>
      <c r="G97" s="2620">
        <v>47000000000</v>
      </c>
      <c r="H97" s="2620"/>
      <c r="I97" s="2620">
        <f t="shared" si="8"/>
        <v>51460993323</v>
      </c>
      <c r="J97" s="2620"/>
      <c r="K97" s="2620"/>
      <c r="L97" s="276"/>
      <c r="M97" s="2674"/>
      <c r="N97" s="2620">
        <f t="shared" si="9"/>
        <v>0</v>
      </c>
      <c r="O97" s="2620"/>
      <c r="P97" s="276"/>
      <c r="Q97" s="2620"/>
      <c r="R97" s="2620"/>
      <c r="S97" s="2620"/>
      <c r="T97" s="2620">
        <f t="shared" si="10"/>
        <v>0</v>
      </c>
      <c r="U97" s="2620"/>
      <c r="V97" s="2674"/>
      <c r="W97" s="2620"/>
      <c r="X97" s="276"/>
      <c r="Y97" s="2620" t="e">
        <f>#N/A</f>
        <v>#N/A</v>
      </c>
      <c r="Z97" s="276" t="e">
        <f>#N/A</f>
        <v>#N/A</v>
      </c>
      <c r="AA97" s="276"/>
      <c r="AB97" s="2620">
        <f t="shared" si="11"/>
        <v>51460993323</v>
      </c>
    </row>
    <row r="98" spans="2:30" s="2616" customFormat="1" ht="23.45" customHeight="1" x14ac:dyDescent="0.2">
      <c r="B98" s="4125"/>
      <c r="C98" s="1691" t="s">
        <v>236</v>
      </c>
      <c r="D98" s="2618" t="s">
        <v>237</v>
      </c>
      <c r="E98" s="2613">
        <v>19645000000</v>
      </c>
      <c r="F98" s="2623">
        <v>0</v>
      </c>
      <c r="G98" s="2620">
        <v>1655000000</v>
      </c>
      <c r="H98" s="2620"/>
      <c r="I98" s="2620">
        <f t="shared" si="8"/>
        <v>19645000000</v>
      </c>
      <c r="J98" s="2620"/>
      <c r="K98" s="2620"/>
      <c r="L98" s="276"/>
      <c r="M98" s="2674"/>
      <c r="N98" s="2620">
        <f t="shared" si="9"/>
        <v>0</v>
      </c>
      <c r="O98" s="2620"/>
      <c r="P98" s="276"/>
      <c r="Q98" s="2620"/>
      <c r="R98" s="2620"/>
      <c r="S98" s="2620"/>
      <c r="T98" s="2620">
        <f t="shared" si="10"/>
        <v>0</v>
      </c>
      <c r="U98" s="2620"/>
      <c r="V98" s="2674"/>
      <c r="W98" s="2620"/>
      <c r="X98" s="276"/>
      <c r="Y98" s="2620" t="e">
        <f>#N/A</f>
        <v>#N/A</v>
      </c>
      <c r="Z98" s="276" t="e">
        <f>#N/A</f>
        <v>#N/A</v>
      </c>
      <c r="AA98" s="276"/>
      <c r="AB98" s="2620">
        <f t="shared" si="11"/>
        <v>19645000000</v>
      </c>
      <c r="AD98" s="2616">
        <v>19645000000</v>
      </c>
    </row>
    <row r="99" spans="2:30" s="2616" customFormat="1" ht="21" customHeight="1" x14ac:dyDescent="0.2">
      <c r="B99" s="4125"/>
      <c r="C99" s="1691" t="s">
        <v>158</v>
      </c>
      <c r="D99" s="2618" t="s">
        <v>134</v>
      </c>
      <c r="E99" s="2666">
        <v>8860000000</v>
      </c>
      <c r="F99" s="2675">
        <v>0</v>
      </c>
      <c r="G99" s="2627">
        <v>14913000000</v>
      </c>
      <c r="H99" s="2627"/>
      <c r="I99" s="2620">
        <f t="shared" si="8"/>
        <v>8860000000</v>
      </c>
      <c r="J99" s="2627"/>
      <c r="K99" s="2627"/>
      <c r="L99" s="327"/>
      <c r="M99" s="2663"/>
      <c r="N99" s="2620">
        <f t="shared" si="9"/>
        <v>0</v>
      </c>
      <c r="O99" s="2620"/>
      <c r="P99" s="276"/>
      <c r="Q99" s="2620"/>
      <c r="R99" s="2620"/>
      <c r="S99" s="2620"/>
      <c r="T99" s="2620">
        <f t="shared" si="10"/>
        <v>0</v>
      </c>
      <c r="U99" s="2620"/>
      <c r="V99" s="2674"/>
      <c r="W99" s="2620"/>
      <c r="X99" s="276"/>
      <c r="Y99" s="2620" t="e">
        <f>#N/A</f>
        <v>#N/A</v>
      </c>
      <c r="Z99" s="276" t="e">
        <f>#N/A</f>
        <v>#N/A</v>
      </c>
      <c r="AA99" s="276"/>
      <c r="AB99" s="2620">
        <f t="shared" si="11"/>
        <v>8860000000</v>
      </c>
    </row>
    <row r="100" spans="2:30" s="2616" customFormat="1" ht="21" customHeight="1" x14ac:dyDescent="0.2">
      <c r="B100" s="4125"/>
      <c r="C100" s="1691" t="s">
        <v>258</v>
      </c>
      <c r="D100" s="2676" t="s">
        <v>259</v>
      </c>
      <c r="E100" s="2677">
        <v>9762941392</v>
      </c>
      <c r="F100" s="266">
        <v>0</v>
      </c>
      <c r="G100" s="277">
        <v>996000000</v>
      </c>
      <c r="H100" s="277"/>
      <c r="I100" s="2620">
        <f t="shared" si="8"/>
        <v>9762941392</v>
      </c>
      <c r="J100" s="277"/>
      <c r="K100" s="277"/>
      <c r="L100" s="276"/>
      <c r="M100" s="2663"/>
      <c r="N100" s="2620">
        <f t="shared" si="9"/>
        <v>0</v>
      </c>
      <c r="O100" s="2620"/>
      <c r="P100" s="276"/>
      <c r="Q100" s="2620"/>
      <c r="R100" s="2620"/>
      <c r="S100" s="2620"/>
      <c r="T100" s="2620">
        <f t="shared" si="10"/>
        <v>0</v>
      </c>
      <c r="U100" s="277"/>
      <c r="V100" s="2674"/>
      <c r="W100" s="2620"/>
      <c r="X100" s="276"/>
      <c r="Y100" s="2620" t="e">
        <f>#N/A</f>
        <v>#N/A</v>
      </c>
      <c r="Z100" s="276" t="e">
        <f>#N/A</f>
        <v>#N/A</v>
      </c>
      <c r="AA100" s="276"/>
      <c r="AB100" s="2620">
        <f t="shared" si="11"/>
        <v>9762941392</v>
      </c>
    </row>
    <row r="101" spans="2:30" s="2616" customFormat="1" ht="24" customHeight="1" x14ac:dyDescent="0.2">
      <c r="B101" s="4125"/>
      <c r="C101" s="1691" t="s">
        <v>260</v>
      </c>
      <c r="D101" s="2676" t="s">
        <v>261</v>
      </c>
      <c r="E101" s="2677">
        <v>30633126762</v>
      </c>
      <c r="F101" s="220">
        <v>0</v>
      </c>
      <c r="G101" s="279">
        <v>527000000</v>
      </c>
      <c r="H101" s="279"/>
      <c r="I101" s="2620">
        <f t="shared" si="8"/>
        <v>30633126762</v>
      </c>
      <c r="J101" s="247"/>
      <c r="K101" s="247"/>
      <c r="L101" s="280"/>
      <c r="M101" s="2631"/>
      <c r="N101" s="2620">
        <f t="shared" si="9"/>
        <v>0</v>
      </c>
      <c r="O101" s="2620"/>
      <c r="P101" s="276"/>
      <c r="Q101" s="2620"/>
      <c r="R101" s="2620"/>
      <c r="S101" s="2620"/>
      <c r="T101" s="2620">
        <f t="shared" si="10"/>
        <v>0</v>
      </c>
      <c r="U101" s="257"/>
      <c r="V101" s="2669"/>
      <c r="W101" s="2620"/>
      <c r="X101" s="276"/>
      <c r="Y101" s="2620" t="e">
        <f>#N/A</f>
        <v>#N/A</v>
      </c>
      <c r="Z101" s="276" t="e">
        <f>#N/A</f>
        <v>#N/A</v>
      </c>
      <c r="AA101" s="276"/>
      <c r="AB101" s="2620">
        <f t="shared" si="11"/>
        <v>30633126762</v>
      </c>
    </row>
    <row r="102" spans="2:30" s="2616" customFormat="1" ht="24" customHeight="1" x14ac:dyDescent="0.2">
      <c r="B102" s="4125"/>
      <c r="C102" s="1691" t="s">
        <v>262</v>
      </c>
      <c r="D102" s="2676" t="s">
        <v>263</v>
      </c>
      <c r="E102" s="2677">
        <v>6487475680</v>
      </c>
      <c r="F102" s="220">
        <v>0</v>
      </c>
      <c r="G102" s="279">
        <v>44000000</v>
      </c>
      <c r="H102" s="279"/>
      <c r="I102" s="2620">
        <f t="shared" si="8"/>
        <v>6487475680</v>
      </c>
      <c r="J102" s="247"/>
      <c r="K102" s="247"/>
      <c r="L102" s="280"/>
      <c r="M102" s="2631"/>
      <c r="N102" s="2620">
        <f t="shared" si="9"/>
        <v>0</v>
      </c>
      <c r="O102" s="2620"/>
      <c r="P102" s="276"/>
      <c r="Q102" s="2620"/>
      <c r="R102" s="2620"/>
      <c r="S102" s="2620"/>
      <c r="T102" s="2620">
        <f t="shared" si="10"/>
        <v>0</v>
      </c>
      <c r="U102" s="257"/>
      <c r="V102" s="2669"/>
      <c r="W102" s="2620"/>
      <c r="X102" s="276"/>
      <c r="Y102" s="2620" t="e">
        <f>#N/A</f>
        <v>#N/A</v>
      </c>
      <c r="Z102" s="276" t="e">
        <f>#N/A</f>
        <v>#N/A</v>
      </c>
      <c r="AA102" s="276"/>
      <c r="AB102" s="2620">
        <f t="shared" si="11"/>
        <v>6487475680</v>
      </c>
    </row>
    <row r="103" spans="2:30" s="2616" customFormat="1" ht="24" customHeight="1" x14ac:dyDescent="0.2">
      <c r="B103" s="4125"/>
      <c r="C103" s="1691" t="s">
        <v>215</v>
      </c>
      <c r="D103" s="2676" t="s">
        <v>216</v>
      </c>
      <c r="E103" s="2677">
        <v>4000500000</v>
      </c>
      <c r="F103" s="220">
        <v>0</v>
      </c>
      <c r="G103" s="279">
        <v>127000000</v>
      </c>
      <c r="H103" s="279"/>
      <c r="I103" s="2620">
        <f t="shared" si="8"/>
        <v>4000500000</v>
      </c>
      <c r="J103" s="247"/>
      <c r="K103" s="247"/>
      <c r="L103" s="280"/>
      <c r="M103" s="2631"/>
      <c r="N103" s="2620">
        <f t="shared" si="9"/>
        <v>0</v>
      </c>
      <c r="O103" s="2620"/>
      <c r="P103" s="276"/>
      <c r="Q103" s="2620"/>
      <c r="R103" s="2620"/>
      <c r="S103" s="2620"/>
      <c r="T103" s="2620">
        <f t="shared" si="10"/>
        <v>0</v>
      </c>
      <c r="U103" s="257"/>
      <c r="V103" s="2669"/>
      <c r="W103" s="2620"/>
      <c r="X103" s="276"/>
      <c r="Y103" s="2620" t="e">
        <f>#N/A</f>
        <v>#N/A</v>
      </c>
      <c r="Z103" s="276" t="e">
        <f>#N/A</f>
        <v>#N/A</v>
      </c>
      <c r="AA103" s="276"/>
      <c r="AB103" s="2620">
        <f t="shared" si="11"/>
        <v>4000500000</v>
      </c>
    </row>
    <row r="104" spans="2:30" s="2616" customFormat="1" ht="24" customHeight="1" x14ac:dyDescent="0.2">
      <c r="B104" s="4125"/>
      <c r="C104" s="1691" t="s">
        <v>266</v>
      </c>
      <c r="D104" s="2676" t="s">
        <v>267</v>
      </c>
      <c r="E104" s="2677">
        <v>18633100000</v>
      </c>
      <c r="F104" s="220">
        <v>0</v>
      </c>
      <c r="G104" s="279">
        <v>732000000</v>
      </c>
      <c r="H104" s="279"/>
      <c r="I104" s="2620">
        <f t="shared" si="8"/>
        <v>18633100000</v>
      </c>
      <c r="J104" s="247"/>
      <c r="K104" s="247"/>
      <c r="L104" s="280"/>
      <c r="M104" s="2631"/>
      <c r="N104" s="2620">
        <f t="shared" si="9"/>
        <v>0</v>
      </c>
      <c r="O104" s="2620"/>
      <c r="P104" s="276"/>
      <c r="Q104" s="2620"/>
      <c r="R104" s="2620"/>
      <c r="S104" s="2620"/>
      <c r="T104" s="2620">
        <f t="shared" si="10"/>
        <v>0</v>
      </c>
      <c r="U104" s="257"/>
      <c r="V104" s="2669"/>
      <c r="W104" s="2620"/>
      <c r="X104" s="276"/>
      <c r="Y104" s="2620" t="e">
        <f>#N/A</f>
        <v>#N/A</v>
      </c>
      <c r="Z104" s="276" t="e">
        <f>#N/A</f>
        <v>#N/A</v>
      </c>
      <c r="AA104" s="276"/>
      <c r="AB104" s="2620">
        <f t="shared" si="11"/>
        <v>18633100000</v>
      </c>
    </row>
    <row r="105" spans="2:30" s="2616" customFormat="1" ht="24" customHeight="1" x14ac:dyDescent="0.2">
      <c r="B105" s="4125"/>
      <c r="C105" s="1691" t="s">
        <v>429</v>
      </c>
      <c r="D105" s="2676" t="s">
        <v>319</v>
      </c>
      <c r="E105" s="2677">
        <v>70822253953</v>
      </c>
      <c r="F105" s="220">
        <v>0</v>
      </c>
      <c r="G105" s="279">
        <v>45981000000</v>
      </c>
      <c r="H105" s="279"/>
      <c r="I105" s="2620">
        <f t="shared" si="8"/>
        <v>70822253953</v>
      </c>
      <c r="J105" s="247"/>
      <c r="K105" s="247"/>
      <c r="L105" s="281"/>
      <c r="M105" s="2630"/>
      <c r="N105" s="2620">
        <f t="shared" si="9"/>
        <v>0</v>
      </c>
      <c r="O105" s="2678"/>
      <c r="P105" s="286"/>
      <c r="Q105" s="2670"/>
      <c r="R105" s="600"/>
      <c r="S105" s="2670"/>
      <c r="T105" s="2620">
        <f t="shared" si="10"/>
        <v>0</v>
      </c>
      <c r="U105" s="2679"/>
      <c r="V105" s="2631"/>
      <c r="W105" s="2620"/>
      <c r="X105" s="276"/>
      <c r="Y105" s="2620" t="e">
        <f>#N/A</f>
        <v>#N/A</v>
      </c>
      <c r="Z105" s="276" t="e">
        <f>#N/A</f>
        <v>#N/A</v>
      </c>
      <c r="AA105" s="276"/>
      <c r="AB105" s="2620">
        <f t="shared" si="11"/>
        <v>70822253953</v>
      </c>
    </row>
    <row r="106" spans="2:30" s="2616" customFormat="1" ht="24" customHeight="1" x14ac:dyDescent="0.2">
      <c r="B106" s="4125"/>
      <c r="C106" s="1691" t="s">
        <v>269</v>
      </c>
      <c r="D106" s="2676" t="s">
        <v>270</v>
      </c>
      <c r="E106" s="2677">
        <v>19411316222</v>
      </c>
      <c r="F106" s="220">
        <v>0</v>
      </c>
      <c r="G106" s="279">
        <v>174000000</v>
      </c>
      <c r="H106" s="279"/>
      <c r="I106" s="2620">
        <f t="shared" si="8"/>
        <v>19411316222</v>
      </c>
      <c r="J106" s="247"/>
      <c r="K106" s="247"/>
      <c r="L106" s="280"/>
      <c r="M106" s="2630"/>
      <c r="N106" s="2620">
        <f t="shared" si="9"/>
        <v>0</v>
      </c>
      <c r="O106" s="2631"/>
      <c r="P106" s="2630"/>
      <c r="Q106" s="2630"/>
      <c r="R106" s="2630"/>
      <c r="S106" s="2630"/>
      <c r="T106" s="2620">
        <f t="shared" si="10"/>
        <v>0</v>
      </c>
      <c r="U106" s="247"/>
      <c r="V106" s="2631"/>
      <c r="W106" s="2620"/>
      <c r="X106" s="276"/>
      <c r="Y106" s="2620" t="e">
        <f>#N/A</f>
        <v>#N/A</v>
      </c>
      <c r="Z106" s="276" t="e">
        <f>#N/A</f>
        <v>#N/A</v>
      </c>
      <c r="AA106" s="276"/>
      <c r="AB106" s="2620">
        <f t="shared" si="11"/>
        <v>19411316222</v>
      </c>
    </row>
    <row r="107" spans="2:30" s="2616" customFormat="1" ht="24" customHeight="1" x14ac:dyDescent="0.2">
      <c r="B107" s="4125"/>
      <c r="C107" s="1691" t="s">
        <v>1059</v>
      </c>
      <c r="D107" s="2676" t="s">
        <v>2199</v>
      </c>
      <c r="E107" s="2677">
        <v>899652000</v>
      </c>
      <c r="F107" s="220">
        <v>0</v>
      </c>
      <c r="G107" s="279">
        <v>930000000</v>
      </c>
      <c r="H107" s="282"/>
      <c r="I107" s="2620">
        <f t="shared" si="8"/>
        <v>899652000</v>
      </c>
      <c r="J107" s="299"/>
      <c r="K107" s="299"/>
      <c r="L107" s="283"/>
      <c r="M107" s="2630"/>
      <c r="N107" s="2620">
        <f t="shared" si="9"/>
        <v>0</v>
      </c>
      <c r="O107" s="2631"/>
      <c r="P107" s="2630"/>
      <c r="Q107" s="2630"/>
      <c r="R107" s="2630"/>
      <c r="S107" s="2630"/>
      <c r="T107" s="2620">
        <f t="shared" si="10"/>
        <v>0</v>
      </c>
      <c r="U107" s="299"/>
      <c r="V107" s="2631"/>
      <c r="W107" s="2620"/>
      <c r="X107" s="276"/>
      <c r="Y107" s="2620" t="e">
        <f>#N/A</f>
        <v>#N/A</v>
      </c>
      <c r="Z107" s="276" t="e">
        <f>#N/A</f>
        <v>#N/A</v>
      </c>
      <c r="AA107" s="276"/>
      <c r="AB107" s="2620">
        <f t="shared" si="11"/>
        <v>899652000</v>
      </c>
    </row>
    <row r="108" spans="2:30" s="2616" customFormat="1" ht="24" customHeight="1" x14ac:dyDescent="0.2">
      <c r="B108" s="4125"/>
      <c r="C108" s="1691" t="s">
        <v>275</v>
      </c>
      <c r="D108" s="2676" t="s">
        <v>276</v>
      </c>
      <c r="E108" s="2677">
        <v>4832291224</v>
      </c>
      <c r="F108" s="220">
        <v>0</v>
      </c>
      <c r="G108" s="279">
        <v>235000000</v>
      </c>
      <c r="H108" s="282"/>
      <c r="I108" s="2620">
        <f t="shared" si="8"/>
        <v>4832291224</v>
      </c>
      <c r="J108" s="299"/>
      <c r="K108" s="299"/>
      <c r="L108" s="282"/>
      <c r="M108" s="2630"/>
      <c r="N108" s="2620">
        <f t="shared" si="9"/>
        <v>0</v>
      </c>
      <c r="O108" s="2631"/>
      <c r="P108" s="280"/>
      <c r="Q108" s="2630"/>
      <c r="R108" s="2630"/>
      <c r="S108" s="2630"/>
      <c r="T108" s="2620">
        <f t="shared" si="10"/>
        <v>0</v>
      </c>
      <c r="U108" s="299"/>
      <c r="V108" s="2631"/>
      <c r="W108" s="2620"/>
      <c r="X108" s="276"/>
      <c r="Y108" s="2620" t="e">
        <f>#N/A</f>
        <v>#N/A</v>
      </c>
      <c r="Z108" s="276" t="e">
        <f>#N/A</f>
        <v>#N/A</v>
      </c>
      <c r="AA108" s="276"/>
      <c r="AB108" s="2620">
        <f t="shared" si="11"/>
        <v>4832291224</v>
      </c>
    </row>
    <row r="109" spans="2:30" s="2616" customFormat="1" ht="24" customHeight="1" x14ac:dyDescent="0.2">
      <c r="B109" s="4125"/>
      <c r="C109" s="1691"/>
      <c r="D109" s="2676"/>
      <c r="E109" s="2677"/>
      <c r="F109" s="220">
        <v>0</v>
      </c>
      <c r="G109" s="279">
        <v>273000000</v>
      </c>
      <c r="H109" s="282"/>
      <c r="I109" s="2620">
        <f t="shared" si="8"/>
        <v>0</v>
      </c>
      <c r="J109" s="299"/>
      <c r="K109" s="299"/>
      <c r="L109" s="282"/>
      <c r="M109" s="2630"/>
      <c r="N109" s="2620">
        <f t="shared" si="9"/>
        <v>0</v>
      </c>
      <c r="O109" s="2631"/>
      <c r="P109" s="280"/>
      <c r="Q109" s="2630"/>
      <c r="R109" s="2630"/>
      <c r="S109" s="2630"/>
      <c r="T109" s="2620">
        <f t="shared" si="10"/>
        <v>0</v>
      </c>
      <c r="U109" s="299"/>
      <c r="V109" s="2631"/>
      <c r="W109" s="2620"/>
      <c r="X109" s="276"/>
      <c r="Y109" s="2620" t="e">
        <f>#N/A</f>
        <v>#N/A</v>
      </c>
      <c r="Z109" s="276" t="e">
        <f>#N/A</f>
        <v>#N/A</v>
      </c>
      <c r="AA109" s="276"/>
      <c r="AB109" s="2620">
        <f t="shared" si="11"/>
        <v>0</v>
      </c>
    </row>
    <row r="110" spans="2:30" s="2616" customFormat="1" ht="24" customHeight="1" x14ac:dyDescent="0.2">
      <c r="B110" s="4125"/>
      <c r="C110" s="1691" t="s">
        <v>281</v>
      </c>
      <c r="D110" s="2680" t="s">
        <v>227</v>
      </c>
      <c r="E110" s="2677">
        <v>19403404904</v>
      </c>
      <c r="F110" s="220">
        <v>0</v>
      </c>
      <c r="G110" s="279">
        <v>191000000</v>
      </c>
      <c r="H110" s="282"/>
      <c r="I110" s="2620">
        <f t="shared" si="8"/>
        <v>19403404904</v>
      </c>
      <c r="J110" s="299"/>
      <c r="K110" s="299"/>
      <c r="L110" s="282"/>
      <c r="M110" s="2630"/>
      <c r="N110" s="2620">
        <f t="shared" si="9"/>
        <v>0</v>
      </c>
      <c r="O110" s="2631"/>
      <c r="P110" s="280"/>
      <c r="Q110" s="2630"/>
      <c r="R110" s="2630"/>
      <c r="S110" s="2630"/>
      <c r="T110" s="2620">
        <f t="shared" si="10"/>
        <v>0</v>
      </c>
      <c r="U110" s="299"/>
      <c r="V110" s="2631"/>
      <c r="W110" s="2620"/>
      <c r="X110" s="276"/>
      <c r="Y110" s="2620" t="e">
        <f>#N/A</f>
        <v>#N/A</v>
      </c>
      <c r="Z110" s="276" t="e">
        <f>#N/A</f>
        <v>#N/A</v>
      </c>
      <c r="AA110" s="276"/>
      <c r="AB110" s="2620">
        <f t="shared" si="11"/>
        <v>19403404904</v>
      </c>
    </row>
    <row r="111" spans="2:30" s="2616" customFormat="1" ht="27.6" customHeight="1" x14ac:dyDescent="0.2">
      <c r="B111" s="4125"/>
      <c r="C111" s="1691" t="s">
        <v>357</v>
      </c>
      <c r="D111" s="2680" t="s">
        <v>358</v>
      </c>
      <c r="E111" s="2677">
        <v>4045269961</v>
      </c>
      <c r="F111" s="220">
        <v>0</v>
      </c>
      <c r="G111" s="279">
        <v>291000000</v>
      </c>
      <c r="H111" s="282"/>
      <c r="I111" s="2620">
        <f t="shared" si="8"/>
        <v>4045269961</v>
      </c>
      <c r="J111" s="299"/>
      <c r="K111" s="299"/>
      <c r="L111" s="282"/>
      <c r="M111" s="2630"/>
      <c r="N111" s="2620">
        <f>J111+L111+M111+K111</f>
        <v>0</v>
      </c>
      <c r="O111" s="2631"/>
      <c r="P111" s="280"/>
      <c r="Q111" s="2630"/>
      <c r="R111" s="301"/>
      <c r="S111" s="2630"/>
      <c r="T111" s="2620">
        <f t="shared" si="10"/>
        <v>0</v>
      </c>
      <c r="U111" s="299"/>
      <c r="V111" s="2631"/>
      <c r="W111" s="2620"/>
      <c r="X111" s="276"/>
      <c r="Y111" s="2620" t="e">
        <f>#N/A</f>
        <v>#N/A</v>
      </c>
      <c r="Z111" s="276" t="e">
        <f>#N/A</f>
        <v>#N/A</v>
      </c>
      <c r="AA111" s="276"/>
      <c r="AB111" s="2620">
        <f t="shared" si="11"/>
        <v>4045269961</v>
      </c>
    </row>
    <row r="112" spans="2:30" s="2616" customFormat="1" ht="26.45" customHeight="1" x14ac:dyDescent="0.2">
      <c r="B112" s="4125"/>
      <c r="C112" s="4112" t="s">
        <v>94</v>
      </c>
      <c r="D112" s="4112"/>
      <c r="E112" s="2677">
        <f>SUM(E92:E111)+1000000</f>
        <v>37223362777867</v>
      </c>
      <c r="F112" s="2677">
        <f t="shared" ref="F112:AA112" si="12">SUM(F92:F111)</f>
        <v>120642728000</v>
      </c>
      <c r="G112" s="2677">
        <f t="shared" si="12"/>
        <v>9225322000000</v>
      </c>
      <c r="H112" s="2677">
        <f t="shared" si="12"/>
        <v>0</v>
      </c>
      <c r="I112" s="2677">
        <f>SUM(I92:I111)+1000000</f>
        <v>37223362777867</v>
      </c>
      <c r="J112" s="2677">
        <f t="shared" si="12"/>
        <v>271500000000</v>
      </c>
      <c r="K112" s="2677">
        <f t="shared" si="12"/>
        <v>232559000000</v>
      </c>
      <c r="L112" s="2677">
        <f t="shared" si="12"/>
        <v>0</v>
      </c>
      <c r="M112" s="2677">
        <f t="shared" si="12"/>
        <v>0</v>
      </c>
      <c r="N112" s="2677">
        <f t="shared" si="12"/>
        <v>1553690000000</v>
      </c>
      <c r="O112" s="2677">
        <f t="shared" si="12"/>
        <v>9801019000000</v>
      </c>
      <c r="P112" s="2677">
        <f t="shared" si="12"/>
        <v>-1582060020</v>
      </c>
      <c r="Q112" s="2677">
        <f t="shared" si="12"/>
        <v>0</v>
      </c>
      <c r="R112" s="2677">
        <f t="shared" si="12"/>
        <v>0</v>
      </c>
      <c r="S112" s="2677">
        <f t="shared" si="12"/>
        <v>0</v>
      </c>
      <c r="T112" s="2677">
        <f t="shared" si="12"/>
        <v>-339521000000</v>
      </c>
      <c r="U112" s="2677">
        <f t="shared" si="12"/>
        <v>200467000000</v>
      </c>
      <c r="V112" s="2677">
        <f t="shared" si="12"/>
        <v>586345980000</v>
      </c>
      <c r="W112" s="2677">
        <f t="shared" si="12"/>
        <v>-172115000000</v>
      </c>
      <c r="X112" s="2677">
        <f t="shared" si="12"/>
        <v>0</v>
      </c>
      <c r="Y112" s="2677" t="e">
        <f t="shared" si="12"/>
        <v>#N/A</v>
      </c>
      <c r="Z112" s="2677" t="e">
        <f t="shared" si="12"/>
        <v>#N/A</v>
      </c>
      <c r="AA112" s="2677">
        <f t="shared" si="12"/>
        <v>0</v>
      </c>
      <c r="AB112" s="2677">
        <f>SUM(AB92:AB111)+1000000</f>
        <v>48851666697847</v>
      </c>
      <c r="AD112" s="2616">
        <f>I112+N112+O112+P112+T112+U112+V112+W112</f>
        <v>48851666697847</v>
      </c>
    </row>
    <row r="113" spans="2:28" s="2616" customFormat="1" ht="26.45" customHeight="1" x14ac:dyDescent="0.2">
      <c r="B113" s="2653"/>
      <c r="I113" s="2654"/>
    </row>
    <row r="114" spans="2:28" s="2616" customFormat="1" ht="26.45" customHeight="1" x14ac:dyDescent="0.2">
      <c r="B114" s="2653"/>
      <c r="I114" s="2654"/>
    </row>
    <row r="115" spans="2:28" s="2616" customFormat="1" ht="6.6" customHeight="1" x14ac:dyDescent="0.2">
      <c r="B115" s="2653"/>
      <c r="I115" s="2654"/>
    </row>
    <row r="116" spans="2:28" s="2616" customFormat="1" ht="21" customHeight="1" x14ac:dyDescent="0.2">
      <c r="B116" s="4107" t="s">
        <v>1887</v>
      </c>
      <c r="C116" s="4107"/>
      <c r="D116" s="4107"/>
      <c r="E116" s="4107"/>
      <c r="F116" s="4107"/>
      <c r="G116" s="4107"/>
      <c r="H116" s="4107"/>
      <c r="I116" s="4107"/>
      <c r="J116" s="4107"/>
      <c r="K116" s="4107"/>
      <c r="L116" s="4107"/>
      <c r="M116" s="4107"/>
      <c r="N116" s="4107"/>
      <c r="O116" s="4107"/>
      <c r="P116" s="4107"/>
      <c r="Q116" s="4107"/>
      <c r="R116" s="4107"/>
      <c r="S116" s="4107"/>
      <c r="T116" s="4107"/>
      <c r="U116" s="4107"/>
      <c r="V116" s="4107"/>
      <c r="W116" s="4107"/>
      <c r="X116" s="4107"/>
      <c r="Y116" s="4107"/>
      <c r="Z116" s="4107"/>
      <c r="AA116" s="4107"/>
      <c r="AB116" s="4107"/>
    </row>
    <row r="117" spans="2:28" s="2616" customFormat="1" ht="24" customHeight="1" x14ac:dyDescent="0.2">
      <c r="B117" s="4108" t="s">
        <v>295</v>
      </c>
      <c r="C117" s="4108"/>
      <c r="D117" s="4108"/>
      <c r="E117" s="4108"/>
      <c r="F117" s="4108"/>
      <c r="G117" s="4108"/>
      <c r="H117" s="4108"/>
      <c r="I117" s="4108"/>
      <c r="J117" s="4108"/>
      <c r="K117" s="4108"/>
      <c r="L117" s="4108"/>
      <c r="M117" s="4108"/>
      <c r="N117" s="4108"/>
      <c r="O117" s="4108"/>
      <c r="P117" s="4108"/>
      <c r="Q117" s="4108"/>
      <c r="R117" s="4108"/>
      <c r="S117" s="4108"/>
      <c r="T117" s="4108"/>
      <c r="U117" s="4108"/>
      <c r="V117" s="4108"/>
      <c r="W117" s="4108"/>
      <c r="X117" s="4108"/>
      <c r="Y117" s="4108"/>
      <c r="Z117" s="4108"/>
      <c r="AA117" s="4108"/>
      <c r="AB117" s="4108"/>
    </row>
    <row r="118" spans="2:28" s="2616" customFormat="1" ht="24" customHeight="1" x14ac:dyDescent="0.2">
      <c r="B118" s="4108" t="s">
        <v>45</v>
      </c>
      <c r="C118" s="4108"/>
      <c r="D118" s="4108"/>
      <c r="E118" s="4108"/>
      <c r="F118" s="4108"/>
      <c r="G118" s="4108"/>
      <c r="H118" s="4108"/>
      <c r="I118" s="4108"/>
      <c r="J118" s="4108"/>
      <c r="K118" s="4108"/>
      <c r="L118" s="4108"/>
      <c r="M118" s="4108"/>
      <c r="N118" s="4108"/>
      <c r="O118" s="4108"/>
      <c r="P118" s="4108"/>
      <c r="Q118" s="4108"/>
      <c r="R118" s="4108"/>
      <c r="S118" s="4108"/>
      <c r="T118" s="4108"/>
      <c r="U118" s="4108"/>
      <c r="V118" s="4108"/>
      <c r="W118" s="4108"/>
      <c r="X118" s="4108"/>
      <c r="Y118" s="4108"/>
      <c r="Z118" s="4108"/>
      <c r="AA118" s="4108"/>
      <c r="AB118" s="4108"/>
    </row>
    <row r="119" spans="2:28" s="2616" customFormat="1" ht="24" customHeight="1" x14ac:dyDescent="0.2">
      <c r="B119" s="4108" t="s">
        <v>46</v>
      </c>
      <c r="C119" s="4108"/>
      <c r="D119" s="4108"/>
      <c r="E119" s="4108"/>
      <c r="F119" s="4108"/>
      <c r="G119" s="4108"/>
      <c r="H119" s="4108"/>
      <c r="I119" s="4108"/>
      <c r="J119" s="4108"/>
      <c r="K119" s="4108"/>
      <c r="L119" s="4108"/>
      <c r="M119" s="4108"/>
      <c r="N119" s="4108"/>
      <c r="O119" s="4108"/>
      <c r="P119" s="4108"/>
      <c r="Q119" s="4108"/>
      <c r="R119" s="4108"/>
      <c r="S119" s="4108"/>
      <c r="T119" s="4108"/>
      <c r="U119" s="4108"/>
      <c r="V119" s="4108"/>
      <c r="W119" s="4108"/>
      <c r="X119" s="4108"/>
      <c r="Y119" s="4108"/>
      <c r="Z119" s="4108"/>
      <c r="AA119" s="4108"/>
      <c r="AB119" s="4108"/>
    </row>
    <row r="120" spans="2:28" s="2616" customFormat="1" ht="24" customHeight="1" x14ac:dyDescent="0.2">
      <c r="B120" s="3294" t="s">
        <v>1981</v>
      </c>
      <c r="C120" s="3294"/>
      <c r="D120" s="3294"/>
      <c r="E120" s="3294"/>
      <c r="F120" s="3294"/>
      <c r="G120" s="3294"/>
      <c r="H120" s="3294"/>
      <c r="I120" s="3294"/>
      <c r="J120" s="3294"/>
      <c r="K120" s="3294"/>
      <c r="L120" s="3294"/>
      <c r="M120" s="3294"/>
      <c r="N120" s="3294"/>
      <c r="O120" s="3294"/>
      <c r="P120" s="3294"/>
      <c r="Q120" s="3294"/>
      <c r="R120" s="3294"/>
      <c r="S120" s="3294"/>
      <c r="T120" s="3294"/>
      <c r="U120" s="3294"/>
      <c r="V120" s="3294"/>
      <c r="W120" s="3294"/>
      <c r="X120" s="3294"/>
      <c r="Y120" s="3294"/>
      <c r="Z120" s="3294"/>
      <c r="AA120" s="3294"/>
      <c r="AB120" s="3294"/>
    </row>
    <row r="121" spans="2:28" s="2616" customFormat="1" ht="17.25" customHeight="1" x14ac:dyDescent="0.2">
      <c r="B121" s="4110" t="s">
        <v>1848</v>
      </c>
      <c r="C121" s="4110"/>
      <c r="D121" s="4110"/>
      <c r="E121" s="2656"/>
      <c r="F121" s="2657"/>
      <c r="G121" s="2658"/>
      <c r="H121" s="2658"/>
      <c r="I121" s="2658"/>
      <c r="J121" s="2658"/>
      <c r="K121" s="2658"/>
      <c r="L121" s="2658"/>
      <c r="M121" s="2658"/>
      <c r="N121" s="2658"/>
      <c r="O121" s="2658"/>
      <c r="P121" s="2658"/>
      <c r="Q121" s="2658"/>
      <c r="R121" s="2658"/>
      <c r="S121" s="2658"/>
      <c r="T121" s="2658"/>
      <c r="U121" s="2658"/>
      <c r="V121" s="2658"/>
      <c r="W121" s="2658"/>
      <c r="X121" s="104"/>
      <c r="Y121" s="104"/>
      <c r="Z121" s="104"/>
      <c r="AA121" s="104"/>
    </row>
    <row r="122" spans="2:28" s="2616" customFormat="1" ht="15.75" customHeight="1" x14ac:dyDescent="0.2">
      <c r="B122" s="2656"/>
      <c r="C122" s="2656"/>
      <c r="D122" s="2656"/>
      <c r="E122" s="2656"/>
      <c r="F122" s="2657"/>
      <c r="G122" s="2658"/>
      <c r="H122" s="2658"/>
      <c r="I122" s="2658"/>
      <c r="J122" s="2658"/>
      <c r="K122" s="2658"/>
      <c r="L122" s="2658"/>
      <c r="M122" s="2658"/>
      <c r="N122" s="2658"/>
      <c r="O122" s="2658"/>
      <c r="P122" s="2658"/>
      <c r="Q122" s="2658"/>
      <c r="R122" s="2658"/>
      <c r="S122" s="2658"/>
      <c r="T122" s="2658"/>
      <c r="U122" s="2658"/>
      <c r="V122" s="2658"/>
      <c r="W122" s="2658"/>
      <c r="X122" s="104"/>
      <c r="Y122" s="104"/>
      <c r="Z122" s="104"/>
      <c r="AA122" s="104"/>
      <c r="AB122" s="2498"/>
    </row>
    <row r="123" spans="2:28" s="2616" customFormat="1" ht="26.45" customHeight="1" x14ac:dyDescent="0.2">
      <c r="B123" s="2656"/>
      <c r="C123" s="2656"/>
      <c r="D123" s="2656"/>
      <c r="E123" s="2656"/>
      <c r="F123" s="2657"/>
      <c r="G123" s="2658"/>
      <c r="H123" s="2658"/>
      <c r="I123" s="2658"/>
      <c r="J123" s="2658"/>
      <c r="K123" s="2658"/>
      <c r="L123" s="2658"/>
      <c r="M123" s="2658"/>
      <c r="N123" s="2658"/>
      <c r="O123" s="2658"/>
      <c r="P123" s="2658"/>
      <c r="Q123" s="2658"/>
      <c r="R123" s="2658"/>
      <c r="S123" s="2658"/>
      <c r="T123" s="2658"/>
      <c r="U123" s="2658"/>
      <c r="V123" s="2658"/>
      <c r="W123" s="2658"/>
      <c r="X123" s="104"/>
      <c r="Y123" s="104"/>
      <c r="Z123" s="104"/>
      <c r="AA123" s="104"/>
      <c r="AB123" s="2498" t="s">
        <v>194</v>
      </c>
    </row>
    <row r="124" spans="2:28" s="2616" customFormat="1" ht="36" customHeight="1" x14ac:dyDescent="0.2">
      <c r="B124" s="4112" t="s">
        <v>419</v>
      </c>
      <c r="C124" s="4117" t="s">
        <v>196</v>
      </c>
      <c r="D124" s="4124" t="s">
        <v>197</v>
      </c>
      <c r="E124" s="4111" t="s">
        <v>1400</v>
      </c>
      <c r="F124" s="2609"/>
      <c r="G124" s="4111" t="s">
        <v>921</v>
      </c>
      <c r="H124" s="4118" t="s">
        <v>1116</v>
      </c>
      <c r="I124" s="4118" t="s">
        <v>1271</v>
      </c>
      <c r="J124" s="4135" t="s">
        <v>1272</v>
      </c>
      <c r="K124" s="4136"/>
      <c r="L124" s="4136"/>
      <c r="M124" s="4136"/>
      <c r="N124" s="4136"/>
      <c r="O124" s="4137"/>
      <c r="P124" s="4113" t="s">
        <v>423</v>
      </c>
      <c r="Q124" s="4115" t="s">
        <v>827</v>
      </c>
      <c r="R124" s="4115" t="s">
        <v>888</v>
      </c>
      <c r="S124" s="4115"/>
      <c r="T124" s="4114" t="s">
        <v>2015</v>
      </c>
      <c r="U124" s="4121" t="s">
        <v>1274</v>
      </c>
      <c r="V124" s="4121" t="s">
        <v>2016</v>
      </c>
      <c r="W124" s="4116" t="s">
        <v>1033</v>
      </c>
      <c r="X124" s="2610"/>
      <c r="Y124" s="4127" t="s">
        <v>296</v>
      </c>
      <c r="Z124" s="4127" t="s">
        <v>190</v>
      </c>
      <c r="AA124" s="4129" t="s">
        <v>313</v>
      </c>
      <c r="AB124" s="4111" t="s">
        <v>2013</v>
      </c>
    </row>
    <row r="125" spans="2:28" s="2616" customFormat="1" ht="51" customHeight="1" x14ac:dyDescent="0.2">
      <c r="B125" s="4112"/>
      <c r="C125" s="4117"/>
      <c r="D125" s="4124"/>
      <c r="E125" s="4111"/>
      <c r="F125" s="2609"/>
      <c r="G125" s="4111"/>
      <c r="H125" s="4119"/>
      <c r="I125" s="4119"/>
      <c r="J125" s="4138"/>
      <c r="K125" s="4139"/>
      <c r="L125" s="4139"/>
      <c r="M125" s="4139"/>
      <c r="N125" s="4139"/>
      <c r="O125" s="4140"/>
      <c r="P125" s="4113"/>
      <c r="Q125" s="4115"/>
      <c r="R125" s="4109" t="s">
        <v>889</v>
      </c>
      <c r="S125" s="4109" t="s">
        <v>890</v>
      </c>
      <c r="T125" s="4114"/>
      <c r="U125" s="4122"/>
      <c r="V125" s="4122"/>
      <c r="W125" s="4116"/>
      <c r="X125" s="2611"/>
      <c r="Y125" s="4127"/>
      <c r="Z125" s="4127"/>
      <c r="AA125" s="4130"/>
      <c r="AB125" s="4111"/>
    </row>
    <row r="126" spans="2:28" s="2616" customFormat="1" ht="61.15" customHeight="1" x14ac:dyDescent="0.2">
      <c r="B126" s="4112"/>
      <c r="C126" s="4117"/>
      <c r="D126" s="4124"/>
      <c r="E126" s="4111"/>
      <c r="F126" s="2612" t="s">
        <v>421</v>
      </c>
      <c r="G126" s="2613" t="s">
        <v>27</v>
      </c>
      <c r="H126" s="4120"/>
      <c r="I126" s="4120"/>
      <c r="J126" s="2614" t="s">
        <v>1273</v>
      </c>
      <c r="K126" s="2614" t="s">
        <v>1292</v>
      </c>
      <c r="L126" s="2612" t="s">
        <v>999</v>
      </c>
      <c r="M126" s="2612" t="s">
        <v>422</v>
      </c>
      <c r="N126" s="2612" t="s">
        <v>2014</v>
      </c>
      <c r="O126" s="2615" t="s">
        <v>1794</v>
      </c>
      <c r="P126" s="4113"/>
      <c r="Q126" s="4115"/>
      <c r="R126" s="4109"/>
      <c r="S126" s="4109"/>
      <c r="T126" s="4114"/>
      <c r="U126" s="4123"/>
      <c r="V126" s="4123"/>
      <c r="W126" s="4116"/>
      <c r="X126" s="373" t="s">
        <v>62</v>
      </c>
      <c r="Y126" s="4127"/>
      <c r="Z126" s="4127"/>
      <c r="AA126" s="4131"/>
      <c r="AB126" s="4111"/>
    </row>
    <row r="127" spans="2:28" s="2616" customFormat="1" ht="21" customHeight="1" x14ac:dyDescent="0.2">
      <c r="B127" s="4125" t="s">
        <v>180</v>
      </c>
      <c r="C127" s="4112" t="s">
        <v>181</v>
      </c>
      <c r="D127" s="4112"/>
      <c r="E127" s="2681">
        <f>E112</f>
        <v>37223362777867</v>
      </c>
      <c r="F127" s="2681">
        <f t="shared" ref="F127:AB127" si="13">F112</f>
        <v>120642728000</v>
      </c>
      <c r="G127" s="2681">
        <f t="shared" si="13"/>
        <v>9225322000000</v>
      </c>
      <c r="H127" s="2681">
        <f t="shared" si="13"/>
        <v>0</v>
      </c>
      <c r="I127" s="2681">
        <f t="shared" si="13"/>
        <v>37223362777867</v>
      </c>
      <c r="J127" s="2681">
        <f t="shared" si="13"/>
        <v>271500000000</v>
      </c>
      <c r="K127" s="2681">
        <f t="shared" si="13"/>
        <v>232559000000</v>
      </c>
      <c r="L127" s="2681">
        <f t="shared" si="13"/>
        <v>0</v>
      </c>
      <c r="M127" s="2681">
        <f t="shared" si="13"/>
        <v>0</v>
      </c>
      <c r="N127" s="2681">
        <f t="shared" si="13"/>
        <v>1553690000000</v>
      </c>
      <c r="O127" s="2681">
        <f t="shared" si="13"/>
        <v>9801019000000</v>
      </c>
      <c r="P127" s="2681">
        <f t="shared" si="13"/>
        <v>-1582060020</v>
      </c>
      <c r="Q127" s="2681">
        <f t="shared" si="13"/>
        <v>0</v>
      </c>
      <c r="R127" s="2681">
        <f t="shared" si="13"/>
        <v>0</v>
      </c>
      <c r="S127" s="2681">
        <f t="shared" si="13"/>
        <v>0</v>
      </c>
      <c r="T127" s="2681">
        <f t="shared" si="13"/>
        <v>-339521000000</v>
      </c>
      <c r="U127" s="2681">
        <f t="shared" si="13"/>
        <v>200467000000</v>
      </c>
      <c r="V127" s="2681">
        <f t="shared" si="13"/>
        <v>586345980000</v>
      </c>
      <c r="W127" s="2681">
        <f t="shared" si="13"/>
        <v>-172115000000</v>
      </c>
      <c r="X127" s="2681">
        <f t="shared" si="13"/>
        <v>0</v>
      </c>
      <c r="Y127" s="2681" t="e">
        <f t="shared" si="13"/>
        <v>#N/A</v>
      </c>
      <c r="Z127" s="2681" t="e">
        <f t="shared" si="13"/>
        <v>#N/A</v>
      </c>
      <c r="AA127" s="2681">
        <f t="shared" si="13"/>
        <v>0</v>
      </c>
      <c r="AB127" s="2681">
        <f t="shared" si="13"/>
        <v>48851666697847</v>
      </c>
    </row>
    <row r="128" spans="2:28" s="2616" customFormat="1" ht="30.6" customHeight="1" x14ac:dyDescent="0.2">
      <c r="B128" s="4125"/>
      <c r="C128" s="1691" t="s">
        <v>248</v>
      </c>
      <c r="D128" s="2680" t="s">
        <v>249</v>
      </c>
      <c r="E128" s="2629">
        <v>12837489954</v>
      </c>
      <c r="F128" s="220">
        <v>0</v>
      </c>
      <c r="G128" s="279">
        <v>1119000000</v>
      </c>
      <c r="H128" s="279"/>
      <c r="I128" s="279">
        <f>E128+H128</f>
        <v>12837489954</v>
      </c>
      <c r="J128" s="247"/>
      <c r="K128" s="247"/>
      <c r="L128" s="279"/>
      <c r="M128" s="2630"/>
      <c r="N128" s="2630"/>
      <c r="O128" s="2630"/>
      <c r="P128" s="280"/>
      <c r="Q128" s="2630"/>
      <c r="R128" s="2630"/>
      <c r="S128" s="2631"/>
      <c r="T128" s="257"/>
      <c r="U128" s="257"/>
      <c r="V128" s="2620"/>
      <c r="W128" s="2620"/>
      <c r="X128" s="276"/>
      <c r="Y128" s="2620" t="e">
        <f>#N/A</f>
        <v>#N/A</v>
      </c>
      <c r="Z128" s="276" t="e">
        <f>#N/A</f>
        <v>#N/A</v>
      </c>
      <c r="AA128" s="276"/>
      <c r="AB128" s="2620">
        <f t="shared" ref="AB128:AB143" si="14">P128+W128+S128+R128+Q128+N128+T128+E128+V128+U128+O128+H128+M128</f>
        <v>12837489954</v>
      </c>
    </row>
    <row r="129" spans="2:30" s="2616" customFormat="1" ht="30.6" customHeight="1" x14ac:dyDescent="0.2">
      <c r="B129" s="4125"/>
      <c r="C129" s="1691" t="s">
        <v>430</v>
      </c>
      <c r="D129" s="2680" t="s">
        <v>431</v>
      </c>
      <c r="E129" s="2629">
        <v>1200102700</v>
      </c>
      <c r="F129" s="220">
        <v>0</v>
      </c>
      <c r="G129" s="279">
        <v>105000000</v>
      </c>
      <c r="H129" s="279"/>
      <c r="I129" s="279">
        <f t="shared" ref="I129:I143" si="15">E129+H129</f>
        <v>1200102700</v>
      </c>
      <c r="J129" s="247"/>
      <c r="K129" s="247"/>
      <c r="L129" s="279"/>
      <c r="M129" s="2630"/>
      <c r="N129" s="2630"/>
      <c r="O129" s="2630"/>
      <c r="P129" s="280"/>
      <c r="Q129" s="2630"/>
      <c r="R129" s="2630"/>
      <c r="S129" s="2631"/>
      <c r="T129" s="257"/>
      <c r="U129" s="257"/>
      <c r="V129" s="2620"/>
      <c r="W129" s="2620"/>
      <c r="X129" s="276"/>
      <c r="Y129" s="2620" t="e">
        <f>#N/A</f>
        <v>#N/A</v>
      </c>
      <c r="Z129" s="276" t="e">
        <f>#N/A</f>
        <v>#N/A</v>
      </c>
      <c r="AA129" s="276"/>
      <c r="AB129" s="2620">
        <f t="shared" si="14"/>
        <v>1200102700</v>
      </c>
    </row>
    <row r="130" spans="2:30" s="2616" customFormat="1" ht="30.6" customHeight="1" x14ac:dyDescent="0.2">
      <c r="B130" s="4125"/>
      <c r="C130" s="1691" t="s">
        <v>244</v>
      </c>
      <c r="D130" s="2680" t="s">
        <v>245</v>
      </c>
      <c r="E130" s="2629">
        <v>2611880000</v>
      </c>
      <c r="F130" s="220">
        <v>0</v>
      </c>
      <c r="G130" s="279">
        <v>273000000</v>
      </c>
      <c r="H130" s="279"/>
      <c r="I130" s="279">
        <f t="shared" si="15"/>
        <v>2611880000</v>
      </c>
      <c r="J130" s="247"/>
      <c r="K130" s="247"/>
      <c r="L130" s="279"/>
      <c r="M130" s="2630"/>
      <c r="N130" s="2630"/>
      <c r="O130" s="2630"/>
      <c r="P130" s="2682"/>
      <c r="Q130" s="2630"/>
      <c r="R130" s="2630"/>
      <c r="S130" s="2631"/>
      <c r="T130" s="257"/>
      <c r="U130" s="257"/>
      <c r="V130" s="2620"/>
      <c r="W130" s="2620"/>
      <c r="X130" s="276"/>
      <c r="Y130" s="2620" t="e">
        <f>#N/A</f>
        <v>#N/A</v>
      </c>
      <c r="Z130" s="276" t="e">
        <f>#N/A</f>
        <v>#N/A</v>
      </c>
      <c r="AA130" s="276"/>
      <c r="AB130" s="2620">
        <f t="shared" si="14"/>
        <v>2611880000</v>
      </c>
    </row>
    <row r="131" spans="2:30" s="2616" customFormat="1" ht="30.6" customHeight="1" x14ac:dyDescent="0.2">
      <c r="B131" s="4125"/>
      <c r="C131" s="1691" t="s">
        <v>217</v>
      </c>
      <c r="D131" s="2680" t="s">
        <v>218</v>
      </c>
      <c r="E131" s="2629">
        <v>21307873248</v>
      </c>
      <c r="F131" s="220">
        <v>0</v>
      </c>
      <c r="G131" s="279">
        <v>7000000</v>
      </c>
      <c r="H131" s="279"/>
      <c r="I131" s="279">
        <f t="shared" si="15"/>
        <v>21307873248</v>
      </c>
      <c r="J131" s="247"/>
      <c r="K131" s="247"/>
      <c r="L131" s="279"/>
      <c r="M131" s="2630"/>
      <c r="N131" s="2630"/>
      <c r="O131" s="2630"/>
      <c r="P131" s="280"/>
      <c r="Q131" s="2630"/>
      <c r="R131" s="301"/>
      <c r="S131" s="2631"/>
      <c r="T131" s="257"/>
      <c r="U131" s="257"/>
      <c r="V131" s="2620"/>
      <c r="W131" s="2620"/>
      <c r="X131" s="276"/>
      <c r="Y131" s="2620" t="e">
        <f>#N/A</f>
        <v>#N/A</v>
      </c>
      <c r="Z131" s="276" t="e">
        <f>#N/A</f>
        <v>#N/A</v>
      </c>
      <c r="AA131" s="276"/>
      <c r="AB131" s="2620">
        <f t="shared" si="14"/>
        <v>21307873248</v>
      </c>
    </row>
    <row r="132" spans="2:30" s="2616" customFormat="1" ht="30.6" customHeight="1" x14ac:dyDescent="0.2">
      <c r="B132" s="4125"/>
      <c r="C132" s="1691" t="s">
        <v>246</v>
      </c>
      <c r="D132" s="2680" t="s">
        <v>247</v>
      </c>
      <c r="E132" s="2629">
        <v>25747816000</v>
      </c>
      <c r="F132" s="220">
        <v>0</v>
      </c>
      <c r="G132" s="279">
        <v>1031000000</v>
      </c>
      <c r="H132" s="279"/>
      <c r="I132" s="279">
        <f t="shared" si="15"/>
        <v>25747816000</v>
      </c>
      <c r="J132" s="247"/>
      <c r="K132" s="247"/>
      <c r="L132" s="279"/>
      <c r="M132" s="2630"/>
      <c r="N132" s="2630"/>
      <c r="O132" s="2630"/>
      <c r="P132" s="280"/>
      <c r="Q132" s="2630"/>
      <c r="R132" s="2630"/>
      <c r="S132" s="2631"/>
      <c r="T132" s="257"/>
      <c r="U132" s="257"/>
      <c r="V132" s="2620"/>
      <c r="W132" s="2620"/>
      <c r="X132" s="276"/>
      <c r="Y132" s="2620" t="e">
        <f>#N/A</f>
        <v>#N/A</v>
      </c>
      <c r="Z132" s="276" t="e">
        <f>#N/A</f>
        <v>#N/A</v>
      </c>
      <c r="AA132" s="276"/>
      <c r="AB132" s="2620">
        <f t="shared" si="14"/>
        <v>25747816000</v>
      </c>
    </row>
    <row r="133" spans="2:30" s="2616" customFormat="1" ht="30.6" customHeight="1" x14ac:dyDescent="0.2">
      <c r="B133" s="4125"/>
      <c r="C133" s="1691" t="s">
        <v>285</v>
      </c>
      <c r="D133" s="2680" t="s">
        <v>286</v>
      </c>
      <c r="E133" s="2629">
        <v>19782452007</v>
      </c>
      <c r="F133" s="220">
        <v>0</v>
      </c>
      <c r="G133" s="279">
        <v>1214000000</v>
      </c>
      <c r="H133" s="279"/>
      <c r="I133" s="279">
        <f t="shared" si="15"/>
        <v>19782452007</v>
      </c>
      <c r="J133" s="247"/>
      <c r="K133" s="247"/>
      <c r="L133" s="279"/>
      <c r="M133" s="2630"/>
      <c r="N133" s="2630"/>
      <c r="O133" s="2630"/>
      <c r="P133" s="280"/>
      <c r="Q133" s="2630"/>
      <c r="R133" s="2630"/>
      <c r="S133" s="2631"/>
      <c r="T133" s="257"/>
      <c r="U133" s="257"/>
      <c r="V133" s="2620"/>
      <c r="W133" s="2620"/>
      <c r="X133" s="276"/>
      <c r="Y133" s="2620" t="e">
        <f>#N/A</f>
        <v>#N/A</v>
      </c>
      <c r="Z133" s="276" t="e">
        <f>#N/A</f>
        <v>#N/A</v>
      </c>
      <c r="AA133" s="276"/>
      <c r="AB133" s="2620">
        <f t="shared" si="14"/>
        <v>19782452007</v>
      </c>
      <c r="AD133" s="2616">
        <v>19782452007</v>
      </c>
    </row>
    <row r="134" spans="2:30" s="2616" customFormat="1" ht="30.6" customHeight="1" x14ac:dyDescent="0.2">
      <c r="B134" s="4125"/>
      <c r="C134" s="1691" t="s">
        <v>288</v>
      </c>
      <c r="D134" s="2683" t="s">
        <v>289</v>
      </c>
      <c r="E134" s="2629">
        <v>14517634090</v>
      </c>
      <c r="F134" s="220">
        <v>0</v>
      </c>
      <c r="G134" s="279">
        <v>21000000</v>
      </c>
      <c r="H134" s="279"/>
      <c r="I134" s="279">
        <f t="shared" si="15"/>
        <v>14517634090</v>
      </c>
      <c r="J134" s="247"/>
      <c r="K134" s="247"/>
      <c r="L134" s="280"/>
      <c r="M134" s="2630"/>
      <c r="N134" s="2630"/>
      <c r="O134" s="2630"/>
      <c r="P134" s="280"/>
      <c r="Q134" s="2630"/>
      <c r="R134" s="2630"/>
      <c r="S134" s="2631"/>
      <c r="T134" s="257"/>
      <c r="U134" s="257"/>
      <c r="V134" s="2620"/>
      <c r="W134" s="2620"/>
      <c r="X134" s="276"/>
      <c r="Y134" s="2620" t="e">
        <f>#N/A</f>
        <v>#N/A</v>
      </c>
      <c r="Z134" s="276" t="e">
        <f>#N/A</f>
        <v>#N/A</v>
      </c>
      <c r="AA134" s="276"/>
      <c r="AB134" s="2620">
        <f t="shared" si="14"/>
        <v>14517634090</v>
      </c>
    </row>
    <row r="135" spans="2:30" s="2616" customFormat="1" ht="30.6" customHeight="1" x14ac:dyDescent="0.2">
      <c r="B135" s="4125"/>
      <c r="C135" s="1691" t="s">
        <v>228</v>
      </c>
      <c r="D135" s="2683" t="s">
        <v>229</v>
      </c>
      <c r="E135" s="2629">
        <v>42500126971</v>
      </c>
      <c r="F135" s="220">
        <v>0</v>
      </c>
      <c r="G135" s="279">
        <v>9770000000</v>
      </c>
      <c r="H135" s="279"/>
      <c r="I135" s="279">
        <f t="shared" si="15"/>
        <v>42500126971</v>
      </c>
      <c r="J135" s="247"/>
      <c r="K135" s="247"/>
      <c r="L135" s="280"/>
      <c r="M135" s="2630"/>
      <c r="N135" s="2630"/>
      <c r="O135" s="2630"/>
      <c r="P135" s="280"/>
      <c r="Q135" s="2630"/>
      <c r="R135" s="2630"/>
      <c r="S135" s="2631"/>
      <c r="T135" s="257"/>
      <c r="U135" s="257"/>
      <c r="V135" s="2620"/>
      <c r="W135" s="2620"/>
      <c r="X135" s="276"/>
      <c r="Y135" s="2620" t="e">
        <f>#N/A</f>
        <v>#N/A</v>
      </c>
      <c r="Z135" s="276" t="e">
        <f>#N/A</f>
        <v>#N/A</v>
      </c>
      <c r="AA135" s="276"/>
      <c r="AB135" s="2620">
        <f t="shared" si="14"/>
        <v>42500126971</v>
      </c>
    </row>
    <row r="136" spans="2:30" s="2616" customFormat="1" ht="30.6" customHeight="1" x14ac:dyDescent="0.2">
      <c r="B136" s="4125"/>
      <c r="C136" s="1691" t="s">
        <v>329</v>
      </c>
      <c r="D136" s="2618" t="s">
        <v>370</v>
      </c>
      <c r="E136" s="2629">
        <v>2475000000</v>
      </c>
      <c r="F136" s="220">
        <v>0</v>
      </c>
      <c r="G136" s="279">
        <v>146000000</v>
      </c>
      <c r="H136" s="279"/>
      <c r="I136" s="279">
        <f t="shared" si="15"/>
        <v>2475000000</v>
      </c>
      <c r="J136" s="247"/>
      <c r="K136" s="247"/>
      <c r="L136" s="280"/>
      <c r="M136" s="2630"/>
      <c r="N136" s="2630"/>
      <c r="O136" s="2630"/>
      <c r="P136" s="280"/>
      <c r="Q136" s="2630"/>
      <c r="R136" s="2630"/>
      <c r="S136" s="2631"/>
      <c r="T136" s="257"/>
      <c r="U136" s="257"/>
      <c r="V136" s="2620"/>
      <c r="W136" s="2620"/>
      <c r="X136" s="276"/>
      <c r="Y136" s="2620" t="e">
        <f>#N/A</f>
        <v>#N/A</v>
      </c>
      <c r="Z136" s="276" t="e">
        <f>#N/A</f>
        <v>#N/A</v>
      </c>
      <c r="AA136" s="276"/>
      <c r="AB136" s="2620">
        <f t="shared" si="14"/>
        <v>2475000000</v>
      </c>
    </row>
    <row r="137" spans="2:30" s="2616" customFormat="1" ht="30.6" customHeight="1" x14ac:dyDescent="0.2">
      <c r="B137" s="4125"/>
      <c r="C137" s="1691">
        <v>10224056</v>
      </c>
      <c r="D137" s="2683" t="s">
        <v>432</v>
      </c>
      <c r="E137" s="2629">
        <v>40509143323</v>
      </c>
      <c r="F137" s="220">
        <v>0</v>
      </c>
      <c r="G137" s="279">
        <v>2725000000</v>
      </c>
      <c r="H137" s="279"/>
      <c r="I137" s="279">
        <f t="shared" si="15"/>
        <v>40509143323</v>
      </c>
      <c r="J137" s="247"/>
      <c r="K137" s="247"/>
      <c r="L137" s="280"/>
      <c r="M137" s="2630"/>
      <c r="N137" s="2630"/>
      <c r="O137" s="2630"/>
      <c r="P137" s="280"/>
      <c r="Q137" s="2630"/>
      <c r="R137" s="301"/>
      <c r="S137" s="2631"/>
      <c r="T137" s="257"/>
      <c r="U137" s="257"/>
      <c r="V137" s="2620"/>
      <c r="W137" s="2620"/>
      <c r="X137" s="276"/>
      <c r="Y137" s="2620" t="e">
        <f>#N/A</f>
        <v>#N/A</v>
      </c>
      <c r="Z137" s="276" t="e">
        <f>#N/A</f>
        <v>#N/A</v>
      </c>
      <c r="AA137" s="276"/>
      <c r="AB137" s="2620">
        <f t="shared" si="14"/>
        <v>40509143323</v>
      </c>
    </row>
    <row r="138" spans="2:30" s="2616" customFormat="1" ht="30.6" customHeight="1" x14ac:dyDescent="0.2">
      <c r="B138" s="4125"/>
      <c r="C138" s="1691" t="s">
        <v>251</v>
      </c>
      <c r="D138" s="2684" t="s">
        <v>220</v>
      </c>
      <c r="E138" s="2629">
        <v>3864877988</v>
      </c>
      <c r="F138" s="220">
        <v>0</v>
      </c>
      <c r="G138" s="279">
        <v>1000000000</v>
      </c>
      <c r="H138" s="279"/>
      <c r="I138" s="279">
        <f t="shared" si="15"/>
        <v>3864877988</v>
      </c>
      <c r="J138" s="247"/>
      <c r="K138" s="247"/>
      <c r="L138" s="281"/>
      <c r="M138" s="2630"/>
      <c r="N138" s="2630"/>
      <c r="O138" s="2630"/>
      <c r="P138" s="280"/>
      <c r="Q138" s="2630"/>
      <c r="R138" s="301"/>
      <c r="S138" s="2631"/>
      <c r="T138" s="257"/>
      <c r="U138" s="257"/>
      <c r="V138" s="2620"/>
      <c r="W138" s="2620"/>
      <c r="X138" s="276"/>
      <c r="Y138" s="2620" t="e">
        <f>#N/A</f>
        <v>#N/A</v>
      </c>
      <c r="Z138" s="276" t="e">
        <f>#N/A</f>
        <v>#N/A</v>
      </c>
      <c r="AA138" s="276"/>
      <c r="AB138" s="2620">
        <f t="shared" si="14"/>
        <v>3864877988</v>
      </c>
    </row>
    <row r="139" spans="2:30" s="2616" customFormat="1" ht="30.6" customHeight="1" x14ac:dyDescent="0.2">
      <c r="B139" s="4125"/>
      <c r="C139" s="1691" t="s">
        <v>290</v>
      </c>
      <c r="D139" s="2684" t="s">
        <v>291</v>
      </c>
      <c r="E139" s="2629">
        <v>4999552250</v>
      </c>
      <c r="F139" s="220">
        <v>0</v>
      </c>
      <c r="G139" s="279">
        <v>1157000000</v>
      </c>
      <c r="H139" s="279"/>
      <c r="I139" s="279">
        <f t="shared" si="15"/>
        <v>4999552250</v>
      </c>
      <c r="J139" s="247"/>
      <c r="K139" s="247"/>
      <c r="L139" s="279"/>
      <c r="M139" s="2630"/>
      <c r="N139" s="2630"/>
      <c r="O139" s="2630"/>
      <c r="P139" s="280"/>
      <c r="Q139" s="2630"/>
      <c r="R139" s="2630"/>
      <c r="S139" s="2631"/>
      <c r="T139" s="257"/>
      <c r="U139" s="257"/>
      <c r="V139" s="2620"/>
      <c r="W139" s="2620"/>
      <c r="X139" s="276"/>
      <c r="Y139" s="2620" t="e">
        <f>#N/A</f>
        <v>#N/A</v>
      </c>
      <c r="Z139" s="276" t="e">
        <f>#N/A</f>
        <v>#N/A</v>
      </c>
      <c r="AA139" s="276"/>
      <c r="AB139" s="2620">
        <f t="shared" si="14"/>
        <v>4999552250</v>
      </c>
    </row>
    <row r="140" spans="2:30" s="2616" customFormat="1" ht="30.6" customHeight="1" x14ac:dyDescent="0.2">
      <c r="B140" s="4125"/>
      <c r="C140" s="1691" t="s">
        <v>433</v>
      </c>
      <c r="D140" s="2618" t="s">
        <v>434</v>
      </c>
      <c r="E140" s="2629">
        <v>800000000</v>
      </c>
      <c r="F140" s="221">
        <v>0</v>
      </c>
      <c r="G140" s="275">
        <v>234000000</v>
      </c>
      <c r="H140" s="275"/>
      <c r="I140" s="279">
        <f t="shared" si="15"/>
        <v>800000000</v>
      </c>
      <c r="J140" s="248"/>
      <c r="K140" s="248"/>
      <c r="L140" s="275"/>
      <c r="M140" s="2630"/>
      <c r="N140" s="2630"/>
      <c r="O140" s="2685"/>
      <c r="P140" s="284"/>
      <c r="Q140" s="2630"/>
      <c r="R140" s="2630"/>
      <c r="S140" s="2631"/>
      <c r="T140" s="257"/>
      <c r="U140" s="257"/>
      <c r="V140" s="2620"/>
      <c r="W140" s="2620"/>
      <c r="X140" s="276"/>
      <c r="Y140" s="2620" t="e">
        <f>#N/A</f>
        <v>#N/A</v>
      </c>
      <c r="Z140" s="276" t="e">
        <f>#N/A</f>
        <v>#N/A</v>
      </c>
      <c r="AA140" s="276"/>
      <c r="AB140" s="2620">
        <f t="shared" si="14"/>
        <v>800000000</v>
      </c>
      <c r="AD140" s="2616">
        <v>800000000</v>
      </c>
    </row>
    <row r="141" spans="2:30" s="2616" customFormat="1" ht="30.6" customHeight="1" x14ac:dyDescent="0.2">
      <c r="B141" s="4125"/>
      <c r="C141" s="1691" t="s">
        <v>301</v>
      </c>
      <c r="D141" s="2618" t="s">
        <v>435</v>
      </c>
      <c r="E141" s="2629">
        <v>900044985</v>
      </c>
      <c r="F141" s="221">
        <v>0</v>
      </c>
      <c r="G141" s="275">
        <v>61000000</v>
      </c>
      <c r="H141" s="275"/>
      <c r="I141" s="279">
        <f t="shared" si="15"/>
        <v>900044985</v>
      </c>
      <c r="J141" s="248"/>
      <c r="K141" s="248"/>
      <c r="L141" s="275"/>
      <c r="M141" s="2630"/>
      <c r="N141" s="2630"/>
      <c r="O141" s="2685"/>
      <c r="P141" s="284"/>
      <c r="Q141" s="2685"/>
      <c r="R141" s="2685"/>
      <c r="S141" s="2686"/>
      <c r="T141" s="257"/>
      <c r="U141" s="257"/>
      <c r="V141" s="2620"/>
      <c r="W141" s="2620"/>
      <c r="X141" s="276"/>
      <c r="Y141" s="2620" t="e">
        <f>#N/A</f>
        <v>#N/A</v>
      </c>
      <c r="Z141" s="276" t="e">
        <f>#N/A</f>
        <v>#N/A</v>
      </c>
      <c r="AA141" s="276"/>
      <c r="AB141" s="2620">
        <f t="shared" si="14"/>
        <v>900044985</v>
      </c>
    </row>
    <row r="142" spans="2:30" s="2616" customFormat="1" ht="30.6" customHeight="1" x14ac:dyDescent="0.2">
      <c r="B142" s="4125"/>
      <c r="C142" s="2622" t="s">
        <v>182</v>
      </c>
      <c r="D142" s="2618" t="s">
        <v>335</v>
      </c>
      <c r="E142" s="2629">
        <v>22867000000</v>
      </c>
      <c r="F142" s="221">
        <v>1814000000</v>
      </c>
      <c r="G142" s="275">
        <v>18624000000</v>
      </c>
      <c r="H142" s="275"/>
      <c r="I142" s="279">
        <f t="shared" si="15"/>
        <v>22867000000</v>
      </c>
      <c r="J142" s="248"/>
      <c r="K142" s="248"/>
      <c r="L142" s="2630"/>
      <c r="M142" s="280"/>
      <c r="N142" s="2630"/>
      <c r="O142" s="2685"/>
      <c r="P142" s="284"/>
      <c r="Q142" s="301"/>
      <c r="R142" s="2685"/>
      <c r="S142" s="2686"/>
      <c r="T142" s="257"/>
      <c r="U142" s="257"/>
      <c r="V142" s="2620"/>
      <c r="W142" s="2620"/>
      <c r="X142" s="276"/>
      <c r="Y142" s="2620" t="e">
        <f>#N/A</f>
        <v>#N/A</v>
      </c>
      <c r="Z142" s="276" t="e">
        <f>#REF!+#REF!-2407000000</f>
        <v>#REF!</v>
      </c>
      <c r="AA142" s="276"/>
      <c r="AB142" s="2620">
        <f t="shared" si="14"/>
        <v>22867000000</v>
      </c>
    </row>
    <row r="143" spans="2:30" s="2616" customFormat="1" ht="30.6" customHeight="1" x14ac:dyDescent="0.2">
      <c r="B143" s="4125"/>
      <c r="C143" s="2664" t="s">
        <v>117</v>
      </c>
      <c r="D143" s="2687" t="s">
        <v>365</v>
      </c>
      <c r="E143" s="2629">
        <v>10300000000</v>
      </c>
      <c r="F143" s="221">
        <v>0</v>
      </c>
      <c r="G143" s="275">
        <v>9730000000</v>
      </c>
      <c r="H143" s="275"/>
      <c r="I143" s="279">
        <f t="shared" si="15"/>
        <v>10300000000</v>
      </c>
      <c r="J143" s="248"/>
      <c r="K143" s="248"/>
      <c r="L143" s="2630"/>
      <c r="M143" s="280"/>
      <c r="N143" s="2630"/>
      <c r="O143" s="2685"/>
      <c r="P143" s="284"/>
      <c r="Q143" s="2685"/>
      <c r="R143" s="2685"/>
      <c r="S143" s="2686"/>
      <c r="T143" s="257"/>
      <c r="U143" s="257"/>
      <c r="V143" s="2620"/>
      <c r="W143" s="2620"/>
      <c r="X143" s="276"/>
      <c r="Y143" s="2620" t="e">
        <f>#N/A</f>
        <v>#N/A</v>
      </c>
      <c r="Z143" s="276" t="e">
        <f>#N/A</f>
        <v>#N/A</v>
      </c>
      <c r="AA143" s="276"/>
      <c r="AB143" s="2620">
        <f t="shared" si="14"/>
        <v>10300000000</v>
      </c>
    </row>
    <row r="144" spans="2:30" s="2616" customFormat="1" ht="25.9" customHeight="1" x14ac:dyDescent="0.2">
      <c r="B144" s="4125"/>
      <c r="C144" s="4112" t="s">
        <v>94</v>
      </c>
      <c r="D144" s="4112"/>
      <c r="E144" s="2688">
        <f>SUM(E127:E143)+1000000</f>
        <v>37450584771383</v>
      </c>
      <c r="F144" s="2688">
        <f t="shared" ref="F144:AA144" si="16">SUM(F127:F143)</f>
        <v>122456728000</v>
      </c>
      <c r="G144" s="2688">
        <f t="shared" si="16"/>
        <v>9272539000000</v>
      </c>
      <c r="H144" s="2688">
        <f t="shared" si="16"/>
        <v>0</v>
      </c>
      <c r="I144" s="2688">
        <f>SUM(I127:I143)+1000000</f>
        <v>37450584771383</v>
      </c>
      <c r="J144" s="2688">
        <f t="shared" si="16"/>
        <v>271500000000</v>
      </c>
      <c r="K144" s="2688">
        <f t="shared" si="16"/>
        <v>232559000000</v>
      </c>
      <c r="L144" s="2688">
        <f t="shared" si="16"/>
        <v>0</v>
      </c>
      <c r="M144" s="2688">
        <f t="shared" si="16"/>
        <v>0</v>
      </c>
      <c r="N144" s="2688">
        <f t="shared" si="16"/>
        <v>1553690000000</v>
      </c>
      <c r="O144" s="2688">
        <f t="shared" si="16"/>
        <v>9801019000000</v>
      </c>
      <c r="P144" s="2688">
        <f t="shared" si="16"/>
        <v>-1582060020</v>
      </c>
      <c r="Q144" s="2688">
        <f t="shared" si="16"/>
        <v>0</v>
      </c>
      <c r="R144" s="2688">
        <f t="shared" si="16"/>
        <v>0</v>
      </c>
      <c r="S144" s="2688">
        <f t="shared" si="16"/>
        <v>0</v>
      </c>
      <c r="T144" s="2688">
        <f t="shared" si="16"/>
        <v>-339521000000</v>
      </c>
      <c r="U144" s="2688">
        <f t="shared" si="16"/>
        <v>200467000000</v>
      </c>
      <c r="V144" s="2688">
        <f t="shared" si="16"/>
        <v>586345980000</v>
      </c>
      <c r="W144" s="2688">
        <f t="shared" si="16"/>
        <v>-172115000000</v>
      </c>
      <c r="X144" s="2688">
        <f t="shared" si="16"/>
        <v>0</v>
      </c>
      <c r="Y144" s="2688" t="e">
        <f t="shared" si="16"/>
        <v>#N/A</v>
      </c>
      <c r="Z144" s="2688" t="e">
        <f t="shared" si="16"/>
        <v>#N/A</v>
      </c>
      <c r="AA144" s="2688">
        <f t="shared" si="16"/>
        <v>0</v>
      </c>
      <c r="AB144" s="2688">
        <f>SUM(AB127:AB143)+1000000</f>
        <v>49078888691363</v>
      </c>
      <c r="AD144" s="2616">
        <f>I144+N144+O144+P144+T144+V144+U144+W144</f>
        <v>49078888691363</v>
      </c>
    </row>
    <row r="145" spans="2:29" s="2616" customFormat="1" ht="21" customHeight="1" x14ac:dyDescent="0.2">
      <c r="B145" s="2653"/>
      <c r="C145" s="4107" t="s">
        <v>1804</v>
      </c>
      <c r="D145" s="4107"/>
      <c r="E145" s="4107"/>
      <c r="F145" s="4107"/>
      <c r="G145" s="4107"/>
      <c r="H145" s="4107"/>
      <c r="I145" s="4107"/>
      <c r="J145" s="4107"/>
      <c r="K145" s="4107"/>
      <c r="L145" s="4107"/>
      <c r="M145" s="4107"/>
      <c r="N145" s="4107"/>
      <c r="O145" s="4107"/>
      <c r="P145" s="4107"/>
      <c r="Q145" s="4107"/>
      <c r="R145" s="4107"/>
      <c r="S145" s="4107"/>
      <c r="T145" s="4107"/>
      <c r="U145" s="4107"/>
      <c r="V145" s="4107"/>
      <c r="W145" s="4107"/>
      <c r="X145" s="4107"/>
      <c r="Y145" s="4107"/>
      <c r="Z145" s="4107"/>
      <c r="AA145" s="4107"/>
      <c r="AB145" s="4107"/>
      <c r="AC145" s="4107"/>
    </row>
    <row r="146" spans="2:29" s="2616" customFormat="1" ht="21" customHeight="1" x14ac:dyDescent="0.2">
      <c r="B146" s="4108" t="s">
        <v>295</v>
      </c>
      <c r="C146" s="4108"/>
      <c r="D146" s="4108"/>
      <c r="E146" s="4108"/>
      <c r="F146" s="4108"/>
      <c r="G146" s="4108"/>
      <c r="H146" s="4108"/>
      <c r="I146" s="4108"/>
      <c r="J146" s="4108"/>
      <c r="K146" s="4108"/>
      <c r="L146" s="4108"/>
      <c r="M146" s="4108"/>
      <c r="N146" s="4108"/>
      <c r="O146" s="4108"/>
      <c r="P146" s="4108"/>
      <c r="Q146" s="4108"/>
      <c r="R146" s="4108"/>
      <c r="S146" s="4108"/>
      <c r="T146" s="4108"/>
      <c r="U146" s="4108"/>
      <c r="V146" s="4108"/>
      <c r="W146" s="4108"/>
      <c r="X146" s="4108"/>
      <c r="Y146" s="4108"/>
      <c r="Z146" s="4108"/>
      <c r="AA146" s="4108"/>
      <c r="AB146" s="4108"/>
      <c r="AC146" s="1894"/>
    </row>
    <row r="147" spans="2:29" s="2616" customFormat="1" ht="21" customHeight="1" x14ac:dyDescent="0.2">
      <c r="B147" s="4108" t="s">
        <v>45</v>
      </c>
      <c r="C147" s="4108"/>
      <c r="D147" s="4108"/>
      <c r="E147" s="4108"/>
      <c r="F147" s="4108"/>
      <c r="G147" s="4108"/>
      <c r="H147" s="4108"/>
      <c r="I147" s="4108"/>
      <c r="J147" s="4108"/>
      <c r="K147" s="4108"/>
      <c r="L147" s="4108"/>
      <c r="M147" s="4108"/>
      <c r="N147" s="4108"/>
      <c r="O147" s="4108"/>
      <c r="P147" s="4108"/>
      <c r="Q147" s="4108"/>
      <c r="R147" s="4108"/>
      <c r="S147" s="4108"/>
      <c r="T147" s="4108"/>
      <c r="U147" s="4108"/>
      <c r="V147" s="4108"/>
      <c r="W147" s="4108"/>
      <c r="X147" s="4108"/>
      <c r="Y147" s="4108"/>
      <c r="Z147" s="4108"/>
      <c r="AA147" s="4108"/>
      <c r="AB147" s="4108"/>
      <c r="AC147" s="1894"/>
    </row>
    <row r="148" spans="2:29" s="2616" customFormat="1" ht="21" customHeight="1" x14ac:dyDescent="0.2">
      <c r="B148" s="4108" t="s">
        <v>46</v>
      </c>
      <c r="C148" s="4108"/>
      <c r="D148" s="4108"/>
      <c r="E148" s="4108"/>
      <c r="F148" s="4108"/>
      <c r="G148" s="4108"/>
      <c r="H148" s="4108"/>
      <c r="I148" s="4108"/>
      <c r="J148" s="4108"/>
      <c r="K148" s="4108"/>
      <c r="L148" s="4108"/>
      <c r="M148" s="4108"/>
      <c r="N148" s="4108"/>
      <c r="O148" s="4108"/>
      <c r="P148" s="4108"/>
      <c r="Q148" s="4108"/>
      <c r="R148" s="4108"/>
      <c r="S148" s="4108"/>
      <c r="T148" s="4108"/>
      <c r="U148" s="4108"/>
      <c r="V148" s="4108"/>
      <c r="W148" s="4108"/>
      <c r="X148" s="4108"/>
      <c r="Y148" s="4108"/>
      <c r="Z148" s="4108"/>
      <c r="AA148" s="4108"/>
      <c r="AB148" s="4108"/>
      <c r="AC148" s="1894"/>
    </row>
    <row r="149" spans="2:29" s="2616" customFormat="1" ht="21" customHeight="1" x14ac:dyDescent="0.2">
      <c r="B149" s="3294" t="s">
        <v>1981</v>
      </c>
      <c r="C149" s="3294"/>
      <c r="D149" s="3294"/>
      <c r="E149" s="3294"/>
      <c r="F149" s="3294"/>
      <c r="G149" s="3294"/>
      <c r="H149" s="3294"/>
      <c r="I149" s="3294"/>
      <c r="J149" s="3294"/>
      <c r="K149" s="3294"/>
      <c r="L149" s="3294"/>
      <c r="M149" s="3294"/>
      <c r="N149" s="3294"/>
      <c r="O149" s="3294"/>
      <c r="P149" s="3294"/>
      <c r="Q149" s="3294"/>
      <c r="R149" s="3294"/>
      <c r="S149" s="3294"/>
      <c r="T149" s="3294"/>
      <c r="U149" s="3294"/>
      <c r="V149" s="3294"/>
      <c r="W149" s="3294"/>
      <c r="X149" s="3294"/>
      <c r="Y149" s="3294"/>
      <c r="Z149" s="3294"/>
      <c r="AA149" s="3294"/>
      <c r="AB149" s="3294"/>
      <c r="AC149" s="1853"/>
    </row>
    <row r="150" spans="2:29" s="2616" customFormat="1" ht="21" customHeight="1" x14ac:dyDescent="0.2">
      <c r="B150" s="1722"/>
      <c r="C150" s="1722"/>
      <c r="D150" s="1722"/>
      <c r="E150" s="1722"/>
      <c r="F150" s="1722"/>
      <c r="G150" s="1722"/>
      <c r="H150" s="1722"/>
      <c r="I150" s="1722"/>
      <c r="J150" s="1722"/>
      <c r="K150" s="1722"/>
      <c r="L150" s="1722"/>
      <c r="M150" s="1722"/>
      <c r="N150" s="1722"/>
      <c r="O150" s="1722"/>
      <c r="P150" s="1722"/>
      <c r="Q150" s="1722"/>
      <c r="R150" s="1722"/>
      <c r="S150" s="1722"/>
      <c r="T150" s="1722"/>
      <c r="U150" s="1722"/>
      <c r="V150" s="1722"/>
      <c r="W150" s="1722"/>
      <c r="X150" s="1722"/>
      <c r="Y150" s="1722"/>
      <c r="Z150" s="1722"/>
      <c r="AA150" s="1722"/>
      <c r="AB150" s="1722"/>
      <c r="AC150" s="1853"/>
    </row>
    <row r="151" spans="2:29" s="2616" customFormat="1" ht="21" customHeight="1" x14ac:dyDescent="0.2">
      <c r="B151" s="1722"/>
      <c r="C151" s="1722"/>
      <c r="D151" s="1722"/>
      <c r="E151" s="1722"/>
      <c r="F151" s="1722"/>
      <c r="G151" s="1722"/>
      <c r="H151" s="1722"/>
      <c r="I151" s="1722"/>
      <c r="J151" s="1722"/>
      <c r="K151" s="1722"/>
      <c r="L151" s="1722"/>
      <c r="M151" s="1722"/>
      <c r="N151" s="1722"/>
      <c r="O151" s="1722"/>
      <c r="P151" s="1722"/>
      <c r="Q151" s="1722"/>
      <c r="R151" s="1722"/>
      <c r="S151" s="1722"/>
      <c r="T151" s="1722"/>
      <c r="U151" s="1722"/>
      <c r="V151" s="1722"/>
      <c r="W151" s="1722"/>
      <c r="X151" s="1722"/>
      <c r="Y151" s="1722"/>
      <c r="Z151" s="1722"/>
      <c r="AA151" s="1722"/>
      <c r="AB151" s="1722"/>
      <c r="AC151" s="1853"/>
    </row>
    <row r="152" spans="2:29" s="2616" customFormat="1" ht="21" customHeight="1" x14ac:dyDescent="0.2">
      <c r="B152" s="4110" t="s">
        <v>1848</v>
      </c>
      <c r="C152" s="4110"/>
      <c r="D152" s="4110"/>
      <c r="E152" s="2656"/>
      <c r="F152" s="2657"/>
      <c r="G152" s="2658"/>
      <c r="H152" s="2658"/>
      <c r="I152" s="2658"/>
      <c r="J152" s="2658"/>
      <c r="K152" s="2658"/>
      <c r="L152" s="2658"/>
      <c r="M152" s="2658"/>
      <c r="N152" s="2658"/>
      <c r="O152" s="2658"/>
      <c r="P152" s="2658"/>
      <c r="Q152" s="2658"/>
      <c r="R152" s="2658"/>
      <c r="S152" s="2658"/>
      <c r="T152" s="2658"/>
      <c r="U152" s="2658"/>
      <c r="V152" s="2658"/>
      <c r="W152" s="2658"/>
      <c r="X152" s="104"/>
      <c r="Y152" s="104"/>
      <c r="Z152" s="104"/>
      <c r="AA152" s="104"/>
      <c r="AB152" s="2608" t="s">
        <v>194</v>
      </c>
    </row>
    <row r="153" spans="2:29" s="2616" customFormat="1" ht="37.9" customHeight="1" x14ac:dyDescent="0.2">
      <c r="B153" s="4112" t="s">
        <v>419</v>
      </c>
      <c r="C153" s="4117" t="s">
        <v>196</v>
      </c>
      <c r="D153" s="4124" t="s">
        <v>197</v>
      </c>
      <c r="E153" s="4111" t="s">
        <v>1400</v>
      </c>
      <c r="F153" s="2609"/>
      <c r="G153" s="4111" t="s">
        <v>921</v>
      </c>
      <c r="H153" s="4118" t="s">
        <v>1116</v>
      </c>
      <c r="I153" s="4118" t="s">
        <v>1271</v>
      </c>
      <c r="J153" s="4135" t="s">
        <v>1272</v>
      </c>
      <c r="K153" s="4136"/>
      <c r="L153" s="4136"/>
      <c r="M153" s="4136"/>
      <c r="N153" s="4136"/>
      <c r="O153" s="4137"/>
      <c r="P153" s="4113" t="s">
        <v>423</v>
      </c>
      <c r="Q153" s="4115" t="s">
        <v>827</v>
      </c>
      <c r="R153" s="4115" t="s">
        <v>888</v>
      </c>
      <c r="S153" s="4115"/>
      <c r="T153" s="4114" t="s">
        <v>2015</v>
      </c>
      <c r="U153" s="4121" t="s">
        <v>1274</v>
      </c>
      <c r="V153" s="4121" t="s">
        <v>2016</v>
      </c>
      <c r="W153" s="4116" t="s">
        <v>1033</v>
      </c>
      <c r="X153" s="2610"/>
      <c r="Y153" s="4127" t="s">
        <v>296</v>
      </c>
      <c r="Z153" s="4127" t="s">
        <v>190</v>
      </c>
      <c r="AA153" s="4129" t="s">
        <v>313</v>
      </c>
      <c r="AB153" s="4111" t="s">
        <v>2013</v>
      </c>
      <c r="AC153" s="2689"/>
    </row>
    <row r="154" spans="2:29" s="2616" customFormat="1" ht="30" customHeight="1" x14ac:dyDescent="0.2">
      <c r="B154" s="4112"/>
      <c r="C154" s="4117"/>
      <c r="D154" s="4124"/>
      <c r="E154" s="4111"/>
      <c r="F154" s="2609"/>
      <c r="G154" s="4111"/>
      <c r="H154" s="4119"/>
      <c r="I154" s="4119"/>
      <c r="J154" s="4138"/>
      <c r="K154" s="4139"/>
      <c r="L154" s="4139"/>
      <c r="M154" s="4139"/>
      <c r="N154" s="4139"/>
      <c r="O154" s="4140"/>
      <c r="P154" s="4113"/>
      <c r="Q154" s="4115"/>
      <c r="R154" s="4109" t="s">
        <v>889</v>
      </c>
      <c r="S154" s="4109" t="s">
        <v>890</v>
      </c>
      <c r="T154" s="4114"/>
      <c r="U154" s="4122"/>
      <c r="V154" s="4122"/>
      <c r="W154" s="4116"/>
      <c r="X154" s="2611"/>
      <c r="Y154" s="4127"/>
      <c r="Z154" s="4127"/>
      <c r="AA154" s="4130"/>
      <c r="AB154" s="4111"/>
      <c r="AC154" s="2689"/>
    </row>
    <row r="155" spans="2:29" s="2616" customFormat="1" ht="59.45" customHeight="1" x14ac:dyDescent="0.2">
      <c r="B155" s="4112"/>
      <c r="C155" s="4117"/>
      <c r="D155" s="4124"/>
      <c r="E155" s="4111"/>
      <c r="F155" s="2612" t="s">
        <v>421</v>
      </c>
      <c r="G155" s="2613" t="s">
        <v>27</v>
      </c>
      <c r="H155" s="4120"/>
      <c r="I155" s="4120"/>
      <c r="J155" s="2614" t="s">
        <v>1273</v>
      </c>
      <c r="K155" s="2614" t="s">
        <v>1292</v>
      </c>
      <c r="L155" s="2612" t="s">
        <v>999</v>
      </c>
      <c r="M155" s="2612" t="s">
        <v>422</v>
      </c>
      <c r="N155" s="2612" t="s">
        <v>2014</v>
      </c>
      <c r="O155" s="2615" t="s">
        <v>1794</v>
      </c>
      <c r="P155" s="4113"/>
      <c r="Q155" s="4115"/>
      <c r="R155" s="4109"/>
      <c r="S155" s="4109"/>
      <c r="T155" s="4114"/>
      <c r="U155" s="4123"/>
      <c r="V155" s="4123"/>
      <c r="W155" s="4116"/>
      <c r="X155" s="373" t="s">
        <v>62</v>
      </c>
      <c r="Y155" s="4127"/>
      <c r="Z155" s="4127"/>
      <c r="AA155" s="4131"/>
      <c r="AB155" s="4111"/>
      <c r="AC155" s="2689"/>
    </row>
    <row r="156" spans="2:29" s="2616" customFormat="1" ht="23.45" customHeight="1" x14ac:dyDescent="0.2">
      <c r="B156" s="4125" t="s">
        <v>180</v>
      </c>
      <c r="C156" s="4112" t="s">
        <v>181</v>
      </c>
      <c r="D156" s="4112"/>
      <c r="E156" s="2681">
        <f>E144</f>
        <v>37450584771383</v>
      </c>
      <c r="F156" s="2681">
        <f t="shared" ref="F156:AB156" si="17">F144</f>
        <v>122456728000</v>
      </c>
      <c r="G156" s="2681">
        <f t="shared" si="17"/>
        <v>9272539000000</v>
      </c>
      <c r="H156" s="2681">
        <f t="shared" si="17"/>
        <v>0</v>
      </c>
      <c r="I156" s="2681">
        <f t="shared" si="17"/>
        <v>37450584771383</v>
      </c>
      <c r="J156" s="2681">
        <f t="shared" si="17"/>
        <v>271500000000</v>
      </c>
      <c r="K156" s="2681">
        <f t="shared" si="17"/>
        <v>232559000000</v>
      </c>
      <c r="L156" s="2681">
        <f t="shared" si="17"/>
        <v>0</v>
      </c>
      <c r="M156" s="2681">
        <f t="shared" si="17"/>
        <v>0</v>
      </c>
      <c r="N156" s="2681">
        <f t="shared" si="17"/>
        <v>1553690000000</v>
      </c>
      <c r="O156" s="2681">
        <f t="shared" si="17"/>
        <v>9801019000000</v>
      </c>
      <c r="P156" s="2681">
        <f t="shared" si="17"/>
        <v>-1582060020</v>
      </c>
      <c r="Q156" s="2681">
        <f t="shared" si="17"/>
        <v>0</v>
      </c>
      <c r="R156" s="2681">
        <f t="shared" si="17"/>
        <v>0</v>
      </c>
      <c r="S156" s="2681">
        <f t="shared" si="17"/>
        <v>0</v>
      </c>
      <c r="T156" s="2681">
        <f t="shared" si="17"/>
        <v>-339521000000</v>
      </c>
      <c r="U156" s="2681">
        <f t="shared" si="17"/>
        <v>200467000000</v>
      </c>
      <c r="V156" s="2681">
        <f t="shared" si="17"/>
        <v>586345980000</v>
      </c>
      <c r="W156" s="2681">
        <f t="shared" si="17"/>
        <v>-172115000000</v>
      </c>
      <c r="X156" s="2681">
        <f t="shared" si="17"/>
        <v>0</v>
      </c>
      <c r="Y156" s="2681" t="e">
        <f t="shared" si="17"/>
        <v>#N/A</v>
      </c>
      <c r="Z156" s="2681" t="e">
        <f t="shared" si="17"/>
        <v>#N/A</v>
      </c>
      <c r="AA156" s="2681">
        <f t="shared" si="17"/>
        <v>0</v>
      </c>
      <c r="AB156" s="2681">
        <f t="shared" si="17"/>
        <v>49078888691363</v>
      </c>
      <c r="AC156" s="2689"/>
    </row>
    <row r="157" spans="2:29" s="2616" customFormat="1" ht="23.45" customHeight="1" x14ac:dyDescent="0.2">
      <c r="B157" s="4125"/>
      <c r="C157" s="2664" t="s">
        <v>361</v>
      </c>
      <c r="D157" s="2687" t="s">
        <v>362</v>
      </c>
      <c r="E157" s="2677">
        <v>6361000000</v>
      </c>
      <c r="F157" s="221">
        <v>0</v>
      </c>
      <c r="G157" s="275">
        <v>500000000</v>
      </c>
      <c r="H157" s="275"/>
      <c r="I157" s="275">
        <f>E157+H157</f>
        <v>6361000000</v>
      </c>
      <c r="J157" s="248"/>
      <c r="K157" s="248"/>
      <c r="L157" s="2630"/>
      <c r="M157" s="280"/>
      <c r="N157" s="2630">
        <f>J157+L157+M157+K157</f>
        <v>0</v>
      </c>
      <c r="O157" s="2685"/>
      <c r="P157" s="284"/>
      <c r="Q157" s="2685"/>
      <c r="R157" s="2685"/>
      <c r="S157" s="2685"/>
      <c r="T157" s="248">
        <f>-K157</f>
        <v>0</v>
      </c>
      <c r="U157" s="248"/>
      <c r="V157" s="2685"/>
      <c r="W157" s="2685"/>
      <c r="X157" s="284"/>
      <c r="Y157" s="2631" t="e">
        <f>#N/A</f>
        <v>#N/A</v>
      </c>
      <c r="Z157" s="280" t="e">
        <f>#N/A</f>
        <v>#N/A</v>
      </c>
      <c r="AA157" s="280"/>
      <c r="AB157" s="2630">
        <f>P157+W157+S157+R157+Q157+N157+T157+E157+V157+U157+O157+H157+M157</f>
        <v>6361000000</v>
      </c>
    </row>
    <row r="158" spans="2:29" s="2616" customFormat="1" ht="23.45" customHeight="1" x14ac:dyDescent="0.2">
      <c r="B158" s="4125"/>
      <c r="C158" s="2664" t="s">
        <v>436</v>
      </c>
      <c r="D158" s="2687" t="s">
        <v>437</v>
      </c>
      <c r="E158" s="2677">
        <v>898600252</v>
      </c>
      <c r="F158" s="221">
        <v>0</v>
      </c>
      <c r="G158" s="275">
        <v>0</v>
      </c>
      <c r="H158" s="275"/>
      <c r="I158" s="275">
        <f t="shared" ref="I158:I174" si="18">E158+H158</f>
        <v>898600252</v>
      </c>
      <c r="J158" s="248"/>
      <c r="K158" s="248"/>
      <c r="L158" s="2685"/>
      <c r="M158" s="284"/>
      <c r="N158" s="2630">
        <f t="shared" ref="N158:N174" si="19">J158+L158+M158+K158</f>
        <v>0</v>
      </c>
      <c r="O158" s="2685"/>
      <c r="P158" s="284"/>
      <c r="Q158" s="2685"/>
      <c r="R158" s="2685"/>
      <c r="S158" s="2685"/>
      <c r="T158" s="248">
        <f t="shared" ref="T158:T174" si="20">-K158</f>
        <v>0</v>
      </c>
      <c r="U158" s="248"/>
      <c r="V158" s="2685"/>
      <c r="W158" s="2685"/>
      <c r="X158" s="284"/>
      <c r="Y158" s="2631" t="e">
        <f>#N/A</f>
        <v>#N/A</v>
      </c>
      <c r="Z158" s="280" t="e">
        <f>#N/A</f>
        <v>#N/A</v>
      </c>
      <c r="AA158" s="280"/>
      <c r="AB158" s="2630">
        <f t="shared" ref="AB158:AB174" si="21">P158+W158+S158+R158+Q158+N158+T158+E158+V158+U158+O158+H158+M158</f>
        <v>898600252</v>
      </c>
    </row>
    <row r="159" spans="2:29" s="2616" customFormat="1" ht="23.45" customHeight="1" x14ac:dyDescent="0.2">
      <c r="B159" s="4125"/>
      <c r="C159" s="2622" t="s">
        <v>120</v>
      </c>
      <c r="D159" s="2618" t="s">
        <v>121</v>
      </c>
      <c r="E159" s="2677">
        <v>2500000000</v>
      </c>
      <c r="F159" s="221">
        <v>0</v>
      </c>
      <c r="G159" s="275">
        <v>2500000000</v>
      </c>
      <c r="H159" s="275"/>
      <c r="I159" s="275">
        <f t="shared" si="18"/>
        <v>2500000000</v>
      </c>
      <c r="J159" s="248"/>
      <c r="K159" s="248"/>
      <c r="L159" s="2685"/>
      <c r="M159" s="284"/>
      <c r="N159" s="2630">
        <f t="shared" si="19"/>
        <v>0</v>
      </c>
      <c r="O159" s="2685"/>
      <c r="P159" s="284"/>
      <c r="Q159" s="2685"/>
      <c r="R159" s="2685"/>
      <c r="S159" s="2685"/>
      <c r="T159" s="248">
        <f>-K159</f>
        <v>0</v>
      </c>
      <c r="U159" s="248"/>
      <c r="V159" s="2685"/>
      <c r="W159" s="2685"/>
      <c r="X159" s="284"/>
      <c r="Y159" s="2631" t="e">
        <f>#N/A</f>
        <v>#N/A</v>
      </c>
      <c r="Z159" s="280" t="e">
        <f>#N/A</f>
        <v>#N/A</v>
      </c>
      <c r="AA159" s="280"/>
      <c r="AB159" s="2630">
        <f t="shared" si="21"/>
        <v>2500000000</v>
      </c>
    </row>
    <row r="160" spans="2:29" s="2616" customFormat="1" ht="37.15" customHeight="1" x14ac:dyDescent="0.2">
      <c r="B160" s="4125"/>
      <c r="C160" s="2622" t="s">
        <v>178</v>
      </c>
      <c r="D160" s="2618" t="s">
        <v>179</v>
      </c>
      <c r="E160" s="2677">
        <v>9530000000</v>
      </c>
      <c r="F160" s="221">
        <v>0</v>
      </c>
      <c r="G160" s="275">
        <v>9530000000</v>
      </c>
      <c r="H160" s="275"/>
      <c r="I160" s="275">
        <f t="shared" si="18"/>
        <v>9530000000</v>
      </c>
      <c r="J160" s="248"/>
      <c r="K160" s="248"/>
      <c r="L160" s="2685"/>
      <c r="M160" s="284"/>
      <c r="N160" s="2630">
        <f t="shared" si="19"/>
        <v>0</v>
      </c>
      <c r="O160" s="2685"/>
      <c r="P160" s="284"/>
      <c r="Q160" s="2685"/>
      <c r="R160" s="2685"/>
      <c r="S160" s="2685"/>
      <c r="T160" s="248">
        <f t="shared" si="20"/>
        <v>0</v>
      </c>
      <c r="U160" s="248"/>
      <c r="V160" s="2685"/>
      <c r="W160" s="2685"/>
      <c r="X160" s="284"/>
      <c r="Y160" s="2631" t="e">
        <f>#N/A</f>
        <v>#N/A</v>
      </c>
      <c r="Z160" s="280" t="e">
        <f>#N/A</f>
        <v>#N/A</v>
      </c>
      <c r="AA160" s="280"/>
      <c r="AB160" s="2630">
        <f t="shared" si="21"/>
        <v>9530000000</v>
      </c>
    </row>
    <row r="161" spans="2:30" s="2616" customFormat="1" ht="23.45" customHeight="1" x14ac:dyDescent="0.2">
      <c r="B161" s="4125"/>
      <c r="C161" s="2664" t="s">
        <v>166</v>
      </c>
      <c r="D161" s="2687" t="s">
        <v>167</v>
      </c>
      <c r="E161" s="2677">
        <v>16560000000</v>
      </c>
      <c r="F161" s="221">
        <v>0</v>
      </c>
      <c r="G161" s="275">
        <v>13560000000</v>
      </c>
      <c r="H161" s="275"/>
      <c r="I161" s="275">
        <f t="shared" si="18"/>
        <v>16560000000</v>
      </c>
      <c r="J161" s="248"/>
      <c r="K161" s="248"/>
      <c r="L161" s="2685"/>
      <c r="M161" s="284"/>
      <c r="N161" s="2630">
        <f t="shared" si="19"/>
        <v>0</v>
      </c>
      <c r="O161" s="2685"/>
      <c r="P161" s="284"/>
      <c r="Q161" s="2685"/>
      <c r="R161" s="2685"/>
      <c r="S161" s="2685"/>
      <c r="T161" s="248">
        <f t="shared" si="20"/>
        <v>0</v>
      </c>
      <c r="U161" s="248"/>
      <c r="V161" s="2685"/>
      <c r="W161" s="2685"/>
      <c r="X161" s="284"/>
      <c r="Y161" s="2631" t="e">
        <f>#N/A</f>
        <v>#N/A</v>
      </c>
      <c r="Z161" s="280" t="e">
        <f>#N/A</f>
        <v>#N/A</v>
      </c>
      <c r="AA161" s="280"/>
      <c r="AB161" s="2630">
        <f t="shared" si="21"/>
        <v>16560000000</v>
      </c>
    </row>
    <row r="162" spans="2:30" s="2616" customFormat="1" ht="23.45" customHeight="1" x14ac:dyDescent="0.2">
      <c r="B162" s="4125"/>
      <c r="C162" s="2622" t="s">
        <v>185</v>
      </c>
      <c r="D162" s="2618" t="s">
        <v>186</v>
      </c>
      <c r="E162" s="2677">
        <v>2620000000</v>
      </c>
      <c r="F162" s="221">
        <v>0</v>
      </c>
      <c r="G162" s="275">
        <v>2620000000</v>
      </c>
      <c r="H162" s="275"/>
      <c r="I162" s="275">
        <f t="shared" si="18"/>
        <v>2620000000</v>
      </c>
      <c r="J162" s="248"/>
      <c r="K162" s="248"/>
      <c r="L162" s="2685"/>
      <c r="M162" s="284"/>
      <c r="N162" s="2630">
        <f t="shared" si="19"/>
        <v>0</v>
      </c>
      <c r="O162" s="2685"/>
      <c r="P162" s="284"/>
      <c r="Q162" s="2685"/>
      <c r="R162" s="2685"/>
      <c r="S162" s="2685"/>
      <c r="T162" s="248">
        <f t="shared" si="20"/>
        <v>0</v>
      </c>
      <c r="U162" s="248"/>
      <c r="V162" s="2685"/>
      <c r="W162" s="2685"/>
      <c r="X162" s="284"/>
      <c r="Y162" s="2631" t="e">
        <f>#N/A</f>
        <v>#N/A</v>
      </c>
      <c r="Z162" s="280" t="e">
        <f>#N/A</f>
        <v>#N/A</v>
      </c>
      <c r="AA162" s="280"/>
      <c r="AB162" s="2630">
        <f t="shared" si="21"/>
        <v>2620000000</v>
      </c>
    </row>
    <row r="163" spans="2:30" s="2616" customFormat="1" ht="23.45" customHeight="1" x14ac:dyDescent="0.2">
      <c r="B163" s="4125"/>
      <c r="C163" s="2622" t="s">
        <v>168</v>
      </c>
      <c r="D163" s="2618" t="s">
        <v>169</v>
      </c>
      <c r="E163" s="2677">
        <v>3570000000</v>
      </c>
      <c r="F163" s="221">
        <v>0</v>
      </c>
      <c r="G163" s="275">
        <v>3570000000</v>
      </c>
      <c r="H163" s="275"/>
      <c r="I163" s="275">
        <f t="shared" si="18"/>
        <v>3570000000</v>
      </c>
      <c r="J163" s="248"/>
      <c r="K163" s="248"/>
      <c r="L163" s="2685"/>
      <c r="M163" s="284"/>
      <c r="N163" s="2630">
        <f t="shared" si="19"/>
        <v>0</v>
      </c>
      <c r="O163" s="2685"/>
      <c r="P163" s="284"/>
      <c r="Q163" s="2685"/>
      <c r="R163" s="2685"/>
      <c r="S163" s="2685"/>
      <c r="T163" s="248">
        <f t="shared" si="20"/>
        <v>0</v>
      </c>
      <c r="U163" s="248"/>
      <c r="V163" s="2685"/>
      <c r="W163" s="2685"/>
      <c r="X163" s="284"/>
      <c r="Y163" s="2631" t="e">
        <f>#N/A</f>
        <v>#N/A</v>
      </c>
      <c r="Z163" s="280" t="e">
        <f>#N/A</f>
        <v>#N/A</v>
      </c>
      <c r="AA163" s="280"/>
      <c r="AB163" s="2630">
        <f t="shared" si="21"/>
        <v>3570000000</v>
      </c>
    </row>
    <row r="164" spans="2:30" s="2616" customFormat="1" ht="23.45" customHeight="1" x14ac:dyDescent="0.2">
      <c r="B164" s="4125"/>
      <c r="C164" s="2622" t="s">
        <v>170</v>
      </c>
      <c r="D164" s="2618" t="s">
        <v>171</v>
      </c>
      <c r="E164" s="2677">
        <v>28930000000</v>
      </c>
      <c r="F164" s="221">
        <v>0</v>
      </c>
      <c r="G164" s="275">
        <v>28930000000</v>
      </c>
      <c r="H164" s="275"/>
      <c r="I164" s="275">
        <f t="shared" si="18"/>
        <v>28930000000</v>
      </c>
      <c r="J164" s="248"/>
      <c r="K164" s="248"/>
      <c r="L164" s="2685"/>
      <c r="M164" s="276"/>
      <c r="N164" s="2630">
        <f t="shared" si="19"/>
        <v>0</v>
      </c>
      <c r="O164" s="2685"/>
      <c r="P164" s="284"/>
      <c r="Q164" s="2685"/>
      <c r="R164" s="2685"/>
      <c r="S164" s="2685"/>
      <c r="T164" s="248">
        <f t="shared" si="20"/>
        <v>0</v>
      </c>
      <c r="U164" s="248"/>
      <c r="V164" s="2685"/>
      <c r="W164" s="2685"/>
      <c r="X164" s="284"/>
      <c r="Y164" s="2631" t="e">
        <f>#N/A</f>
        <v>#N/A</v>
      </c>
      <c r="Z164" s="280" t="e">
        <f>#N/A</f>
        <v>#N/A</v>
      </c>
      <c r="AA164" s="280"/>
      <c r="AB164" s="2630">
        <f t="shared" si="21"/>
        <v>28930000000</v>
      </c>
    </row>
    <row r="165" spans="2:30" s="2616" customFormat="1" ht="23.45" customHeight="1" x14ac:dyDescent="0.2">
      <c r="B165" s="4125"/>
      <c r="C165" s="2622" t="s">
        <v>172</v>
      </c>
      <c r="D165" s="2618" t="s">
        <v>173</v>
      </c>
      <c r="E165" s="2677">
        <v>24450000000</v>
      </c>
      <c r="F165" s="221">
        <v>0</v>
      </c>
      <c r="G165" s="275">
        <v>0</v>
      </c>
      <c r="H165" s="275"/>
      <c r="I165" s="275">
        <f t="shared" si="18"/>
        <v>24450000000</v>
      </c>
      <c r="J165" s="248"/>
      <c r="K165" s="248"/>
      <c r="L165" s="2685"/>
      <c r="M165" s="276"/>
      <c r="N165" s="2630">
        <f t="shared" si="19"/>
        <v>0</v>
      </c>
      <c r="O165" s="2685"/>
      <c r="P165" s="284"/>
      <c r="Q165" s="2685"/>
      <c r="R165" s="2685"/>
      <c r="S165" s="2685"/>
      <c r="T165" s="248">
        <f t="shared" si="20"/>
        <v>0</v>
      </c>
      <c r="U165" s="248"/>
      <c r="V165" s="2685"/>
      <c r="W165" s="2685"/>
      <c r="X165" s="284"/>
      <c r="Y165" s="2631" t="e">
        <f>#N/A</f>
        <v>#N/A</v>
      </c>
      <c r="Z165" s="280" t="e">
        <f>#N/A</f>
        <v>#N/A</v>
      </c>
      <c r="AA165" s="280"/>
      <c r="AB165" s="2630">
        <f t="shared" si="21"/>
        <v>24450000000</v>
      </c>
    </row>
    <row r="166" spans="2:30" s="2616" customFormat="1" ht="23.45" customHeight="1" x14ac:dyDescent="0.2">
      <c r="B166" s="4125"/>
      <c r="C166" s="2622" t="s">
        <v>174</v>
      </c>
      <c r="D166" s="2618" t="s">
        <v>175</v>
      </c>
      <c r="E166" s="2677">
        <v>7980000000</v>
      </c>
      <c r="F166" s="221">
        <v>0</v>
      </c>
      <c r="G166" s="275">
        <v>4554000000</v>
      </c>
      <c r="H166" s="275"/>
      <c r="I166" s="275">
        <f t="shared" si="18"/>
        <v>7980000000</v>
      </c>
      <c r="J166" s="248"/>
      <c r="K166" s="248"/>
      <c r="L166" s="2685"/>
      <c r="M166" s="276"/>
      <c r="N166" s="2630">
        <f t="shared" si="19"/>
        <v>0</v>
      </c>
      <c r="O166" s="2685"/>
      <c r="P166" s="284"/>
      <c r="Q166" s="2685"/>
      <c r="R166" s="2685"/>
      <c r="S166" s="2685"/>
      <c r="T166" s="248">
        <f t="shared" si="20"/>
        <v>0</v>
      </c>
      <c r="U166" s="248"/>
      <c r="V166" s="2685"/>
      <c r="W166" s="2685"/>
      <c r="X166" s="284"/>
      <c r="Y166" s="2631" t="e">
        <f>#N/A</f>
        <v>#N/A</v>
      </c>
      <c r="Z166" s="280" t="e">
        <f>#N/A</f>
        <v>#N/A</v>
      </c>
      <c r="AA166" s="280"/>
      <c r="AB166" s="2630">
        <f t="shared" si="21"/>
        <v>7980000000</v>
      </c>
    </row>
    <row r="167" spans="2:30" s="2616" customFormat="1" ht="36.6" customHeight="1" x14ac:dyDescent="0.2">
      <c r="B167" s="4125"/>
      <c r="C167" s="2622" t="s">
        <v>176</v>
      </c>
      <c r="D167" s="2618" t="s">
        <v>177</v>
      </c>
      <c r="E167" s="2677">
        <v>39584069306</v>
      </c>
      <c r="F167" s="221">
        <v>0</v>
      </c>
      <c r="G167" s="275">
        <v>38326000000</v>
      </c>
      <c r="H167" s="275"/>
      <c r="I167" s="275">
        <f t="shared" si="18"/>
        <v>39584069306</v>
      </c>
      <c r="J167" s="248"/>
      <c r="K167" s="248"/>
      <c r="L167" s="2685"/>
      <c r="M167" s="2690"/>
      <c r="N167" s="2630">
        <f t="shared" si="19"/>
        <v>0</v>
      </c>
      <c r="O167" s="2685"/>
      <c r="P167" s="284"/>
      <c r="Q167" s="2685"/>
      <c r="R167" s="2685"/>
      <c r="S167" s="2686"/>
      <c r="T167" s="248">
        <f t="shared" si="20"/>
        <v>0</v>
      </c>
      <c r="U167" s="257"/>
      <c r="V167" s="2620"/>
      <c r="W167" s="2620"/>
      <c r="X167" s="285"/>
      <c r="Y167" s="2631" t="e">
        <f>#N/A</f>
        <v>#N/A</v>
      </c>
      <c r="Z167" s="280" t="e">
        <f>#N/A</f>
        <v>#N/A</v>
      </c>
      <c r="AA167" s="280"/>
      <c r="AB167" s="2630">
        <f t="shared" si="21"/>
        <v>39584069306</v>
      </c>
    </row>
    <row r="168" spans="2:30" s="2616" customFormat="1" ht="23.45" customHeight="1" x14ac:dyDescent="0.2">
      <c r="B168" s="4125"/>
      <c r="C168" s="2664" t="s">
        <v>75</v>
      </c>
      <c r="D168" s="2687" t="s">
        <v>76</v>
      </c>
      <c r="E168" s="2677">
        <f>3000000000+881511168</f>
        <v>3881511168</v>
      </c>
      <c r="F168" s="221">
        <v>0</v>
      </c>
      <c r="G168" s="275">
        <v>3882000000</v>
      </c>
      <c r="H168" s="275"/>
      <c r="I168" s="275">
        <f t="shared" si="18"/>
        <v>3881511168</v>
      </c>
      <c r="J168" s="248"/>
      <c r="K168" s="248"/>
      <c r="L168" s="2685"/>
      <c r="M168" s="276"/>
      <c r="N168" s="2630">
        <f t="shared" si="19"/>
        <v>0</v>
      </c>
      <c r="O168" s="2685"/>
      <c r="P168" s="284"/>
      <c r="Q168" s="2685"/>
      <c r="R168" s="2685"/>
      <c r="S168" s="2686"/>
      <c r="T168" s="248">
        <f t="shared" si="20"/>
        <v>0</v>
      </c>
      <c r="U168" s="257"/>
      <c r="V168" s="2620"/>
      <c r="W168" s="2620"/>
      <c r="X168" s="285"/>
      <c r="Y168" s="2631" t="e">
        <f>#N/A</f>
        <v>#N/A</v>
      </c>
      <c r="Z168" s="280" t="e">
        <f>#N/A</f>
        <v>#N/A</v>
      </c>
      <c r="AA168" s="280"/>
      <c r="AB168" s="2630">
        <f t="shared" si="21"/>
        <v>3881511168</v>
      </c>
    </row>
    <row r="169" spans="2:30" s="2616" customFormat="1" ht="23.45" customHeight="1" x14ac:dyDescent="0.2">
      <c r="B169" s="4125"/>
      <c r="C169" s="2664" t="s">
        <v>2200</v>
      </c>
      <c r="D169" s="2687" t="s">
        <v>2201</v>
      </c>
      <c r="E169" s="2677">
        <v>71330000000</v>
      </c>
      <c r="F169" s="221"/>
      <c r="G169" s="275"/>
      <c r="H169" s="275"/>
      <c r="I169" s="275">
        <f t="shared" si="18"/>
        <v>71330000000</v>
      </c>
      <c r="J169" s="248"/>
      <c r="K169" s="248"/>
      <c r="L169" s="2685"/>
      <c r="M169" s="276"/>
      <c r="N169" s="2630"/>
      <c r="O169" s="2685"/>
      <c r="P169" s="284"/>
      <c r="Q169" s="2685"/>
      <c r="R169" s="2685"/>
      <c r="S169" s="2686"/>
      <c r="T169" s="248"/>
      <c r="U169" s="303"/>
      <c r="V169" s="2620"/>
      <c r="W169" s="2620"/>
      <c r="X169" s="285"/>
      <c r="Y169" s="2631"/>
      <c r="Z169" s="280"/>
      <c r="AA169" s="280"/>
      <c r="AB169" s="2630">
        <f t="shared" si="21"/>
        <v>71330000000</v>
      </c>
    </row>
    <row r="170" spans="2:30" s="2616" customFormat="1" ht="23.45" customHeight="1" x14ac:dyDescent="0.2">
      <c r="B170" s="4125"/>
      <c r="C170" s="2664" t="s">
        <v>1050</v>
      </c>
      <c r="D170" s="2687" t="s">
        <v>293</v>
      </c>
      <c r="E170" s="2677">
        <v>1998000000</v>
      </c>
      <c r="F170" s="221">
        <v>0</v>
      </c>
      <c r="G170" s="275">
        <v>498000000</v>
      </c>
      <c r="H170" s="275"/>
      <c r="I170" s="275">
        <f t="shared" si="18"/>
        <v>1998000000</v>
      </c>
      <c r="J170" s="248"/>
      <c r="K170" s="248"/>
      <c r="L170" s="2685"/>
      <c r="M170" s="596"/>
      <c r="N170" s="2630">
        <f t="shared" si="19"/>
        <v>0</v>
      </c>
      <c r="O170" s="2620"/>
      <c r="P170" s="276"/>
      <c r="Q170" s="2620"/>
      <c r="R170" s="301"/>
      <c r="S170" s="2620"/>
      <c r="T170" s="248">
        <f t="shared" si="20"/>
        <v>0</v>
      </c>
      <c r="U170" s="257"/>
      <c r="V170" s="2620"/>
      <c r="W170" s="2620"/>
      <c r="X170" s="285"/>
      <c r="Y170" s="2631" t="e">
        <f>#N/A</f>
        <v>#N/A</v>
      </c>
      <c r="Z170" s="280" t="e">
        <f>#N/A</f>
        <v>#N/A</v>
      </c>
      <c r="AA170" s="280"/>
      <c r="AB170" s="2630">
        <f t="shared" si="21"/>
        <v>1998000000</v>
      </c>
    </row>
    <row r="171" spans="2:30" s="2616" customFormat="1" ht="23.45" customHeight="1" x14ac:dyDescent="0.2">
      <c r="B171" s="4125"/>
      <c r="C171" s="2622" t="s">
        <v>81</v>
      </c>
      <c r="D171" s="2618" t="s">
        <v>82</v>
      </c>
      <c r="E171" s="2677">
        <v>110000000000</v>
      </c>
      <c r="F171" s="221">
        <v>131520000</v>
      </c>
      <c r="G171" s="275">
        <v>83427000000</v>
      </c>
      <c r="H171" s="275"/>
      <c r="I171" s="275">
        <f t="shared" si="18"/>
        <v>110000000000</v>
      </c>
      <c r="J171" s="248"/>
      <c r="K171" s="248"/>
      <c r="L171" s="2685"/>
      <c r="M171" s="599"/>
      <c r="N171" s="2630">
        <f t="shared" si="19"/>
        <v>0</v>
      </c>
      <c r="O171" s="2620"/>
      <c r="P171" s="276"/>
      <c r="Q171" s="301"/>
      <c r="R171" s="2620"/>
      <c r="S171" s="2620"/>
      <c r="T171" s="248">
        <f t="shared" si="20"/>
        <v>0</v>
      </c>
      <c r="U171" s="257"/>
      <c r="V171" s="2620"/>
      <c r="W171" s="2620"/>
      <c r="X171" s="285"/>
      <c r="Y171" s="2631" t="e">
        <f>#N/A</f>
        <v>#N/A</v>
      </c>
      <c r="Z171" s="280" t="e">
        <f>#N/A</f>
        <v>#N/A</v>
      </c>
      <c r="AA171" s="280"/>
      <c r="AB171" s="2630">
        <f t="shared" si="21"/>
        <v>110000000000</v>
      </c>
    </row>
    <row r="172" spans="2:30" s="2616" customFormat="1" ht="23.45" customHeight="1" x14ac:dyDescent="0.2">
      <c r="B172" s="4125"/>
      <c r="C172" s="2622" t="s">
        <v>183</v>
      </c>
      <c r="D172" s="2618" t="s">
        <v>184</v>
      </c>
      <c r="E172" s="2677">
        <v>15000000000</v>
      </c>
      <c r="F172" s="221">
        <v>0</v>
      </c>
      <c r="G172" s="275">
        <v>15000000000</v>
      </c>
      <c r="H172" s="275"/>
      <c r="I172" s="275">
        <f t="shared" si="18"/>
        <v>15000000000</v>
      </c>
      <c r="J172" s="248"/>
      <c r="K172" s="248"/>
      <c r="L172" s="2685"/>
      <c r="M172" s="595"/>
      <c r="N172" s="2630">
        <f t="shared" si="19"/>
        <v>0</v>
      </c>
      <c r="O172" s="2620"/>
      <c r="P172" s="276"/>
      <c r="Q172" s="2620"/>
      <c r="R172" s="2620"/>
      <c r="S172" s="2620"/>
      <c r="T172" s="248">
        <f t="shared" si="20"/>
        <v>0</v>
      </c>
      <c r="U172" s="257"/>
      <c r="V172" s="2620"/>
      <c r="W172" s="2620"/>
      <c r="X172" s="285"/>
      <c r="Y172" s="2631" t="e">
        <f>#N/A</f>
        <v>#N/A</v>
      </c>
      <c r="Z172" s="280" t="e">
        <f>#N/A</f>
        <v>#N/A</v>
      </c>
      <c r="AA172" s="280"/>
      <c r="AB172" s="2630">
        <f t="shared" si="21"/>
        <v>15000000000</v>
      </c>
    </row>
    <row r="173" spans="2:30" s="2616" customFormat="1" ht="23.45" customHeight="1" x14ac:dyDescent="0.2">
      <c r="B173" s="4125"/>
      <c r="C173" s="2664" t="s">
        <v>163</v>
      </c>
      <c r="D173" s="2687" t="s">
        <v>348</v>
      </c>
      <c r="E173" s="2677">
        <v>2500000000</v>
      </c>
      <c r="F173" s="221">
        <v>0</v>
      </c>
      <c r="G173" s="275">
        <v>1000000000</v>
      </c>
      <c r="H173" s="275"/>
      <c r="I173" s="275">
        <f t="shared" si="18"/>
        <v>2500000000</v>
      </c>
      <c r="J173" s="248"/>
      <c r="K173" s="248"/>
      <c r="L173" s="2685"/>
      <c r="M173" s="595"/>
      <c r="N173" s="2630">
        <f t="shared" si="19"/>
        <v>0</v>
      </c>
      <c r="O173" s="2620"/>
      <c r="P173" s="276"/>
      <c r="Q173" s="2620"/>
      <c r="R173" s="2620"/>
      <c r="S173" s="2620"/>
      <c r="T173" s="248">
        <f t="shared" si="20"/>
        <v>0</v>
      </c>
      <c r="U173" s="303"/>
      <c r="V173" s="2620"/>
      <c r="W173" s="2620"/>
      <c r="X173" s="285"/>
      <c r="Y173" s="2631" t="e">
        <f>#N/A</f>
        <v>#N/A</v>
      </c>
      <c r="Z173" s="280" t="e">
        <f>#N/A</f>
        <v>#N/A</v>
      </c>
      <c r="AA173" s="280"/>
      <c r="AB173" s="2630">
        <f t="shared" si="21"/>
        <v>2500000000</v>
      </c>
      <c r="AD173" s="2616">
        <v>2500000000</v>
      </c>
    </row>
    <row r="174" spans="2:30" s="2616" customFormat="1" ht="23.45" customHeight="1" x14ac:dyDescent="0.2">
      <c r="B174" s="4125"/>
      <c r="C174" s="2622" t="s">
        <v>125</v>
      </c>
      <c r="D174" s="2618" t="s">
        <v>371</v>
      </c>
      <c r="E174" s="2677">
        <v>14200000000</v>
      </c>
      <c r="F174" s="221">
        <v>8654065107</v>
      </c>
      <c r="G174" s="275">
        <v>21150000000</v>
      </c>
      <c r="H174" s="275"/>
      <c r="I174" s="275">
        <f t="shared" si="18"/>
        <v>14200000000</v>
      </c>
      <c r="J174" s="248"/>
      <c r="K174" s="248"/>
      <c r="L174" s="2685"/>
      <c r="M174" s="595"/>
      <c r="N174" s="2630">
        <f t="shared" si="19"/>
        <v>0</v>
      </c>
      <c r="O174" s="2620"/>
      <c r="P174" s="276"/>
      <c r="Q174" s="301"/>
      <c r="R174" s="2620"/>
      <c r="S174" s="2620"/>
      <c r="T174" s="257">
        <f t="shared" si="20"/>
        <v>0</v>
      </c>
      <c r="U174" s="257"/>
      <c r="V174" s="2620"/>
      <c r="W174" s="2620"/>
      <c r="X174" s="285"/>
      <c r="Y174" s="2631" t="e">
        <f>#N/A</f>
        <v>#N/A</v>
      </c>
      <c r="Z174" s="280" t="e">
        <f>#N/A</f>
        <v>#N/A</v>
      </c>
      <c r="AA174" s="280"/>
      <c r="AB174" s="2630">
        <f t="shared" si="21"/>
        <v>14200000000</v>
      </c>
    </row>
    <row r="175" spans="2:30" s="2616" customFormat="1" ht="23.45" customHeight="1" x14ac:dyDescent="0.2">
      <c r="B175" s="4125"/>
      <c r="C175" s="4112" t="s">
        <v>94</v>
      </c>
      <c r="D175" s="4112"/>
      <c r="E175" s="2681">
        <f>SUM(E156:E174)</f>
        <v>37812477952109</v>
      </c>
      <c r="F175" s="2681">
        <f t="shared" ref="F175:AB175" si="22">SUM(F156:F174)</f>
        <v>131242313107</v>
      </c>
      <c r="G175" s="2681">
        <f t="shared" si="22"/>
        <v>9501586000000</v>
      </c>
      <c r="H175" s="2681">
        <f t="shared" si="22"/>
        <v>0</v>
      </c>
      <c r="I175" s="2681">
        <f t="shared" si="22"/>
        <v>37812477952109</v>
      </c>
      <c r="J175" s="2681">
        <f t="shared" si="22"/>
        <v>271500000000</v>
      </c>
      <c r="K175" s="2681">
        <f t="shared" si="22"/>
        <v>232559000000</v>
      </c>
      <c r="L175" s="2681">
        <f t="shared" si="22"/>
        <v>0</v>
      </c>
      <c r="M175" s="2681">
        <f t="shared" si="22"/>
        <v>0</v>
      </c>
      <c r="N175" s="2681">
        <f t="shared" si="22"/>
        <v>1553690000000</v>
      </c>
      <c r="O175" s="2681">
        <f t="shared" si="22"/>
        <v>9801019000000</v>
      </c>
      <c r="P175" s="2681">
        <f t="shared" si="22"/>
        <v>-1582060020</v>
      </c>
      <c r="Q175" s="2681">
        <f t="shared" si="22"/>
        <v>0</v>
      </c>
      <c r="R175" s="2681">
        <f t="shared" si="22"/>
        <v>0</v>
      </c>
      <c r="S175" s="2681">
        <f t="shared" si="22"/>
        <v>0</v>
      </c>
      <c r="T175" s="2681">
        <f t="shared" si="22"/>
        <v>-339521000000</v>
      </c>
      <c r="U175" s="2681">
        <f t="shared" si="22"/>
        <v>200467000000</v>
      </c>
      <c r="V175" s="2681">
        <f t="shared" si="22"/>
        <v>586345980000</v>
      </c>
      <c r="W175" s="2681">
        <f t="shared" si="22"/>
        <v>-172115000000</v>
      </c>
      <c r="X175" s="2681">
        <f t="shared" si="22"/>
        <v>0</v>
      </c>
      <c r="Y175" s="2681" t="e">
        <f t="shared" si="22"/>
        <v>#N/A</v>
      </c>
      <c r="Z175" s="2681" t="e">
        <f t="shared" si="22"/>
        <v>#N/A</v>
      </c>
      <c r="AA175" s="2681">
        <f t="shared" si="22"/>
        <v>0</v>
      </c>
      <c r="AB175" s="2681">
        <f t="shared" si="22"/>
        <v>49440781872089</v>
      </c>
      <c r="AD175" s="2616">
        <f>I175+N175+O175+P175+T175+U175+V175+W175</f>
        <v>49440781872089</v>
      </c>
    </row>
    <row r="176" spans="2:30" s="2616" customFormat="1" ht="23.45" customHeight="1" x14ac:dyDescent="0.2">
      <c r="B176" s="2653"/>
      <c r="E176" s="2654"/>
      <c r="F176" s="2654"/>
      <c r="G176" s="2654"/>
      <c r="H176" s="2654"/>
      <c r="I176" s="2654"/>
    </row>
    <row r="177" spans="2:49" s="2616" customFormat="1" ht="23.45" customHeight="1" x14ac:dyDescent="0.2">
      <c r="B177" s="2653"/>
      <c r="E177" s="2654"/>
      <c r="F177" s="2654"/>
      <c r="G177" s="2654"/>
      <c r="H177" s="2654"/>
      <c r="I177" s="2654"/>
    </row>
    <row r="178" spans="2:49" s="2616" customFormat="1" ht="21" customHeight="1" x14ac:dyDescent="0.2">
      <c r="B178" s="4141">
        <v>96</v>
      </c>
      <c r="C178" s="4141"/>
      <c r="D178" s="4141"/>
      <c r="E178" s="4141"/>
      <c r="F178" s="4141"/>
      <c r="G178" s="4141"/>
      <c r="H178" s="4141"/>
      <c r="I178" s="4141"/>
      <c r="J178" s="4141"/>
      <c r="K178" s="4141"/>
      <c r="L178" s="4141"/>
      <c r="M178" s="4141"/>
      <c r="N178" s="4141"/>
      <c r="O178" s="4141"/>
      <c r="P178" s="4141"/>
      <c r="Q178" s="4141"/>
      <c r="R178" s="4141"/>
      <c r="S178" s="4141"/>
      <c r="T178" s="4141"/>
      <c r="U178" s="4141"/>
      <c r="V178" s="4141"/>
      <c r="W178" s="4141"/>
      <c r="X178" s="4141"/>
      <c r="Y178" s="4141"/>
      <c r="Z178" s="4141"/>
      <c r="AA178" s="4141"/>
      <c r="AB178" s="4141"/>
    </row>
    <row r="179" spans="2:49" s="2616" customFormat="1" ht="26.45" customHeight="1" x14ac:dyDescent="0.2">
      <c r="B179" s="4108" t="s">
        <v>295</v>
      </c>
      <c r="C179" s="4108"/>
      <c r="D179" s="4108"/>
      <c r="E179" s="4108"/>
      <c r="F179" s="4108"/>
      <c r="G179" s="4108"/>
      <c r="H179" s="4108"/>
      <c r="I179" s="4108"/>
      <c r="J179" s="4108"/>
      <c r="K179" s="4108"/>
      <c r="L179" s="4108"/>
      <c r="M179" s="4108"/>
      <c r="N179" s="4108"/>
      <c r="O179" s="4108"/>
      <c r="P179" s="4108"/>
      <c r="Q179" s="4108"/>
      <c r="R179" s="4108"/>
      <c r="S179" s="4108"/>
      <c r="T179" s="4108"/>
      <c r="U179" s="4108"/>
      <c r="V179" s="4108"/>
      <c r="W179" s="4108"/>
      <c r="X179" s="4108"/>
      <c r="Y179" s="4108"/>
      <c r="Z179" s="4108"/>
      <c r="AA179" s="4108"/>
      <c r="AB179" s="4108"/>
    </row>
    <row r="180" spans="2:49" s="2616" customFormat="1" ht="26.45" customHeight="1" x14ac:dyDescent="0.2">
      <c r="B180" s="4108" t="s">
        <v>45</v>
      </c>
      <c r="C180" s="4108"/>
      <c r="D180" s="4108"/>
      <c r="E180" s="4108"/>
      <c r="F180" s="4108"/>
      <c r="G180" s="4108"/>
      <c r="H180" s="4108"/>
      <c r="I180" s="4108"/>
      <c r="J180" s="4108"/>
      <c r="K180" s="4108"/>
      <c r="L180" s="4108"/>
      <c r="M180" s="4108"/>
      <c r="N180" s="4108"/>
      <c r="O180" s="4108"/>
      <c r="P180" s="4108"/>
      <c r="Q180" s="4108"/>
      <c r="R180" s="4108"/>
      <c r="S180" s="4108"/>
      <c r="T180" s="4108"/>
      <c r="U180" s="4108"/>
      <c r="V180" s="4108"/>
      <c r="W180" s="4108"/>
      <c r="X180" s="4108"/>
      <c r="Y180" s="4108"/>
      <c r="Z180" s="4108"/>
      <c r="AA180" s="4108"/>
      <c r="AB180" s="4108"/>
    </row>
    <row r="181" spans="2:49" s="2616" customFormat="1" ht="26.45" customHeight="1" x14ac:dyDescent="0.2">
      <c r="B181" s="4108" t="s">
        <v>46</v>
      </c>
      <c r="C181" s="4108"/>
      <c r="D181" s="4108"/>
      <c r="E181" s="4108"/>
      <c r="F181" s="4108"/>
      <c r="G181" s="4108"/>
      <c r="H181" s="4108"/>
      <c r="I181" s="4108"/>
      <c r="J181" s="4108"/>
      <c r="K181" s="4108"/>
      <c r="L181" s="4108"/>
      <c r="M181" s="4108"/>
      <c r="N181" s="4108"/>
      <c r="O181" s="4108"/>
      <c r="P181" s="4108"/>
      <c r="Q181" s="4108"/>
      <c r="R181" s="4108"/>
      <c r="S181" s="4108"/>
      <c r="T181" s="4108"/>
      <c r="U181" s="4108"/>
      <c r="V181" s="4108"/>
      <c r="W181" s="4108"/>
      <c r="X181" s="4108"/>
      <c r="Y181" s="4108"/>
      <c r="Z181" s="4108"/>
      <c r="AA181" s="4108"/>
      <c r="AB181" s="4108"/>
    </row>
    <row r="182" spans="2:49" s="2616" customFormat="1" ht="26.45" customHeight="1" x14ac:dyDescent="0.2">
      <c r="B182" s="3294" t="s">
        <v>1981</v>
      </c>
      <c r="C182" s="3294"/>
      <c r="D182" s="3294"/>
      <c r="E182" s="3294"/>
      <c r="F182" s="3294"/>
      <c r="G182" s="3294"/>
      <c r="H182" s="3294"/>
      <c r="I182" s="3294"/>
      <c r="J182" s="3294"/>
      <c r="K182" s="3294"/>
      <c r="L182" s="3294"/>
      <c r="M182" s="3294"/>
      <c r="N182" s="3294"/>
      <c r="O182" s="3294"/>
      <c r="P182" s="3294"/>
      <c r="Q182" s="3294"/>
      <c r="R182" s="3294"/>
      <c r="S182" s="3294"/>
      <c r="T182" s="3294"/>
      <c r="U182" s="3294"/>
      <c r="V182" s="3294"/>
      <c r="W182" s="3294"/>
      <c r="X182" s="3294"/>
      <c r="Y182" s="3294"/>
      <c r="Z182" s="3294"/>
      <c r="AA182" s="3294"/>
      <c r="AB182" s="3294"/>
    </row>
    <row r="183" spans="2:49" s="2616" customFormat="1" ht="26.45" customHeight="1" x14ac:dyDescent="0.2">
      <c r="B183" s="1722"/>
      <c r="C183" s="1722"/>
      <c r="D183" s="1722"/>
      <c r="E183" s="1722"/>
      <c r="F183" s="1722"/>
      <c r="G183" s="1722"/>
      <c r="H183" s="1722"/>
      <c r="I183" s="1722"/>
      <c r="J183" s="1722"/>
      <c r="K183" s="1722"/>
      <c r="L183" s="1722"/>
      <c r="M183" s="1722"/>
      <c r="N183" s="1722"/>
      <c r="O183" s="1722"/>
      <c r="P183" s="1722"/>
      <c r="Q183" s="1722"/>
      <c r="R183" s="1722"/>
      <c r="S183" s="1722"/>
      <c r="T183" s="1722"/>
      <c r="U183" s="1722"/>
      <c r="V183" s="1722"/>
      <c r="W183" s="1722"/>
      <c r="X183" s="1722"/>
      <c r="Y183" s="1722"/>
      <c r="Z183" s="1722"/>
      <c r="AA183" s="1722"/>
      <c r="AB183" s="1722"/>
    </row>
    <row r="184" spans="2:49" s="2616" customFormat="1" ht="26.45" customHeight="1" x14ac:dyDescent="0.2">
      <c r="B184" s="1722"/>
      <c r="C184" s="1722"/>
      <c r="D184" s="1722"/>
      <c r="E184" s="1722"/>
      <c r="F184" s="1722"/>
      <c r="G184" s="1722"/>
      <c r="H184" s="1722"/>
      <c r="I184" s="1722"/>
      <c r="J184" s="1722"/>
      <c r="K184" s="1722"/>
      <c r="L184" s="1722"/>
      <c r="M184" s="1722"/>
      <c r="N184" s="1722"/>
      <c r="O184" s="1722"/>
      <c r="P184" s="1722"/>
      <c r="Q184" s="1722"/>
      <c r="R184" s="1722"/>
      <c r="S184" s="1722"/>
      <c r="T184" s="1722"/>
      <c r="U184" s="1722"/>
      <c r="V184" s="1722"/>
      <c r="W184" s="1722"/>
      <c r="X184" s="1722"/>
      <c r="Y184" s="1722"/>
      <c r="Z184" s="1722"/>
      <c r="AA184" s="1722"/>
      <c r="AB184" s="1722"/>
    </row>
    <row r="185" spans="2:49" s="2616" customFormat="1" ht="29.45" customHeight="1" x14ac:dyDescent="0.2">
      <c r="B185" s="4110" t="s">
        <v>1848</v>
      </c>
      <c r="C185" s="4110"/>
      <c r="D185" s="4110"/>
      <c r="E185" s="2656"/>
      <c r="F185" s="2657"/>
      <c r="G185" s="2658"/>
      <c r="H185" s="2658"/>
      <c r="I185" s="2658"/>
      <c r="J185" s="2658"/>
      <c r="K185" s="2658"/>
      <c r="L185" s="2658"/>
      <c r="M185" s="2658"/>
      <c r="N185" s="2658"/>
      <c r="O185" s="2658"/>
      <c r="P185" s="2658"/>
      <c r="Q185" s="2658"/>
      <c r="R185" s="2658"/>
      <c r="S185" s="2658"/>
      <c r="T185" s="2658"/>
      <c r="U185" s="2658"/>
      <c r="V185" s="2658"/>
      <c r="W185" s="2658"/>
      <c r="X185" s="104"/>
      <c r="Y185" s="104"/>
      <c r="Z185" s="104"/>
      <c r="AA185" s="104"/>
      <c r="AB185" s="2608" t="s">
        <v>194</v>
      </c>
    </row>
    <row r="186" spans="2:49" s="2616" customFormat="1" ht="39.6" customHeight="1" x14ac:dyDescent="0.2">
      <c r="B186" s="4112" t="s">
        <v>419</v>
      </c>
      <c r="C186" s="4117" t="s">
        <v>196</v>
      </c>
      <c r="D186" s="4124" t="s">
        <v>197</v>
      </c>
      <c r="E186" s="4111" t="s">
        <v>1400</v>
      </c>
      <c r="F186" s="2609"/>
      <c r="G186" s="4111" t="s">
        <v>921</v>
      </c>
      <c r="H186" s="4118" t="s">
        <v>1116</v>
      </c>
      <c r="I186" s="4118" t="s">
        <v>1271</v>
      </c>
      <c r="J186" s="4135" t="s">
        <v>1272</v>
      </c>
      <c r="K186" s="4136"/>
      <c r="L186" s="4136"/>
      <c r="M186" s="4136"/>
      <c r="N186" s="4136"/>
      <c r="O186" s="4137"/>
      <c r="P186" s="4113" t="s">
        <v>423</v>
      </c>
      <c r="Q186" s="4115" t="s">
        <v>827</v>
      </c>
      <c r="R186" s="4115" t="s">
        <v>888</v>
      </c>
      <c r="S186" s="4115"/>
      <c r="T186" s="4114" t="s">
        <v>2015</v>
      </c>
      <c r="U186" s="4121" t="s">
        <v>1274</v>
      </c>
      <c r="V186" s="4121" t="s">
        <v>2016</v>
      </c>
      <c r="W186" s="4116" t="s">
        <v>1033</v>
      </c>
      <c r="X186" s="2610"/>
      <c r="Y186" s="4127" t="s">
        <v>296</v>
      </c>
      <c r="Z186" s="4127" t="s">
        <v>190</v>
      </c>
      <c r="AA186" s="4129" t="s">
        <v>313</v>
      </c>
      <c r="AB186" s="4111" t="s">
        <v>2013</v>
      </c>
    </row>
    <row r="187" spans="2:49" s="2616" customFormat="1" ht="42.6" customHeight="1" x14ac:dyDescent="0.2">
      <c r="B187" s="4112"/>
      <c r="C187" s="4117"/>
      <c r="D187" s="4124"/>
      <c r="E187" s="4111"/>
      <c r="F187" s="2609"/>
      <c r="G187" s="4111"/>
      <c r="H187" s="4119"/>
      <c r="I187" s="4119"/>
      <c r="J187" s="4138"/>
      <c r="K187" s="4139"/>
      <c r="L187" s="4139"/>
      <c r="M187" s="4139"/>
      <c r="N187" s="4139"/>
      <c r="O187" s="4140"/>
      <c r="P187" s="4113"/>
      <c r="Q187" s="4115"/>
      <c r="R187" s="4109" t="s">
        <v>889</v>
      </c>
      <c r="S187" s="4109" t="s">
        <v>890</v>
      </c>
      <c r="T187" s="4114"/>
      <c r="U187" s="4122"/>
      <c r="V187" s="4122"/>
      <c r="W187" s="4116"/>
      <c r="X187" s="2611"/>
      <c r="Y187" s="4127"/>
      <c r="Z187" s="4127"/>
      <c r="AA187" s="4130"/>
      <c r="AB187" s="4111"/>
    </row>
    <row r="188" spans="2:49" s="2616" customFormat="1" ht="58.15" customHeight="1" x14ac:dyDescent="0.2">
      <c r="B188" s="4112"/>
      <c r="C188" s="4117"/>
      <c r="D188" s="4124"/>
      <c r="E188" s="4111"/>
      <c r="F188" s="2612" t="s">
        <v>421</v>
      </c>
      <c r="G188" s="2613" t="s">
        <v>27</v>
      </c>
      <c r="H188" s="4120"/>
      <c r="I188" s="4120"/>
      <c r="J188" s="2614" t="s">
        <v>1273</v>
      </c>
      <c r="K188" s="2614" t="s">
        <v>1292</v>
      </c>
      <c r="L188" s="2612" t="s">
        <v>999</v>
      </c>
      <c r="M188" s="2612" t="s">
        <v>422</v>
      </c>
      <c r="N188" s="2612" t="s">
        <v>2014</v>
      </c>
      <c r="O188" s="2615" t="s">
        <v>1794</v>
      </c>
      <c r="P188" s="4113"/>
      <c r="Q188" s="4115"/>
      <c r="R188" s="4109"/>
      <c r="S188" s="4109"/>
      <c r="T188" s="4114"/>
      <c r="U188" s="4123"/>
      <c r="V188" s="4123"/>
      <c r="W188" s="4116"/>
      <c r="X188" s="373" t="s">
        <v>62</v>
      </c>
      <c r="Y188" s="4127"/>
      <c r="Z188" s="4127"/>
      <c r="AA188" s="4131"/>
      <c r="AB188" s="4111"/>
    </row>
    <row r="189" spans="2:49" s="2616" customFormat="1" ht="21.6" customHeight="1" x14ac:dyDescent="0.2">
      <c r="B189" s="4125" t="s">
        <v>180</v>
      </c>
      <c r="C189" s="4126" t="s">
        <v>181</v>
      </c>
      <c r="D189" s="4126"/>
      <c r="E189" s="2691">
        <f>E175</f>
        <v>37812477952109</v>
      </c>
      <c r="F189" s="2691">
        <f t="shared" ref="F189:AB189" si="23">F175</f>
        <v>131242313107</v>
      </c>
      <c r="G189" s="2691">
        <f t="shared" si="23"/>
        <v>9501586000000</v>
      </c>
      <c r="H189" s="2691">
        <f t="shared" si="23"/>
        <v>0</v>
      </c>
      <c r="I189" s="2691">
        <f t="shared" si="23"/>
        <v>37812477952109</v>
      </c>
      <c r="J189" s="2691">
        <f t="shared" si="23"/>
        <v>271500000000</v>
      </c>
      <c r="K189" s="2691">
        <f t="shared" si="23"/>
        <v>232559000000</v>
      </c>
      <c r="L189" s="2691">
        <f t="shared" si="23"/>
        <v>0</v>
      </c>
      <c r="M189" s="2691">
        <f t="shared" si="23"/>
        <v>0</v>
      </c>
      <c r="N189" s="2691">
        <f t="shared" si="23"/>
        <v>1553690000000</v>
      </c>
      <c r="O189" s="2691">
        <f t="shared" si="23"/>
        <v>9801019000000</v>
      </c>
      <c r="P189" s="2691">
        <f t="shared" si="23"/>
        <v>-1582060020</v>
      </c>
      <c r="Q189" s="2691">
        <f t="shared" si="23"/>
        <v>0</v>
      </c>
      <c r="R189" s="2691">
        <f t="shared" si="23"/>
        <v>0</v>
      </c>
      <c r="S189" s="2691">
        <f t="shared" si="23"/>
        <v>0</v>
      </c>
      <c r="T189" s="2691">
        <f t="shared" si="23"/>
        <v>-339521000000</v>
      </c>
      <c r="U189" s="2691">
        <f t="shared" si="23"/>
        <v>200467000000</v>
      </c>
      <c r="V189" s="2691">
        <f t="shared" si="23"/>
        <v>586345980000</v>
      </c>
      <c r="W189" s="2691">
        <f t="shared" si="23"/>
        <v>-172115000000</v>
      </c>
      <c r="X189" s="2691">
        <f t="shared" si="23"/>
        <v>0</v>
      </c>
      <c r="Y189" s="2691" t="e">
        <f t="shared" si="23"/>
        <v>#N/A</v>
      </c>
      <c r="Z189" s="2691" t="e">
        <f t="shared" si="23"/>
        <v>#N/A</v>
      </c>
      <c r="AA189" s="2691">
        <f t="shared" si="23"/>
        <v>0</v>
      </c>
      <c r="AB189" s="2691">
        <f t="shared" si="23"/>
        <v>49440781872089</v>
      </c>
    </row>
    <row r="190" spans="2:49" s="2616" customFormat="1" ht="28.15" customHeight="1" x14ac:dyDescent="0.2">
      <c r="B190" s="4125"/>
      <c r="C190" s="2622" t="s">
        <v>372</v>
      </c>
      <c r="D190" s="2618" t="s">
        <v>373</v>
      </c>
      <c r="E190" s="2691">
        <v>170000000000</v>
      </c>
      <c r="F190" s="221">
        <v>0</v>
      </c>
      <c r="G190" s="275">
        <v>170000000000</v>
      </c>
      <c r="H190" s="275"/>
      <c r="I190" s="275">
        <f>E190+H190</f>
        <v>170000000000</v>
      </c>
      <c r="J190" s="248"/>
      <c r="K190" s="248"/>
      <c r="L190" s="2685"/>
      <c r="M190" s="595"/>
      <c r="N190" s="2620"/>
      <c r="O190" s="2620"/>
      <c r="P190" s="276"/>
      <c r="Q190" s="2671"/>
      <c r="R190" s="2686"/>
      <c r="S190" s="2686"/>
      <c r="T190" s="257"/>
      <c r="U190" s="303"/>
      <c r="V190" s="2692"/>
      <c r="W190" s="2693"/>
      <c r="X190" s="285"/>
      <c r="Y190" s="2686" t="e">
        <f>#N/A</f>
        <v>#N/A</v>
      </c>
      <c r="Z190" s="284" t="e">
        <f>#N/A</f>
        <v>#N/A</v>
      </c>
      <c r="AA190" s="284"/>
      <c r="AB190" s="2685">
        <f t="shared" ref="AB190:AB203" si="24">P190+W190+S190+R190+Q190+N190+T190+E190+V190+U190+O190+H190+M190</f>
        <v>170000000000</v>
      </c>
    </row>
    <row r="191" spans="2:49" s="2616" customFormat="1" ht="28.15" customHeight="1" x14ac:dyDescent="0.2">
      <c r="B191" s="4125"/>
      <c r="C191" s="2622" t="s">
        <v>71</v>
      </c>
      <c r="D191" s="2618" t="s">
        <v>72</v>
      </c>
      <c r="E191" s="2694">
        <v>1000000000</v>
      </c>
      <c r="F191" s="221">
        <v>0</v>
      </c>
      <c r="G191" s="275">
        <v>1000000000</v>
      </c>
      <c r="H191" s="275"/>
      <c r="I191" s="275">
        <f t="shared" ref="I191:I203" si="25">E191+H191</f>
        <v>1000000000</v>
      </c>
      <c r="J191" s="248"/>
      <c r="K191" s="248"/>
      <c r="L191" s="2685"/>
      <c r="M191" s="595"/>
      <c r="N191" s="2620"/>
      <c r="O191" s="2620"/>
      <c r="P191" s="276"/>
      <c r="Q191" s="2671"/>
      <c r="R191" s="2686"/>
      <c r="S191" s="2686"/>
      <c r="T191" s="257"/>
      <c r="U191" s="257"/>
      <c r="V191" s="2620"/>
      <c r="W191" s="2620"/>
      <c r="X191" s="276"/>
      <c r="Y191" s="2620" t="e">
        <f>#N/A</f>
        <v>#N/A</v>
      </c>
      <c r="Z191" s="276" t="e">
        <f>#N/A</f>
        <v>#N/A</v>
      </c>
      <c r="AA191" s="276"/>
      <c r="AB191" s="2620">
        <f t="shared" si="24"/>
        <v>1000000000</v>
      </c>
      <c r="AE191" s="2616" t="s">
        <v>548</v>
      </c>
      <c r="AF191" s="2616" t="s">
        <v>547</v>
      </c>
      <c r="AG191" s="2616">
        <v>58990000000</v>
      </c>
      <c r="AH191" s="2616">
        <v>1200000000</v>
      </c>
      <c r="AI191" s="2616">
        <v>26891000000</v>
      </c>
      <c r="AK191" s="2616">
        <v>30000000000</v>
      </c>
      <c r="AL191" s="2616">
        <v>1000000000</v>
      </c>
      <c r="AM191" s="2616">
        <v>803000000</v>
      </c>
      <c r="AN191" s="2616">
        <v>31803000000</v>
      </c>
      <c r="AU191" s="2616" t="e">
        <v>#N/A</v>
      </c>
      <c r="AV191" s="2616" t="e">
        <v>#N/A</v>
      </c>
      <c r="AW191" s="2616">
        <v>90793000000</v>
      </c>
    </row>
    <row r="192" spans="2:49" s="2616" customFormat="1" ht="28.15" customHeight="1" x14ac:dyDescent="0.2">
      <c r="B192" s="4125"/>
      <c r="C192" s="2622" t="s">
        <v>544</v>
      </c>
      <c r="D192" s="2618" t="s">
        <v>543</v>
      </c>
      <c r="E192" s="2623">
        <v>10461213341</v>
      </c>
      <c r="F192" s="266">
        <v>0</v>
      </c>
      <c r="G192" s="277">
        <v>4082000000</v>
      </c>
      <c r="H192" s="277"/>
      <c r="I192" s="275">
        <f t="shared" si="25"/>
        <v>10461213341</v>
      </c>
      <c r="J192" s="548"/>
      <c r="K192" s="248"/>
      <c r="L192" s="2685"/>
      <c r="M192" s="595"/>
      <c r="N192" s="2620"/>
      <c r="O192" s="2620"/>
      <c r="P192" s="2635"/>
      <c r="Q192" s="2671"/>
      <c r="R192" s="2686"/>
      <c r="S192" s="2686"/>
      <c r="T192" s="257"/>
      <c r="U192" s="257"/>
      <c r="V192" s="2620"/>
      <c r="W192" s="276"/>
      <c r="X192" s="276"/>
      <c r="Y192" s="2620" t="e">
        <f>#N/A</f>
        <v>#N/A</v>
      </c>
      <c r="Z192" s="276" t="e">
        <f>#N/A</f>
        <v>#N/A</v>
      </c>
      <c r="AA192" s="276"/>
      <c r="AB192" s="2620">
        <f t="shared" si="24"/>
        <v>10461213341</v>
      </c>
      <c r="AE192" s="2616" t="s">
        <v>109</v>
      </c>
      <c r="AF192" s="2616" t="s">
        <v>110</v>
      </c>
      <c r="AG192" s="2616">
        <v>26929906351</v>
      </c>
      <c r="AH192" s="2616">
        <v>0</v>
      </c>
      <c r="AI192" s="2616">
        <v>9785000000</v>
      </c>
      <c r="AN192" s="2616">
        <v>0</v>
      </c>
      <c r="AU192" s="2616" t="e">
        <v>#N/A</v>
      </c>
      <c r="AV192" s="2616" t="e">
        <v>#N/A</v>
      </c>
      <c r="AW192" s="2616">
        <v>26929906351</v>
      </c>
    </row>
    <row r="193" spans="2:40" s="2616" customFormat="1" ht="28.15" customHeight="1" x14ac:dyDescent="0.45">
      <c r="B193" s="4125"/>
      <c r="C193" s="2695" t="s">
        <v>77</v>
      </c>
      <c r="D193" s="2696" t="s">
        <v>143</v>
      </c>
      <c r="E193" s="2623">
        <v>40000000000</v>
      </c>
      <c r="F193" s="266">
        <v>0</v>
      </c>
      <c r="G193" s="277">
        <v>40000000000</v>
      </c>
      <c r="H193" s="277"/>
      <c r="I193" s="275">
        <f t="shared" si="25"/>
        <v>40000000000</v>
      </c>
      <c r="J193" s="549"/>
      <c r="K193" s="257"/>
      <c r="L193" s="2620"/>
      <c r="M193" s="596"/>
      <c r="N193" s="2620"/>
      <c r="O193" s="2620"/>
      <c r="P193" s="2635"/>
      <c r="Q193" s="2671"/>
      <c r="R193" s="2686"/>
      <c r="S193" s="2686"/>
      <c r="T193" s="257"/>
      <c r="U193" s="257"/>
      <c r="V193" s="2620"/>
      <c r="W193" s="2620"/>
      <c r="X193" s="276"/>
      <c r="Y193" s="2620" t="e">
        <f>#N/A</f>
        <v>#N/A</v>
      </c>
      <c r="Z193" s="276" t="e">
        <f>#N/A</f>
        <v>#N/A</v>
      </c>
      <c r="AA193" s="276"/>
      <c r="AB193" s="2620">
        <f t="shared" si="24"/>
        <v>40000000000</v>
      </c>
      <c r="AG193" s="2616">
        <f>SUM(AG191:AG192)</f>
        <v>85919906351</v>
      </c>
      <c r="AH193" s="2616">
        <f t="shared" ref="AH193:AN193" si="26">SUM(AH191:AH192)</f>
        <v>1200000000</v>
      </c>
      <c r="AI193" s="2616">
        <f t="shared" si="26"/>
        <v>36676000000</v>
      </c>
      <c r="AJ193" s="2616">
        <f t="shared" si="26"/>
        <v>0</v>
      </c>
      <c r="AK193" s="2616">
        <f t="shared" si="26"/>
        <v>30000000000</v>
      </c>
      <c r="AL193" s="2616">
        <f t="shared" si="26"/>
        <v>1000000000</v>
      </c>
      <c r="AM193" s="2616">
        <f t="shared" si="26"/>
        <v>803000000</v>
      </c>
      <c r="AN193" s="2616">
        <f t="shared" si="26"/>
        <v>31803000000</v>
      </c>
    </row>
    <row r="194" spans="2:40" s="2616" customFormat="1" ht="28.15" customHeight="1" x14ac:dyDescent="0.2">
      <c r="B194" s="4125"/>
      <c r="C194" s="2622" t="s">
        <v>548</v>
      </c>
      <c r="D194" s="2633" t="s">
        <v>547</v>
      </c>
      <c r="E194" s="2623">
        <f>415577400039-E544</f>
        <v>134811341272</v>
      </c>
      <c r="F194" s="266">
        <v>1200000000</v>
      </c>
      <c r="G194" s="277">
        <v>26891000000</v>
      </c>
      <c r="H194" s="277"/>
      <c r="I194" s="275">
        <f t="shared" si="25"/>
        <v>134811341272</v>
      </c>
      <c r="J194" s="549"/>
      <c r="K194" s="257">
        <f>961000000+309000000</f>
        <v>1270000000</v>
      </c>
      <c r="L194" s="2620"/>
      <c r="M194" s="596"/>
      <c r="N194" s="2620">
        <f>'يادداشت 1-13وجوهدريافتي ازخزانه'!Q74-'يادداشت 1-13وجوهدريافتي ازخزانه'!M74</f>
        <v>0</v>
      </c>
      <c r="O194" s="2620">
        <f>'يادداشت 1-13وجوهدريافتي ازخزانه'!V74</f>
        <v>0</v>
      </c>
      <c r="P194" s="2635"/>
      <c r="Q194" s="598"/>
      <c r="R194" s="2686"/>
      <c r="S194" s="2686"/>
      <c r="T194" s="257"/>
      <c r="U194" s="257"/>
      <c r="V194" s="2620">
        <f>-'حفظ قدرت خرید'!L25</f>
        <v>3144000000</v>
      </c>
      <c r="W194" s="2620">
        <f>-'ياد 15  سايرهزينه '!P19</f>
        <v>0</v>
      </c>
      <c r="X194" s="276"/>
      <c r="Y194" s="2620" t="e">
        <f>#N/A</f>
        <v>#N/A</v>
      </c>
      <c r="Z194" s="276" t="e">
        <f>#N/A</f>
        <v>#N/A</v>
      </c>
      <c r="AA194" s="276"/>
      <c r="AB194" s="2620">
        <f t="shared" si="24"/>
        <v>137955341272</v>
      </c>
    </row>
    <row r="195" spans="2:40" s="2616" customFormat="1" ht="28.15" customHeight="1" x14ac:dyDescent="0.2">
      <c r="B195" s="4125"/>
      <c r="C195" s="1691" t="s">
        <v>540</v>
      </c>
      <c r="D195" s="2618" t="s">
        <v>541</v>
      </c>
      <c r="E195" s="2623">
        <f>649223298486-E545</f>
        <v>609223298486</v>
      </c>
      <c r="F195" s="266">
        <v>0</v>
      </c>
      <c r="G195" s="277">
        <v>12485000000</v>
      </c>
      <c r="H195" s="277"/>
      <c r="I195" s="275">
        <f t="shared" si="25"/>
        <v>609223298486</v>
      </c>
      <c r="J195" s="2697"/>
      <c r="K195" s="2613">
        <v>7435000000</v>
      </c>
      <c r="L195" s="2620"/>
      <c r="M195" s="596"/>
      <c r="N195" s="2620">
        <f>'يادداشت 1-13وجوهدريافتي ازخزانه'!Q22-'يادداشت 1-13وجوهدريافتي ازخزانه'!M22</f>
        <v>13149000000</v>
      </c>
      <c r="O195" s="2620"/>
      <c r="P195" s="2620"/>
      <c r="Q195" s="2671"/>
      <c r="R195" s="2686"/>
      <c r="S195" s="2686"/>
      <c r="T195" s="257">
        <f>-'حفظ قدرت خرید'!P27-'حفظ قدرت خرید'!V27</f>
        <v>-3453000000</v>
      </c>
      <c r="U195" s="2613">
        <f>-'حفظ قدرت خرید'!V27</f>
        <v>1851000000</v>
      </c>
      <c r="V195" s="2620">
        <f>-'حفظ قدرت خرید'!L27</f>
        <v>6211000000</v>
      </c>
      <c r="W195" s="2620">
        <f>-'ياد 15  سايرهزينه '!P20</f>
        <v>0</v>
      </c>
      <c r="X195" s="276"/>
      <c r="Y195" s="2620" t="e">
        <f>#N/A</f>
        <v>#N/A</v>
      </c>
      <c r="Z195" s="276" t="e">
        <f>#N/A</f>
        <v>#N/A</v>
      </c>
      <c r="AA195" s="276"/>
      <c r="AB195" s="2620">
        <f t="shared" si="24"/>
        <v>626981298486</v>
      </c>
    </row>
    <row r="196" spans="2:40" s="2616" customFormat="1" ht="28.15" customHeight="1" x14ac:dyDescent="0.2">
      <c r="B196" s="4125"/>
      <c r="C196" s="2622" t="s">
        <v>542</v>
      </c>
      <c r="D196" s="2618" t="s">
        <v>335</v>
      </c>
      <c r="E196" s="2623">
        <v>225019019329</v>
      </c>
      <c r="F196" s="266">
        <v>2800000000</v>
      </c>
      <c r="G196" s="277">
        <v>13900000000</v>
      </c>
      <c r="H196" s="277"/>
      <c r="I196" s="275">
        <f t="shared" si="25"/>
        <v>225019019329</v>
      </c>
      <c r="J196" s="549"/>
      <c r="K196" s="257">
        <v>1808000000</v>
      </c>
      <c r="L196" s="2620"/>
      <c r="M196" s="596"/>
      <c r="N196" s="2620"/>
      <c r="O196" s="2620">
        <f>'يادداشت 1-13وجوهدريافتي ازخزانه'!V75</f>
        <v>0</v>
      </c>
      <c r="P196" s="2635"/>
      <c r="Q196" s="598"/>
      <c r="R196" s="2686"/>
      <c r="S196" s="2686"/>
      <c r="T196" s="257"/>
      <c r="U196" s="257"/>
      <c r="V196" s="2620">
        <f>-'حفظ قدرت خرید'!L28</f>
        <v>921000000</v>
      </c>
      <c r="W196" s="2620">
        <f>-'ياد 15  سايرهزينه '!P21</f>
        <v>-211000000</v>
      </c>
      <c r="X196" s="276"/>
      <c r="Y196" s="2620" t="e">
        <f>#N/A</f>
        <v>#N/A</v>
      </c>
      <c r="Z196" s="276" t="e">
        <f>#N/A</f>
        <v>#N/A</v>
      </c>
      <c r="AA196" s="276"/>
      <c r="AB196" s="2620">
        <f t="shared" si="24"/>
        <v>225729019329</v>
      </c>
    </row>
    <row r="197" spans="2:40" s="2616" customFormat="1" ht="28.15" customHeight="1" x14ac:dyDescent="0.2">
      <c r="B197" s="4125"/>
      <c r="C197" s="2622" t="s">
        <v>546</v>
      </c>
      <c r="D197" s="2618" t="s">
        <v>545</v>
      </c>
      <c r="E197" s="2623">
        <v>337880554599</v>
      </c>
      <c r="F197" s="257">
        <v>2000000000</v>
      </c>
      <c r="G197" s="277">
        <v>16312000000</v>
      </c>
      <c r="H197" s="277"/>
      <c r="I197" s="275">
        <f t="shared" si="25"/>
        <v>337880554599</v>
      </c>
      <c r="J197" s="549"/>
      <c r="K197" s="257">
        <f>2073000000+2576000000</f>
        <v>4649000000</v>
      </c>
      <c r="L197" s="2620"/>
      <c r="M197" s="596"/>
      <c r="N197" s="2620">
        <f>'يادداشت 1-13وجوهدريافتي ازخزانه'!Q76-'يادداشت 1-13وجوهدريافتي ازخزانه'!M76</f>
        <v>0</v>
      </c>
      <c r="O197" s="2620">
        <f>'يادداشت 1-13وجوهدريافتي ازخزانه'!V76</f>
        <v>0</v>
      </c>
      <c r="P197" s="2635"/>
      <c r="Q197" s="598"/>
      <c r="R197" s="2686"/>
      <c r="S197" s="2686"/>
      <c r="T197" s="257"/>
      <c r="U197" s="257"/>
      <c r="V197" s="2620">
        <f>-'حفظ قدرت خرید'!L26</f>
        <v>4979000000</v>
      </c>
      <c r="W197" s="2620">
        <f>-'ياد 15  سايرهزينه '!P22</f>
        <v>-153000000</v>
      </c>
      <c r="X197" s="276"/>
      <c r="Y197" s="2620" t="e">
        <f>#N/A</f>
        <v>#N/A</v>
      </c>
      <c r="Z197" s="276" t="e">
        <f>#N/A</f>
        <v>#N/A</v>
      </c>
      <c r="AA197" s="276"/>
      <c r="AB197" s="2620">
        <f t="shared" si="24"/>
        <v>342706554599</v>
      </c>
    </row>
    <row r="198" spans="2:40" s="2616" customFormat="1" ht="28.15" customHeight="1" x14ac:dyDescent="0.2">
      <c r="B198" s="4125"/>
      <c r="C198" s="1691" t="s">
        <v>554</v>
      </c>
      <c r="D198" s="2633" t="s">
        <v>553</v>
      </c>
      <c r="E198" s="2623">
        <v>2000000000</v>
      </c>
      <c r="F198" s="257">
        <v>0</v>
      </c>
      <c r="G198" s="277">
        <v>2000000000</v>
      </c>
      <c r="H198" s="277"/>
      <c r="I198" s="275">
        <f t="shared" si="25"/>
        <v>2000000000</v>
      </c>
      <c r="J198" s="549"/>
      <c r="K198" s="257"/>
      <c r="L198" s="2620"/>
      <c r="M198" s="596"/>
      <c r="N198" s="2620"/>
      <c r="O198" s="2620"/>
      <c r="P198" s="2635"/>
      <c r="Q198" s="2671"/>
      <c r="R198" s="2686"/>
      <c r="S198" s="2686"/>
      <c r="T198" s="257"/>
      <c r="U198" s="257"/>
      <c r="V198" s="2620"/>
      <c r="W198" s="2620"/>
      <c r="X198" s="276"/>
      <c r="Y198" s="2620" t="e">
        <f>#N/A</f>
        <v>#N/A</v>
      </c>
      <c r="Z198" s="276" t="e">
        <f>#N/A</f>
        <v>#N/A</v>
      </c>
      <c r="AA198" s="276"/>
      <c r="AB198" s="2620">
        <f t="shared" si="24"/>
        <v>2000000000</v>
      </c>
    </row>
    <row r="199" spans="2:40" ht="28.15" customHeight="1" x14ac:dyDescent="0.2">
      <c r="B199" s="4125"/>
      <c r="C199" s="2622" t="s">
        <v>555</v>
      </c>
      <c r="D199" s="2618" t="s">
        <v>545</v>
      </c>
      <c r="E199" s="2623">
        <v>355000000000</v>
      </c>
      <c r="F199" s="257">
        <v>0</v>
      </c>
      <c r="G199" s="277">
        <v>155000000000</v>
      </c>
      <c r="H199" s="277"/>
      <c r="I199" s="275">
        <f t="shared" si="25"/>
        <v>355000000000</v>
      </c>
      <c r="J199" s="278"/>
      <c r="K199" s="277"/>
      <c r="L199" s="2698"/>
      <c r="M199" s="597"/>
      <c r="N199" s="2620"/>
      <c r="O199" s="2620">
        <f>'يادداشت 1-13وجوهدريافتي ازخزانه'!AB88</f>
        <v>0</v>
      </c>
      <c r="P199" s="2635"/>
      <c r="Q199" s="2634"/>
      <c r="R199" s="2620"/>
      <c r="S199" s="2663"/>
      <c r="T199" s="257"/>
      <c r="U199" s="277"/>
      <c r="V199" s="2620"/>
      <c r="W199" s="2620"/>
      <c r="X199" s="276"/>
      <c r="Y199" s="2620" t="e">
        <f>AB199-Z199</f>
        <v>#REF!</v>
      </c>
      <c r="Z199" s="276" t="e">
        <f>#REF!+#REF!</f>
        <v>#REF!</v>
      </c>
      <c r="AA199" s="276"/>
      <c r="AB199" s="2620">
        <f t="shared" si="24"/>
        <v>355000000000</v>
      </c>
    </row>
    <row r="200" spans="2:40" ht="28.15" customHeight="1" x14ac:dyDescent="0.45">
      <c r="B200" s="4125"/>
      <c r="C200" s="2699" t="s">
        <v>123</v>
      </c>
      <c r="D200" s="2700" t="s">
        <v>124</v>
      </c>
      <c r="E200" s="2623">
        <v>500000000</v>
      </c>
      <c r="F200" s="257">
        <v>0</v>
      </c>
      <c r="G200" s="277">
        <v>500000000</v>
      </c>
      <c r="H200" s="277"/>
      <c r="I200" s="275">
        <f t="shared" si="25"/>
        <v>500000000</v>
      </c>
      <c r="J200" s="278"/>
      <c r="K200" s="277"/>
      <c r="L200" s="2698"/>
      <c r="M200" s="597"/>
      <c r="N200" s="2620"/>
      <c r="O200" s="2620"/>
      <c r="P200" s="2635"/>
      <c r="Q200" s="2634"/>
      <c r="R200" s="2620"/>
      <c r="S200" s="2620"/>
      <c r="T200" s="257"/>
      <c r="U200" s="277"/>
      <c r="V200" s="2620"/>
      <c r="W200" s="2620"/>
      <c r="X200" s="276"/>
      <c r="Y200" s="2620" t="e">
        <f>AB200-Z200</f>
        <v>#REF!</v>
      </c>
      <c r="Z200" s="276" t="e">
        <f>#REF!+#REF!</f>
        <v>#REF!</v>
      </c>
      <c r="AA200" s="276"/>
      <c r="AB200" s="2620">
        <f t="shared" si="24"/>
        <v>500000000</v>
      </c>
    </row>
    <row r="201" spans="2:40" ht="28.15" customHeight="1" x14ac:dyDescent="0.45">
      <c r="B201" s="4125"/>
      <c r="C201" s="2699" t="s">
        <v>126</v>
      </c>
      <c r="D201" s="2700" t="s">
        <v>127</v>
      </c>
      <c r="E201" s="2701">
        <v>55000000000</v>
      </c>
      <c r="F201" s="303">
        <v>0</v>
      </c>
      <c r="G201" s="307">
        <v>50000000000</v>
      </c>
      <c r="H201" s="307"/>
      <c r="I201" s="275">
        <f t="shared" si="25"/>
        <v>55000000000</v>
      </c>
      <c r="J201" s="1657"/>
      <c r="K201" s="307"/>
      <c r="L201" s="2702"/>
      <c r="M201" s="1658"/>
      <c r="N201" s="2692"/>
      <c r="O201" s="2620"/>
      <c r="P201" s="2635"/>
      <c r="Q201" s="2634"/>
      <c r="R201" s="2620"/>
      <c r="S201" s="2620"/>
      <c r="T201" s="257"/>
      <c r="U201" s="277"/>
      <c r="V201" s="2620"/>
      <c r="W201" s="2620"/>
      <c r="X201" s="276"/>
      <c r="Y201" s="2620" t="e">
        <f>AB201-Z201</f>
        <v>#REF!</v>
      </c>
      <c r="Z201" s="276" t="e">
        <f>#REF!+#REF!</f>
        <v>#REF!</v>
      </c>
      <c r="AA201" s="276"/>
      <c r="AB201" s="2620">
        <f t="shared" si="24"/>
        <v>55000000000</v>
      </c>
    </row>
    <row r="202" spans="2:40" ht="28.15" customHeight="1" x14ac:dyDescent="0.2">
      <c r="B202" s="4125"/>
      <c r="C202" s="2703" t="s">
        <v>118</v>
      </c>
      <c r="D202" s="2704" t="s">
        <v>552</v>
      </c>
      <c r="E202" s="2623">
        <v>6500000000</v>
      </c>
      <c r="F202" s="257">
        <v>0</v>
      </c>
      <c r="G202" s="277">
        <v>6500000000</v>
      </c>
      <c r="H202" s="277"/>
      <c r="I202" s="277">
        <f t="shared" si="25"/>
        <v>6500000000</v>
      </c>
      <c r="J202" s="277"/>
      <c r="K202" s="277"/>
      <c r="L202" s="2698"/>
      <c r="M202" s="301"/>
      <c r="N202" s="2620"/>
      <c r="O202" s="2620"/>
      <c r="P202" s="2635"/>
      <c r="Q202" s="2634"/>
      <c r="R202" s="2620"/>
      <c r="S202" s="2620"/>
      <c r="T202" s="257"/>
      <c r="U202" s="277"/>
      <c r="V202" s="2620"/>
      <c r="W202" s="2620"/>
      <c r="X202" s="276"/>
      <c r="Y202" s="2620" t="e">
        <f>AB202-Z202</f>
        <v>#REF!</v>
      </c>
      <c r="Z202" s="276" t="e">
        <f>#REF!+#REF!</f>
        <v>#REF!</v>
      </c>
      <c r="AA202" s="276"/>
      <c r="AB202" s="2620">
        <f t="shared" si="24"/>
        <v>6500000000</v>
      </c>
    </row>
    <row r="203" spans="2:40" ht="28.15" customHeight="1" x14ac:dyDescent="0.2">
      <c r="B203" s="4125"/>
      <c r="C203" s="2632" t="s">
        <v>609</v>
      </c>
      <c r="D203" s="2633" t="s">
        <v>607</v>
      </c>
      <c r="E203" s="2623">
        <v>2209902502276</v>
      </c>
      <c r="F203" s="257"/>
      <c r="G203" s="277"/>
      <c r="H203" s="277"/>
      <c r="I203" s="277">
        <f t="shared" si="25"/>
        <v>2209902502276</v>
      </c>
      <c r="J203" s="277"/>
      <c r="K203" s="277">
        <v>95374000000</v>
      </c>
      <c r="L203" s="2620"/>
      <c r="M203" s="276"/>
      <c r="N203" s="2620">
        <f>'يادداشت 1-13وجوهدريافتي ازخزانه'!Q23-'يادداشت 1-13وجوهدريافتي ازخزانه'!M23</f>
        <v>4441000000</v>
      </c>
      <c r="O203" s="2620"/>
      <c r="P203" s="2635"/>
      <c r="Q203" s="2693"/>
      <c r="R203" s="2692"/>
      <c r="S203" s="2692"/>
      <c r="T203" s="257">
        <f>-'حفظ قدرت خرید'!P53-'حفظ قدرت خرید'!V53</f>
        <v>-1231000000</v>
      </c>
      <c r="U203" s="277">
        <f>-'حفظ قدرت خرید'!V53</f>
        <v>559000000</v>
      </c>
      <c r="V203" s="2620">
        <f>-'حفظ قدرت خرید'!L53</f>
        <v>63509000000</v>
      </c>
      <c r="W203" s="2620">
        <f>-'ياد 15  سايرهزينه '!P24</f>
        <v>-9263000000</v>
      </c>
      <c r="X203" s="276"/>
      <c r="Y203" s="2620"/>
      <c r="Z203" s="276"/>
      <c r="AA203" s="276"/>
      <c r="AB203" s="2620">
        <f t="shared" si="24"/>
        <v>2267917502276</v>
      </c>
    </row>
    <row r="204" spans="2:40" ht="32.450000000000003" customHeight="1" x14ac:dyDescent="0.2">
      <c r="B204" s="4125"/>
      <c r="C204" s="4112" t="s">
        <v>94</v>
      </c>
      <c r="D204" s="4112"/>
      <c r="E204" s="2691">
        <f>SUM(E189:E203)</f>
        <v>41969775881412</v>
      </c>
      <c r="F204" s="2691">
        <f t="shared" ref="F204:AB204" si="27">SUM(F189:F203)</f>
        <v>137242313107</v>
      </c>
      <c r="G204" s="2691">
        <f t="shared" si="27"/>
        <v>10000256000000</v>
      </c>
      <c r="H204" s="2691">
        <f t="shared" si="27"/>
        <v>0</v>
      </c>
      <c r="I204" s="2691">
        <f t="shared" si="27"/>
        <v>41969775881412</v>
      </c>
      <c r="J204" s="2691">
        <f t="shared" si="27"/>
        <v>271500000000</v>
      </c>
      <c r="K204" s="2691">
        <f t="shared" si="27"/>
        <v>343095000000</v>
      </c>
      <c r="L204" s="2691">
        <f t="shared" si="27"/>
        <v>0</v>
      </c>
      <c r="M204" s="2691">
        <f t="shared" si="27"/>
        <v>0</v>
      </c>
      <c r="N204" s="2691">
        <f t="shared" si="27"/>
        <v>1571280000000</v>
      </c>
      <c r="O204" s="2691">
        <f t="shared" si="27"/>
        <v>9801019000000</v>
      </c>
      <c r="P204" s="2691">
        <f t="shared" si="27"/>
        <v>-1582060020</v>
      </c>
      <c r="Q204" s="2691">
        <f t="shared" si="27"/>
        <v>0</v>
      </c>
      <c r="R204" s="2691">
        <f t="shared" si="27"/>
        <v>0</v>
      </c>
      <c r="S204" s="2691">
        <f t="shared" si="27"/>
        <v>0</v>
      </c>
      <c r="T204" s="2691">
        <f t="shared" si="27"/>
        <v>-344205000000</v>
      </c>
      <c r="U204" s="2691">
        <f t="shared" si="27"/>
        <v>202877000000</v>
      </c>
      <c r="V204" s="2691">
        <f t="shared" si="27"/>
        <v>665109980000</v>
      </c>
      <c r="W204" s="2691">
        <f t="shared" si="27"/>
        <v>-181742000000</v>
      </c>
      <c r="X204" s="2691">
        <f t="shared" si="27"/>
        <v>0</v>
      </c>
      <c r="Y204" s="2691" t="e">
        <f t="shared" si="27"/>
        <v>#N/A</v>
      </c>
      <c r="Z204" s="2691" t="e">
        <f t="shared" si="27"/>
        <v>#N/A</v>
      </c>
      <c r="AA204" s="2691">
        <f t="shared" si="27"/>
        <v>0</v>
      </c>
      <c r="AB204" s="2691">
        <f t="shared" si="27"/>
        <v>53682532801392</v>
      </c>
      <c r="AC204" s="2667"/>
      <c r="AD204" s="2603">
        <f>I204+W204+V204+U204+T204+P204+O204+N204</f>
        <v>53682532801392</v>
      </c>
    </row>
    <row r="205" spans="2:40" ht="32.450000000000003" customHeight="1" x14ac:dyDescent="0.2">
      <c r="B205" s="2653"/>
      <c r="C205" s="2616"/>
      <c r="D205" s="2616"/>
      <c r="E205" s="2654"/>
      <c r="F205" s="2654"/>
      <c r="G205" s="2654"/>
      <c r="H205" s="2654"/>
      <c r="I205" s="2654"/>
      <c r="J205" s="2654"/>
      <c r="K205" s="2654"/>
      <c r="L205" s="2654"/>
      <c r="M205" s="2654"/>
      <c r="N205" s="2654"/>
      <c r="O205" s="2654"/>
      <c r="P205" s="2654"/>
      <c r="Q205" s="2654"/>
      <c r="R205" s="2654"/>
      <c r="S205" s="2654"/>
      <c r="T205" s="2654"/>
      <c r="U205" s="2654"/>
      <c r="V205" s="2654"/>
      <c r="W205" s="2654"/>
      <c r="X205" s="2654"/>
      <c r="Y205" s="2654"/>
      <c r="Z205" s="2654"/>
      <c r="AA205" s="2654"/>
      <c r="AB205" s="2654"/>
      <c r="AC205" s="2667"/>
    </row>
    <row r="206" spans="2:40" ht="32.450000000000003" customHeight="1" x14ac:dyDescent="0.2">
      <c r="B206" s="2653"/>
      <c r="C206" s="2616"/>
      <c r="D206" s="2616"/>
      <c r="E206" s="2654"/>
      <c r="F206" s="2654"/>
      <c r="G206" s="2654"/>
      <c r="H206" s="2654"/>
      <c r="I206" s="2654"/>
      <c r="J206" s="2654"/>
      <c r="K206" s="2654"/>
      <c r="L206" s="2654"/>
      <c r="M206" s="2654"/>
      <c r="N206" s="2654"/>
      <c r="O206" s="2654"/>
      <c r="P206" s="2654"/>
      <c r="Q206" s="2654"/>
      <c r="R206" s="2654"/>
      <c r="S206" s="2654"/>
      <c r="T206" s="2654"/>
      <c r="U206" s="2654"/>
      <c r="V206" s="2654"/>
      <c r="W206" s="2654"/>
      <c r="X206" s="2654"/>
      <c r="Y206" s="2654"/>
      <c r="Z206" s="2654"/>
      <c r="AA206" s="2654"/>
      <c r="AB206" s="2654"/>
      <c r="AC206" s="2667"/>
    </row>
    <row r="207" spans="2:40" ht="22.15" customHeight="1" x14ac:dyDescent="0.2">
      <c r="B207" s="2655"/>
      <c r="C207" s="4141">
        <v>97</v>
      </c>
      <c r="D207" s="4141"/>
      <c r="E207" s="4141"/>
      <c r="F207" s="4141"/>
      <c r="G207" s="4141"/>
      <c r="H207" s="4141"/>
      <c r="I207" s="4141"/>
      <c r="J207" s="4141"/>
      <c r="K207" s="4141"/>
      <c r="L207" s="4141"/>
      <c r="M207" s="4141"/>
      <c r="N207" s="4141"/>
      <c r="O207" s="4141"/>
      <c r="P207" s="4141"/>
      <c r="Q207" s="4141"/>
      <c r="R207" s="4141"/>
      <c r="S207" s="4141"/>
      <c r="T207" s="4141"/>
      <c r="U207" s="4141"/>
      <c r="V207" s="4141"/>
      <c r="W207" s="4141"/>
      <c r="X207" s="4141"/>
      <c r="Y207" s="4141"/>
      <c r="Z207" s="4141"/>
      <c r="AA207" s="4141"/>
      <c r="AB207" s="4141"/>
      <c r="AC207" s="4141"/>
    </row>
    <row r="208" spans="2:40" ht="26.45" customHeight="1" x14ac:dyDescent="0.2">
      <c r="B208" s="4108" t="s">
        <v>295</v>
      </c>
      <c r="C208" s="4108"/>
      <c r="D208" s="4108"/>
      <c r="E208" s="4108"/>
      <c r="F208" s="4108"/>
      <c r="G208" s="4108"/>
      <c r="H208" s="4108"/>
      <c r="I208" s="4108"/>
      <c r="J208" s="4108"/>
      <c r="K208" s="4108"/>
      <c r="L208" s="4108"/>
      <c r="M208" s="4108"/>
      <c r="N208" s="4108"/>
      <c r="O208" s="4108"/>
      <c r="P208" s="4108"/>
      <c r="Q208" s="4108"/>
      <c r="R208" s="4108"/>
      <c r="S208" s="4108"/>
      <c r="T208" s="4108"/>
      <c r="U208" s="4108"/>
      <c r="V208" s="4108"/>
      <c r="W208" s="4108"/>
      <c r="X208" s="4108"/>
      <c r="Y208" s="4108"/>
      <c r="Z208" s="4108"/>
      <c r="AA208" s="4108"/>
      <c r="AB208" s="4108"/>
      <c r="AC208" s="1894"/>
    </row>
    <row r="209" spans="2:30" ht="26.45" customHeight="1" x14ac:dyDescent="0.2">
      <c r="B209" s="4108" t="s">
        <v>45</v>
      </c>
      <c r="C209" s="4108"/>
      <c r="D209" s="4108"/>
      <c r="E209" s="4108"/>
      <c r="F209" s="4108"/>
      <c r="G209" s="4108"/>
      <c r="H209" s="4108"/>
      <c r="I209" s="4108"/>
      <c r="J209" s="4108"/>
      <c r="K209" s="4108"/>
      <c r="L209" s="4108"/>
      <c r="M209" s="4108"/>
      <c r="N209" s="4108"/>
      <c r="O209" s="4108"/>
      <c r="P209" s="4108"/>
      <c r="Q209" s="4108"/>
      <c r="R209" s="4108"/>
      <c r="S209" s="4108"/>
      <c r="T209" s="4108"/>
      <c r="U209" s="4108"/>
      <c r="V209" s="4108"/>
      <c r="W209" s="4108"/>
      <c r="X209" s="4108"/>
      <c r="Y209" s="4108"/>
      <c r="Z209" s="4108"/>
      <c r="AA209" s="4108"/>
      <c r="AB209" s="4108"/>
      <c r="AC209" s="1894"/>
    </row>
    <row r="210" spans="2:30" ht="26.45" customHeight="1" x14ac:dyDescent="0.2">
      <c r="B210" s="4108" t="s">
        <v>46</v>
      </c>
      <c r="C210" s="4108"/>
      <c r="D210" s="4108"/>
      <c r="E210" s="4108"/>
      <c r="F210" s="4108"/>
      <c r="G210" s="4108"/>
      <c r="H210" s="4108"/>
      <c r="I210" s="4108"/>
      <c r="J210" s="4108"/>
      <c r="K210" s="4108"/>
      <c r="L210" s="4108"/>
      <c r="M210" s="4108"/>
      <c r="N210" s="4108"/>
      <c r="O210" s="4108"/>
      <c r="P210" s="4108"/>
      <c r="Q210" s="4108"/>
      <c r="R210" s="4108"/>
      <c r="S210" s="4108"/>
      <c r="T210" s="4108"/>
      <c r="U210" s="4108"/>
      <c r="V210" s="4108"/>
      <c r="W210" s="4108"/>
      <c r="X210" s="4108"/>
      <c r="Y210" s="4108"/>
      <c r="Z210" s="4108"/>
      <c r="AA210" s="4108"/>
      <c r="AB210" s="4108"/>
      <c r="AC210" s="1894"/>
    </row>
    <row r="211" spans="2:30" ht="26.45" customHeight="1" x14ac:dyDescent="0.2">
      <c r="B211" s="3294" t="s">
        <v>1981</v>
      </c>
      <c r="C211" s="3294"/>
      <c r="D211" s="3294"/>
      <c r="E211" s="3294"/>
      <c r="F211" s="3294"/>
      <c r="G211" s="3294"/>
      <c r="H211" s="3294"/>
      <c r="I211" s="3294"/>
      <c r="J211" s="3294"/>
      <c r="K211" s="3294"/>
      <c r="L211" s="3294"/>
      <c r="M211" s="3294"/>
      <c r="N211" s="3294"/>
      <c r="O211" s="3294"/>
      <c r="P211" s="3294"/>
      <c r="Q211" s="3294"/>
      <c r="R211" s="3294"/>
      <c r="S211" s="3294"/>
      <c r="T211" s="3294"/>
      <c r="U211" s="3294"/>
      <c r="V211" s="3294"/>
      <c r="W211" s="3294"/>
      <c r="X211" s="3294"/>
      <c r="Y211" s="3294"/>
      <c r="Z211" s="3294"/>
      <c r="AA211" s="3294"/>
      <c r="AB211" s="3294"/>
      <c r="AC211" s="1853"/>
    </row>
    <row r="212" spans="2:30" ht="26.45" customHeight="1" x14ac:dyDescent="0.2">
      <c r="B212" s="1722"/>
      <c r="C212" s="1722"/>
      <c r="D212" s="1722"/>
      <c r="E212" s="1722"/>
      <c r="F212" s="1722"/>
      <c r="G212" s="1722"/>
      <c r="H212" s="1722"/>
      <c r="I212" s="1722"/>
      <c r="J212" s="1722"/>
      <c r="K212" s="1722"/>
      <c r="L212" s="1722"/>
      <c r="M212" s="1722"/>
      <c r="N212" s="1722"/>
      <c r="O212" s="1722"/>
      <c r="P212" s="1722"/>
      <c r="Q212" s="1722"/>
      <c r="R212" s="1722"/>
      <c r="S212" s="1722"/>
      <c r="T212" s="1722"/>
      <c r="U212" s="1722"/>
      <c r="V212" s="1722"/>
      <c r="W212" s="1722"/>
      <c r="X212" s="1722"/>
      <c r="Y212" s="1722"/>
      <c r="Z212" s="1722"/>
      <c r="AA212" s="1722"/>
      <c r="AB212" s="1722"/>
      <c r="AC212" s="1853"/>
    </row>
    <row r="213" spans="2:30" ht="26.45" customHeight="1" x14ac:dyDescent="0.2">
      <c r="B213" s="1722"/>
      <c r="C213" s="1722"/>
      <c r="D213" s="1722"/>
      <c r="E213" s="1722"/>
      <c r="F213" s="1722"/>
      <c r="G213" s="1722"/>
      <c r="H213" s="1722"/>
      <c r="I213" s="1722"/>
      <c r="J213" s="1722"/>
      <c r="K213" s="1722"/>
      <c r="L213" s="1722"/>
      <c r="M213" s="1722"/>
      <c r="N213" s="1722"/>
      <c r="O213" s="1722"/>
      <c r="P213" s="1722"/>
      <c r="Q213" s="1722"/>
      <c r="R213" s="1722"/>
      <c r="S213" s="1722"/>
      <c r="T213" s="1722"/>
      <c r="U213" s="1722"/>
      <c r="V213" s="1722"/>
      <c r="W213" s="1722"/>
      <c r="X213" s="1722"/>
      <c r="Y213" s="1722"/>
      <c r="Z213" s="1722"/>
      <c r="AA213" s="1722"/>
      <c r="AB213" s="1722"/>
      <c r="AC213" s="1853"/>
    </row>
    <row r="214" spans="2:30" ht="26.45" customHeight="1" x14ac:dyDescent="0.2">
      <c r="B214" s="1722"/>
      <c r="C214" s="1722"/>
      <c r="D214" s="1722"/>
      <c r="E214" s="1722"/>
      <c r="F214" s="1722"/>
      <c r="G214" s="1722"/>
      <c r="H214" s="1722"/>
      <c r="I214" s="1722"/>
      <c r="J214" s="1722"/>
      <c r="K214" s="1722"/>
      <c r="L214" s="1722"/>
      <c r="M214" s="1722"/>
      <c r="N214" s="1722"/>
      <c r="O214" s="1722"/>
      <c r="P214" s="1722"/>
      <c r="Q214" s="1722"/>
      <c r="R214" s="1722"/>
      <c r="S214" s="1722"/>
      <c r="T214" s="1722"/>
      <c r="U214" s="1722"/>
      <c r="V214" s="1722"/>
      <c r="W214" s="1722"/>
      <c r="X214" s="1722"/>
      <c r="Y214" s="1722"/>
      <c r="Z214" s="1722"/>
      <c r="AA214" s="1722"/>
      <c r="AB214" s="1722"/>
      <c r="AC214" s="1853"/>
    </row>
    <row r="215" spans="2:30" ht="32.450000000000003" customHeight="1" x14ac:dyDescent="0.2">
      <c r="B215" s="4110" t="s">
        <v>1848</v>
      </c>
      <c r="C215" s="4110"/>
      <c r="D215" s="4110"/>
      <c r="E215" s="2656"/>
      <c r="F215" s="2657"/>
      <c r="G215" s="2658"/>
      <c r="H215" s="2658"/>
      <c r="I215" s="2658"/>
      <c r="J215" s="2658"/>
      <c r="K215" s="2658"/>
      <c r="L215" s="2658"/>
      <c r="M215" s="2658"/>
      <c r="N215" s="2658"/>
      <c r="O215" s="2658"/>
      <c r="P215" s="2658"/>
      <c r="Q215" s="2658"/>
      <c r="R215" s="2658"/>
      <c r="S215" s="2658"/>
      <c r="T215" s="2658"/>
      <c r="U215" s="2658"/>
      <c r="V215" s="2658"/>
      <c r="W215" s="2658"/>
      <c r="X215" s="104"/>
      <c r="Y215" s="104"/>
      <c r="Z215" s="104"/>
      <c r="AA215" s="104"/>
      <c r="AB215" s="2608" t="s">
        <v>194</v>
      </c>
    </row>
    <row r="216" spans="2:30" ht="33" customHeight="1" x14ac:dyDescent="0.2">
      <c r="B216" s="4112" t="s">
        <v>419</v>
      </c>
      <c r="C216" s="4117" t="s">
        <v>196</v>
      </c>
      <c r="D216" s="4124" t="s">
        <v>197</v>
      </c>
      <c r="E216" s="4111" t="s">
        <v>1400</v>
      </c>
      <c r="F216" s="2609"/>
      <c r="G216" s="4111" t="s">
        <v>921</v>
      </c>
      <c r="H216" s="4118" t="s">
        <v>1116</v>
      </c>
      <c r="I216" s="4118" t="s">
        <v>1271</v>
      </c>
      <c r="J216" s="4135" t="s">
        <v>1272</v>
      </c>
      <c r="K216" s="4136"/>
      <c r="L216" s="4136"/>
      <c r="M216" s="4136"/>
      <c r="N216" s="4136"/>
      <c r="O216" s="4137"/>
      <c r="P216" s="4113" t="s">
        <v>423</v>
      </c>
      <c r="Q216" s="4115" t="s">
        <v>827</v>
      </c>
      <c r="R216" s="4115" t="s">
        <v>888</v>
      </c>
      <c r="S216" s="4115"/>
      <c r="T216" s="4114" t="s">
        <v>2015</v>
      </c>
      <c r="U216" s="4121" t="s">
        <v>1274</v>
      </c>
      <c r="V216" s="4121" t="s">
        <v>2016</v>
      </c>
      <c r="W216" s="4116" t="s">
        <v>1033</v>
      </c>
      <c r="X216" s="2610"/>
      <c r="Y216" s="4127" t="s">
        <v>296</v>
      </c>
      <c r="Z216" s="4127" t="s">
        <v>190</v>
      </c>
      <c r="AA216" s="4129" t="s">
        <v>313</v>
      </c>
      <c r="AB216" s="4111" t="s">
        <v>2013</v>
      </c>
      <c r="AC216" s="2689"/>
    </row>
    <row r="217" spans="2:30" ht="40.15" customHeight="1" x14ac:dyDescent="0.2">
      <c r="B217" s="4112"/>
      <c r="C217" s="4117"/>
      <c r="D217" s="4124"/>
      <c r="E217" s="4111"/>
      <c r="F217" s="2609"/>
      <c r="G217" s="4111"/>
      <c r="H217" s="4119"/>
      <c r="I217" s="4119"/>
      <c r="J217" s="4138"/>
      <c r="K217" s="4139"/>
      <c r="L217" s="4139"/>
      <c r="M217" s="4139"/>
      <c r="N217" s="4139"/>
      <c r="O217" s="4140"/>
      <c r="P217" s="4113"/>
      <c r="Q217" s="4115"/>
      <c r="R217" s="4109" t="s">
        <v>889</v>
      </c>
      <c r="S217" s="4109" t="s">
        <v>890</v>
      </c>
      <c r="T217" s="4114"/>
      <c r="U217" s="4122"/>
      <c r="V217" s="4122"/>
      <c r="W217" s="4116"/>
      <c r="X217" s="2611"/>
      <c r="Y217" s="4127"/>
      <c r="Z217" s="4127"/>
      <c r="AA217" s="4130"/>
      <c r="AB217" s="4111"/>
      <c r="AC217" s="2689"/>
    </row>
    <row r="218" spans="2:30" ht="56.45" customHeight="1" x14ac:dyDescent="0.2">
      <c r="B218" s="4112"/>
      <c r="C218" s="4117"/>
      <c r="D218" s="4124"/>
      <c r="E218" s="4111"/>
      <c r="F218" s="2612" t="s">
        <v>421</v>
      </c>
      <c r="G218" s="2613" t="s">
        <v>27</v>
      </c>
      <c r="H218" s="4120"/>
      <c r="I218" s="4120"/>
      <c r="J218" s="2614" t="s">
        <v>1273</v>
      </c>
      <c r="K218" s="2614" t="s">
        <v>1292</v>
      </c>
      <c r="L218" s="2612" t="s">
        <v>999</v>
      </c>
      <c r="M218" s="2612" t="s">
        <v>422</v>
      </c>
      <c r="N218" s="2612" t="s">
        <v>2014</v>
      </c>
      <c r="O218" s="2615" t="s">
        <v>1794</v>
      </c>
      <c r="P218" s="4113"/>
      <c r="Q218" s="4115"/>
      <c r="R218" s="4109"/>
      <c r="S218" s="4109"/>
      <c r="T218" s="4114"/>
      <c r="U218" s="4123"/>
      <c r="V218" s="4123"/>
      <c r="W218" s="4116"/>
      <c r="X218" s="373" t="s">
        <v>62</v>
      </c>
      <c r="Y218" s="4127"/>
      <c r="Z218" s="4127"/>
      <c r="AA218" s="4131"/>
      <c r="AB218" s="4111"/>
      <c r="AC218" s="2689"/>
    </row>
    <row r="219" spans="2:30" ht="32.450000000000003" customHeight="1" x14ac:dyDescent="0.2">
      <c r="B219" s="4125" t="s">
        <v>180</v>
      </c>
      <c r="C219" s="4126" t="s">
        <v>181</v>
      </c>
      <c r="D219" s="4126"/>
      <c r="E219" s="2691">
        <f>E204</f>
        <v>41969775881412</v>
      </c>
      <c r="F219" s="2691">
        <f t="shared" ref="F219:AA219" si="28">F204</f>
        <v>137242313107</v>
      </c>
      <c r="G219" s="2691">
        <f t="shared" si="28"/>
        <v>10000256000000</v>
      </c>
      <c r="H219" s="2691">
        <f t="shared" si="28"/>
        <v>0</v>
      </c>
      <c r="I219" s="2691">
        <f t="shared" si="28"/>
        <v>41969775881412</v>
      </c>
      <c r="J219" s="2691">
        <f t="shared" si="28"/>
        <v>271500000000</v>
      </c>
      <c r="K219" s="2691">
        <f t="shared" si="28"/>
        <v>343095000000</v>
      </c>
      <c r="L219" s="2691">
        <f t="shared" si="28"/>
        <v>0</v>
      </c>
      <c r="M219" s="2691">
        <f t="shared" si="28"/>
        <v>0</v>
      </c>
      <c r="N219" s="2691">
        <f t="shared" si="28"/>
        <v>1571280000000</v>
      </c>
      <c r="O219" s="2691">
        <f t="shared" si="28"/>
        <v>9801019000000</v>
      </c>
      <c r="P219" s="2691">
        <f t="shared" si="28"/>
        <v>-1582060020</v>
      </c>
      <c r="Q219" s="2691">
        <f t="shared" si="28"/>
        <v>0</v>
      </c>
      <c r="R219" s="2691">
        <f t="shared" si="28"/>
        <v>0</v>
      </c>
      <c r="S219" s="2691">
        <f t="shared" si="28"/>
        <v>0</v>
      </c>
      <c r="T219" s="2691">
        <f t="shared" si="28"/>
        <v>-344205000000</v>
      </c>
      <c r="U219" s="2691">
        <f t="shared" si="28"/>
        <v>202877000000</v>
      </c>
      <c r="V219" s="2691">
        <f t="shared" si="28"/>
        <v>665109980000</v>
      </c>
      <c r="W219" s="2691">
        <f t="shared" si="28"/>
        <v>-181742000000</v>
      </c>
      <c r="X219" s="2691">
        <f t="shared" si="28"/>
        <v>0</v>
      </c>
      <c r="Y219" s="2691" t="e">
        <f t="shared" si="28"/>
        <v>#N/A</v>
      </c>
      <c r="Z219" s="2691" t="e">
        <f t="shared" si="28"/>
        <v>#N/A</v>
      </c>
      <c r="AA219" s="2691">
        <f t="shared" si="28"/>
        <v>0</v>
      </c>
      <c r="AB219" s="2691">
        <f>AB204</f>
        <v>53682532801392</v>
      </c>
      <c r="AC219" s="2654"/>
      <c r="AD219" s="2603">
        <f>W219+V219+T219+U219+P219+O219+N219+I219</f>
        <v>53682532801392</v>
      </c>
    </row>
    <row r="220" spans="2:30" ht="32.450000000000003" customHeight="1" x14ac:dyDescent="0.2">
      <c r="B220" s="4125"/>
      <c r="C220" s="2632" t="s">
        <v>634</v>
      </c>
      <c r="D220" s="2633" t="s">
        <v>598</v>
      </c>
      <c r="E220" s="2691">
        <f>335228019467-E549</f>
        <v>334836019467</v>
      </c>
      <c r="F220" s="257"/>
      <c r="G220" s="374"/>
      <c r="H220" s="374"/>
      <c r="I220" s="374">
        <f>E220+H220</f>
        <v>334836019467</v>
      </c>
      <c r="J220" s="277"/>
      <c r="K220" s="277">
        <v>7378000000</v>
      </c>
      <c r="L220" s="2705"/>
      <c r="M220" s="276"/>
      <c r="N220" s="2706">
        <f>'يادداشت 1-13وجوهدريافتي ازخزانه'!Q24-'يادداشت 1-13وجوهدريافتي ازخزانه'!M24</f>
        <v>6877000000</v>
      </c>
      <c r="O220" s="2707"/>
      <c r="P220" s="2708"/>
      <c r="Q220" s="2620"/>
      <c r="R220" s="2620"/>
      <c r="S220" s="2620"/>
      <c r="T220" s="277">
        <f>-'حفظ قدرت خرید'!P31-'حفظ قدرت خرید'!V31</f>
        <v>-1806000000</v>
      </c>
      <c r="U220" s="277">
        <f>-'حفظ قدرت خرید'!V31</f>
        <v>623000000</v>
      </c>
      <c r="V220" s="2620">
        <f>-'حفظ قدرت خرید'!L31</f>
        <v>4525000000</v>
      </c>
      <c r="W220" s="2620">
        <f>-'ياد 15  سايرهزينه '!P26</f>
        <v>-871000000</v>
      </c>
      <c r="X220" s="276"/>
      <c r="Y220" s="2620"/>
      <c r="Z220" s="276"/>
      <c r="AA220" s="276"/>
      <c r="AB220" s="2620">
        <f>P220+W220+S220+R220+Q220+N220+T220+E220+V220+U220+O220+H220+M220</f>
        <v>344184019467</v>
      </c>
    </row>
    <row r="221" spans="2:30" ht="32.450000000000003" customHeight="1" x14ac:dyDescent="0.2">
      <c r="B221" s="4125"/>
      <c r="C221" s="2632" t="s">
        <v>641</v>
      </c>
      <c r="D221" s="2633" t="s">
        <v>640</v>
      </c>
      <c r="E221" s="2691">
        <v>277945000000</v>
      </c>
      <c r="F221" s="257"/>
      <c r="G221" s="374"/>
      <c r="H221" s="374"/>
      <c r="I221" s="374">
        <f t="shared" ref="I221:I233" si="29">E221+H221</f>
        <v>277945000000</v>
      </c>
      <c r="J221" s="277"/>
      <c r="K221" s="277">
        <v>6508000000</v>
      </c>
      <c r="L221" s="2620"/>
      <c r="M221" s="276"/>
      <c r="N221" s="2706"/>
      <c r="O221" s="2707">
        <f>'يادداشت 1-13وجوهدريافتي ازخزانه'!V78</f>
        <v>0</v>
      </c>
      <c r="P221" s="2708"/>
      <c r="Q221" s="2620"/>
      <c r="R221" s="2620"/>
      <c r="S221" s="2620"/>
      <c r="T221" s="277"/>
      <c r="U221" s="277"/>
      <c r="V221" s="2620">
        <f>-'حفظ قدرت خرید'!L32</f>
        <v>4242000000</v>
      </c>
      <c r="W221" s="2620">
        <f>-'ياد 15  سايرهزينه '!P27</f>
        <v>0</v>
      </c>
      <c r="X221" s="276"/>
      <c r="Y221" s="2620"/>
      <c r="Z221" s="276"/>
      <c r="AA221" s="276"/>
      <c r="AB221" s="2620">
        <f t="shared" ref="AB221:AB233" si="30">P221+W221+S221+R221+Q221+N221+T221+E221+V221+U221+O221+H221+M221</f>
        <v>282187000000</v>
      </c>
    </row>
    <row r="222" spans="2:30" ht="32.450000000000003" customHeight="1" x14ac:dyDescent="0.2">
      <c r="B222" s="4125"/>
      <c r="C222" s="2632" t="s">
        <v>622</v>
      </c>
      <c r="D222" s="2633" t="s">
        <v>620</v>
      </c>
      <c r="E222" s="2691">
        <f>1491619013375-E516</f>
        <v>1409398363375</v>
      </c>
      <c r="F222" s="257"/>
      <c r="G222" s="374"/>
      <c r="H222" s="374"/>
      <c r="I222" s="374">
        <f t="shared" si="29"/>
        <v>1409398363375</v>
      </c>
      <c r="J222" s="277"/>
      <c r="K222" s="277">
        <v>42090000000</v>
      </c>
      <c r="L222" s="2620"/>
      <c r="M222" s="276"/>
      <c r="N222" s="2706">
        <f>'يادداشت 1-13وجوهدريافتي ازخزانه'!Q25-'يادداشت 1-13وجوهدريافتي ازخزانه'!M25</f>
        <v>27006000000</v>
      </c>
      <c r="O222" s="2707">
        <f>'يادداشت 1-13وجوهدريافتي ازخزانه'!V25</f>
        <v>0</v>
      </c>
      <c r="P222" s="2708"/>
      <c r="Q222" s="2620"/>
      <c r="R222" s="2620"/>
      <c r="S222" s="2620"/>
      <c r="T222" s="277">
        <f>-'حفظ قدرت خرید'!P33-'حفظ قدرت خرید'!V33</f>
        <v>-7287000000</v>
      </c>
      <c r="U222" s="277">
        <f>-'حفظ قدرت خرید'!V33</f>
        <v>3085000000</v>
      </c>
      <c r="V222" s="2620">
        <f>-'حفظ قدرت خرید'!L33</f>
        <v>23149000000</v>
      </c>
      <c r="W222" s="2620">
        <f>-'ياد 15  سايرهزينه '!P28</f>
        <v>-1868000000</v>
      </c>
      <c r="X222" s="276"/>
      <c r="Y222" s="2620"/>
      <c r="Z222" s="276"/>
      <c r="AA222" s="276"/>
      <c r="AB222" s="2620">
        <f t="shared" si="30"/>
        <v>1453483363375</v>
      </c>
    </row>
    <row r="223" spans="2:30" ht="32.450000000000003" customHeight="1" x14ac:dyDescent="0.2">
      <c r="B223" s="4125"/>
      <c r="C223" s="2632" t="s">
        <v>642</v>
      </c>
      <c r="D223" s="2633" t="s">
        <v>631</v>
      </c>
      <c r="E223" s="2691">
        <f>709443330485-E557</f>
        <v>694693330485</v>
      </c>
      <c r="F223" s="257"/>
      <c r="G223" s="374"/>
      <c r="H223" s="374"/>
      <c r="I223" s="374">
        <f t="shared" si="29"/>
        <v>694693330485</v>
      </c>
      <c r="J223" s="277"/>
      <c r="K223" s="277">
        <v>28009000000</v>
      </c>
      <c r="L223" s="2620"/>
      <c r="M223" s="276"/>
      <c r="N223" s="2706">
        <f>'يادداشت 1-13وجوهدريافتي ازخزانه'!Q26-'يادداشت 1-13وجوهدريافتي ازخزانه'!M26</f>
        <v>25730000000</v>
      </c>
      <c r="O223" s="2707">
        <f>'يادداشت 1-13وجوهدريافتي ازخزانه'!V26</f>
        <v>0</v>
      </c>
      <c r="P223" s="2708"/>
      <c r="Q223" s="2620"/>
      <c r="R223" s="2620"/>
      <c r="S223" s="2620"/>
      <c r="T223" s="277">
        <f>-'حفظ قدرت خرید'!P34-'حفظ قدرت خرید'!V34</f>
        <v>-7133000000</v>
      </c>
      <c r="U223" s="277">
        <f>-'حفظ قدرت خرید'!V34</f>
        <v>4270000000</v>
      </c>
      <c r="V223" s="2620">
        <f>-'حفظ قدرت خرید'!L34</f>
        <v>12686000000</v>
      </c>
      <c r="W223" s="2620">
        <f>-'ياد 15  سايرهزينه '!P29</f>
        <v>-1000000000</v>
      </c>
      <c r="X223" s="276"/>
      <c r="Y223" s="2620"/>
      <c r="Z223" s="276"/>
      <c r="AA223" s="276"/>
      <c r="AB223" s="2620">
        <f t="shared" si="30"/>
        <v>729246330485</v>
      </c>
    </row>
    <row r="224" spans="2:30" ht="32.450000000000003" customHeight="1" x14ac:dyDescent="0.2">
      <c r="B224" s="4125"/>
      <c r="C224" s="2632" t="s">
        <v>623</v>
      </c>
      <c r="D224" s="2633" t="s">
        <v>599</v>
      </c>
      <c r="E224" s="2691">
        <v>109441582534</v>
      </c>
      <c r="F224" s="257"/>
      <c r="G224" s="374"/>
      <c r="H224" s="374"/>
      <c r="I224" s="374">
        <f t="shared" si="29"/>
        <v>109441582534</v>
      </c>
      <c r="J224" s="277"/>
      <c r="K224" s="277">
        <v>1030000000</v>
      </c>
      <c r="L224" s="2620"/>
      <c r="M224" s="276"/>
      <c r="N224" s="2706">
        <f>'يادداشت 1-13وجوهدريافتي ازخزانه'!Q79-'يادداشت 1-13وجوهدريافتي ازخزانه'!M79</f>
        <v>0</v>
      </c>
      <c r="O224" s="2707">
        <f>'يادداشت 1-13وجوهدريافتي ازخزانه'!V79</f>
        <v>0</v>
      </c>
      <c r="P224" s="2708"/>
      <c r="Q224" s="2620"/>
      <c r="R224" s="2620"/>
      <c r="S224" s="2620"/>
      <c r="T224" s="277"/>
      <c r="U224" s="277"/>
      <c r="V224" s="2620">
        <f>-'حفظ قدرت خرید'!L35</f>
        <v>1399000000</v>
      </c>
      <c r="W224" s="2620">
        <f>-'ياد 15  سايرهزينه '!P30</f>
        <v>-395000000</v>
      </c>
      <c r="X224" s="276"/>
      <c r="Y224" s="2620"/>
      <c r="Z224" s="276"/>
      <c r="AA224" s="276"/>
      <c r="AB224" s="2620">
        <f t="shared" si="30"/>
        <v>110445582534</v>
      </c>
    </row>
    <row r="225" spans="2:31" ht="32.450000000000003" customHeight="1" x14ac:dyDescent="0.2">
      <c r="B225" s="4125"/>
      <c r="C225" s="2632" t="s">
        <v>643</v>
      </c>
      <c r="D225" s="2633" t="s">
        <v>632</v>
      </c>
      <c r="E225" s="2691">
        <f>911682355236-E555</f>
        <v>860932355236</v>
      </c>
      <c r="F225" s="257"/>
      <c r="G225" s="374"/>
      <c r="H225" s="374"/>
      <c r="I225" s="374">
        <f t="shared" si="29"/>
        <v>860932355236</v>
      </c>
      <c r="J225" s="277"/>
      <c r="K225" s="277">
        <v>4602000000</v>
      </c>
      <c r="L225" s="2620"/>
      <c r="M225" s="276"/>
      <c r="N225" s="2706">
        <f>'يادداشت 1-13وجوهدريافتي ازخزانه'!Q80-'يادداشت 1-13وجوهدريافتي ازخزانه'!M80</f>
        <v>0</v>
      </c>
      <c r="O225" s="2707">
        <f>'يادداشت 1-13وجوهدريافتي ازخزانه'!V80</f>
        <v>0</v>
      </c>
      <c r="P225" s="2708"/>
      <c r="Q225" s="2620"/>
      <c r="R225" s="2620"/>
      <c r="S225" s="2620"/>
      <c r="T225" s="277"/>
      <c r="U225" s="277"/>
      <c r="V225" s="2620">
        <f>-'حفظ قدرت خرید'!L36</f>
        <v>12924000000</v>
      </c>
      <c r="W225" s="2620">
        <f>-'ياد 15  سايرهزينه '!P31</f>
        <v>-1067000000</v>
      </c>
      <c r="X225" s="276"/>
      <c r="Y225" s="2620"/>
      <c r="Z225" s="276"/>
      <c r="AA225" s="276"/>
      <c r="AB225" s="2620">
        <f t="shared" si="30"/>
        <v>872789355236</v>
      </c>
    </row>
    <row r="226" spans="2:31" ht="32.450000000000003" customHeight="1" x14ac:dyDescent="0.2">
      <c r="B226" s="4125"/>
      <c r="C226" s="2632" t="s">
        <v>624</v>
      </c>
      <c r="D226" s="2633" t="s">
        <v>600</v>
      </c>
      <c r="E226" s="2691">
        <f>489047900379-E558</f>
        <v>466375900379</v>
      </c>
      <c r="F226" s="257"/>
      <c r="G226" s="374"/>
      <c r="H226" s="374"/>
      <c r="I226" s="374">
        <f t="shared" si="29"/>
        <v>466375900379</v>
      </c>
      <c r="J226" s="277"/>
      <c r="K226" s="277">
        <v>26776000000</v>
      </c>
      <c r="L226" s="2620"/>
      <c r="M226" s="276"/>
      <c r="N226" s="2706">
        <f>'يادداشت 1-13وجوهدريافتي ازخزانه'!Q27-'يادداشت 1-13وجوهدريافتي ازخزانه'!M27</f>
        <v>8631000000</v>
      </c>
      <c r="O226" s="2707">
        <f>'يادداشت 1-13وجوهدريافتي ازخزانه'!V81</f>
        <v>0</v>
      </c>
      <c r="P226" s="2708"/>
      <c r="Q226" s="2620"/>
      <c r="R226" s="2620"/>
      <c r="S226" s="2620"/>
      <c r="T226" s="277">
        <f>-'حفظ قدرت خرید'!P37-'حفظ قدرت خرید'!V37</f>
        <v>-2266000000</v>
      </c>
      <c r="U226" s="277">
        <f>-'حفظ قدرت خرید'!V37</f>
        <v>1369000000</v>
      </c>
      <c r="V226" s="2620">
        <f>-'حفظ قدرت خرید'!L37</f>
        <v>11567000000</v>
      </c>
      <c r="W226" s="2620">
        <f>-'ياد 15  سايرهزينه '!P32</f>
        <v>-2989000000</v>
      </c>
      <c r="X226" s="276"/>
      <c r="Y226" s="2620"/>
      <c r="Z226" s="276"/>
      <c r="AA226" s="276"/>
      <c r="AB226" s="2620">
        <f t="shared" si="30"/>
        <v>482687900379</v>
      </c>
    </row>
    <row r="227" spans="2:31" ht="32.450000000000003" customHeight="1" x14ac:dyDescent="0.2">
      <c r="B227" s="4125"/>
      <c r="C227" s="2632" t="s">
        <v>625</v>
      </c>
      <c r="D227" s="2633" t="s">
        <v>601</v>
      </c>
      <c r="E227" s="2691">
        <v>500784173190</v>
      </c>
      <c r="F227" s="257"/>
      <c r="G227" s="374"/>
      <c r="H227" s="374"/>
      <c r="I227" s="374">
        <f t="shared" si="29"/>
        <v>500784173190</v>
      </c>
      <c r="J227" s="277"/>
      <c r="K227" s="277">
        <v>17325000000</v>
      </c>
      <c r="L227" s="2620"/>
      <c r="M227" s="276"/>
      <c r="N227" s="2706"/>
      <c r="O227" s="2707">
        <f>'يادداشت 1-13وجوهدريافتي ازخزانه'!V82</f>
        <v>0</v>
      </c>
      <c r="P227" s="2708"/>
      <c r="Q227" s="2620"/>
      <c r="R227" s="2620"/>
      <c r="S227" s="2620"/>
      <c r="T227" s="277"/>
      <c r="U227" s="277"/>
      <c r="V227" s="2620">
        <f>-'حفظ قدرت خرید'!L38</f>
        <v>8115000000</v>
      </c>
      <c r="W227" s="2620">
        <f>-'ياد 15  سايرهزينه '!P34</f>
        <v>-1764000000</v>
      </c>
      <c r="X227" s="276"/>
      <c r="Y227" s="2620"/>
      <c r="Z227" s="276"/>
      <c r="AA227" s="276"/>
      <c r="AB227" s="2620">
        <f t="shared" si="30"/>
        <v>507135173190</v>
      </c>
    </row>
    <row r="228" spans="2:31" ht="32.450000000000003" customHeight="1" x14ac:dyDescent="0.2">
      <c r="B228" s="4125"/>
      <c r="C228" s="2632" t="s">
        <v>626</v>
      </c>
      <c r="D228" s="2633" t="s">
        <v>602</v>
      </c>
      <c r="E228" s="2691">
        <f>304404068986-E551</f>
        <v>195398068986</v>
      </c>
      <c r="F228" s="257"/>
      <c r="G228" s="374"/>
      <c r="H228" s="374"/>
      <c r="I228" s="374">
        <f t="shared" si="29"/>
        <v>195398068986</v>
      </c>
      <c r="J228" s="277"/>
      <c r="K228" s="277">
        <v>13517000000</v>
      </c>
      <c r="L228" s="2705"/>
      <c r="M228" s="276"/>
      <c r="N228" s="2706">
        <f>'يادداشت 1-13وجوهدريافتي ازخزانه'!Q82-'يادداشت 1-13وجوهدريافتي ازخزانه'!M82</f>
        <v>0</v>
      </c>
      <c r="O228" s="2707">
        <f>'يادداشت 1-13وجوهدريافتي ازخزانه'!V82</f>
        <v>0</v>
      </c>
      <c r="P228" s="2708"/>
      <c r="Q228" s="2620"/>
      <c r="R228" s="2620"/>
      <c r="S228" s="2620"/>
      <c r="T228" s="277"/>
      <c r="U228" s="277"/>
      <c r="V228" s="2620">
        <f>-'حفظ قدرت خرید'!L51</f>
        <v>6074000000</v>
      </c>
      <c r="W228" s="2620">
        <f>-'ياد 15  سايرهزينه '!P35</f>
        <v>-1821000000</v>
      </c>
      <c r="X228" s="276"/>
      <c r="Y228" s="2620"/>
      <c r="Z228" s="276"/>
      <c r="AA228" s="276"/>
      <c r="AB228" s="2620">
        <f t="shared" si="30"/>
        <v>199651068986</v>
      </c>
    </row>
    <row r="229" spans="2:31" ht="32.450000000000003" customHeight="1" x14ac:dyDescent="0.2">
      <c r="B229" s="4125"/>
      <c r="C229" s="2632" t="s">
        <v>627</v>
      </c>
      <c r="D229" s="2633" t="s">
        <v>603</v>
      </c>
      <c r="E229" s="2691">
        <v>192051656851</v>
      </c>
      <c r="F229" s="257"/>
      <c r="G229" s="374"/>
      <c r="H229" s="374"/>
      <c r="I229" s="374">
        <f t="shared" si="29"/>
        <v>192051656851</v>
      </c>
      <c r="J229" s="277"/>
      <c r="K229" s="277">
        <v>5900000000</v>
      </c>
      <c r="L229" s="2620"/>
      <c r="M229" s="276"/>
      <c r="N229" s="2706"/>
      <c r="O229" s="2707">
        <f>'يادداشت 1-13وجوهدريافتي ازخزانه'!V83</f>
        <v>0</v>
      </c>
      <c r="P229" s="2708"/>
      <c r="Q229" s="2620"/>
      <c r="R229" s="2620"/>
      <c r="S229" s="2620"/>
      <c r="T229" s="277"/>
      <c r="U229" s="277"/>
      <c r="V229" s="2620">
        <f>-'حفظ قدرت خرید'!L52</f>
        <v>2673000000</v>
      </c>
      <c r="W229" s="2620"/>
      <c r="X229" s="276"/>
      <c r="Y229" s="2620"/>
      <c r="Z229" s="276"/>
      <c r="AA229" s="276"/>
      <c r="AB229" s="2620">
        <f t="shared" si="30"/>
        <v>194724656851</v>
      </c>
    </row>
    <row r="230" spans="2:31" ht="32.450000000000003" customHeight="1" x14ac:dyDescent="0.2">
      <c r="B230" s="4125"/>
      <c r="C230" s="2709" t="s">
        <v>1089</v>
      </c>
      <c r="D230" s="2710" t="s">
        <v>1090</v>
      </c>
      <c r="E230" s="2691">
        <v>33898000000</v>
      </c>
      <c r="F230" s="257"/>
      <c r="G230" s="374"/>
      <c r="H230" s="374"/>
      <c r="I230" s="374">
        <f t="shared" si="29"/>
        <v>33898000000</v>
      </c>
      <c r="J230" s="277"/>
      <c r="K230" s="277"/>
      <c r="L230" s="2620"/>
      <c r="M230" s="276"/>
      <c r="N230" s="2706"/>
      <c r="O230" s="2707">
        <f>'يادداشت 1-13وجوهدريافتي ازخزانه'!V84</f>
        <v>0</v>
      </c>
      <c r="P230" s="2708"/>
      <c r="Q230" s="2620"/>
      <c r="R230" s="2620"/>
      <c r="S230" s="2620"/>
      <c r="T230" s="277"/>
      <c r="U230" s="277"/>
      <c r="V230" s="2620"/>
      <c r="W230" s="2620"/>
      <c r="X230" s="276"/>
      <c r="Y230" s="2620"/>
      <c r="Z230" s="276"/>
      <c r="AA230" s="276"/>
      <c r="AB230" s="2620">
        <f t="shared" si="30"/>
        <v>33898000000</v>
      </c>
    </row>
    <row r="231" spans="2:31" ht="32.450000000000003" customHeight="1" x14ac:dyDescent="0.2">
      <c r="B231" s="4125"/>
      <c r="C231" s="2632" t="s">
        <v>628</v>
      </c>
      <c r="D231" s="2633" t="s">
        <v>604</v>
      </c>
      <c r="E231" s="2691">
        <f>10828000000-E550</f>
        <v>8906000000</v>
      </c>
      <c r="F231" s="257"/>
      <c r="G231" s="374"/>
      <c r="H231" s="374">
        <v>339796800</v>
      </c>
      <c r="I231" s="374">
        <f t="shared" si="29"/>
        <v>9245796800</v>
      </c>
      <c r="J231" s="277"/>
      <c r="K231" s="277"/>
      <c r="L231" s="2620"/>
      <c r="M231" s="276"/>
      <c r="N231" s="2706"/>
      <c r="O231" s="2707"/>
      <c r="P231" s="2708"/>
      <c r="Q231" s="2620"/>
      <c r="R231" s="2620"/>
      <c r="S231" s="2620"/>
      <c r="T231" s="277"/>
      <c r="U231" s="277"/>
      <c r="V231" s="2620"/>
      <c r="W231" s="2620"/>
      <c r="X231" s="276"/>
      <c r="Y231" s="2620"/>
      <c r="Z231" s="276"/>
      <c r="AA231" s="276"/>
      <c r="AB231" s="2620">
        <f t="shared" si="30"/>
        <v>9245796800</v>
      </c>
    </row>
    <row r="232" spans="2:31" ht="32.450000000000003" hidden="1" customHeight="1" x14ac:dyDescent="0.2">
      <c r="B232" s="4125"/>
      <c r="C232" s="2632" t="s">
        <v>645</v>
      </c>
      <c r="D232" s="2633" t="s">
        <v>644</v>
      </c>
      <c r="E232" s="2691">
        <v>0</v>
      </c>
      <c r="F232" s="257"/>
      <c r="G232" s="277"/>
      <c r="H232" s="375"/>
      <c r="I232" s="374">
        <f t="shared" si="29"/>
        <v>0</v>
      </c>
      <c r="J232" s="375"/>
      <c r="K232" s="375"/>
      <c r="L232" s="2627"/>
      <c r="M232" s="327"/>
      <c r="N232" s="2706"/>
      <c r="O232" s="2711"/>
      <c r="P232" s="2712"/>
      <c r="Q232" s="2620"/>
      <c r="R232" s="2620"/>
      <c r="S232" s="2620"/>
      <c r="T232" s="277"/>
      <c r="U232" s="277"/>
      <c r="V232" s="2620"/>
      <c r="W232" s="2620"/>
      <c r="X232" s="276"/>
      <c r="Y232" s="2620"/>
      <c r="Z232" s="276"/>
      <c r="AA232" s="276"/>
      <c r="AB232" s="2620">
        <f t="shared" si="30"/>
        <v>0</v>
      </c>
    </row>
    <row r="233" spans="2:31" ht="32.450000000000003" customHeight="1" x14ac:dyDescent="0.2">
      <c r="B233" s="4125"/>
      <c r="C233" s="2632" t="s">
        <v>629</v>
      </c>
      <c r="D233" s="2633" t="s">
        <v>605</v>
      </c>
      <c r="E233" s="2691">
        <v>232674795532</v>
      </c>
      <c r="F233" s="257"/>
      <c r="G233" s="277"/>
      <c r="H233" s="278"/>
      <c r="I233" s="374">
        <f t="shared" si="29"/>
        <v>232674795532</v>
      </c>
      <c r="J233" s="277"/>
      <c r="K233" s="278">
        <v>9876000000</v>
      </c>
      <c r="L233" s="2620"/>
      <c r="M233" s="276"/>
      <c r="N233" s="2706">
        <f>'يادداشت 1-13وجوهدريافتي ازخزانه'!Q77-'يادداشت 1-13وجوهدريافتي ازخزانه'!M77</f>
        <v>0</v>
      </c>
      <c r="O233" s="2713">
        <f>'يادداشت 1-13وجوهدريافتي ازخزانه'!V77</f>
        <v>0</v>
      </c>
      <c r="P233" s="2634"/>
      <c r="Q233" s="2620"/>
      <c r="R233" s="2620"/>
      <c r="S233" s="2620"/>
      <c r="T233" s="277"/>
      <c r="U233" s="277"/>
      <c r="V233" s="2620">
        <f>-'حفظ قدرت خرید'!L30</f>
        <v>6273000000</v>
      </c>
      <c r="W233" s="2620">
        <f>-'ياد 15  سايرهزينه '!P36</f>
        <v>-658000000</v>
      </c>
      <c r="X233" s="276"/>
      <c r="Y233" s="2620"/>
      <c r="Z233" s="276"/>
      <c r="AA233" s="276"/>
      <c r="AB233" s="2620">
        <f t="shared" si="30"/>
        <v>238289795532</v>
      </c>
    </row>
    <row r="234" spans="2:31" ht="32.450000000000003" customHeight="1" x14ac:dyDescent="0.2">
      <c r="B234" s="4125"/>
      <c r="C234" s="4112" t="s">
        <v>94</v>
      </c>
      <c r="D234" s="4112"/>
      <c r="E234" s="2691">
        <f>SUM(E219:E233)</f>
        <v>47287111127447</v>
      </c>
      <c r="F234" s="2691">
        <f t="shared" ref="F234:W234" si="31">SUM(F219:F233)</f>
        <v>137242313107</v>
      </c>
      <c r="G234" s="2691">
        <f t="shared" si="31"/>
        <v>10000256000000</v>
      </c>
      <c r="H234" s="2691">
        <f t="shared" si="31"/>
        <v>339796800</v>
      </c>
      <c r="I234" s="2691">
        <f>SUM(I219:I233)</f>
        <v>47287450924247</v>
      </c>
      <c r="J234" s="2691">
        <f t="shared" si="31"/>
        <v>271500000000</v>
      </c>
      <c r="K234" s="2691">
        <f t="shared" si="31"/>
        <v>506106000000</v>
      </c>
      <c r="L234" s="2691">
        <f t="shared" si="31"/>
        <v>0</v>
      </c>
      <c r="M234" s="2691">
        <f t="shared" si="31"/>
        <v>0</v>
      </c>
      <c r="N234" s="2691">
        <f t="shared" si="31"/>
        <v>1639524000000</v>
      </c>
      <c r="O234" s="2691">
        <f t="shared" si="31"/>
        <v>9801019000000</v>
      </c>
      <c r="P234" s="2691">
        <f t="shared" si="31"/>
        <v>-1582060020</v>
      </c>
      <c r="Q234" s="2691">
        <f t="shared" si="31"/>
        <v>0</v>
      </c>
      <c r="R234" s="2691">
        <f t="shared" si="31"/>
        <v>0</v>
      </c>
      <c r="S234" s="2691">
        <f t="shared" si="31"/>
        <v>0</v>
      </c>
      <c r="T234" s="2691">
        <f t="shared" si="31"/>
        <v>-362697000000</v>
      </c>
      <c r="U234" s="2691">
        <f t="shared" si="31"/>
        <v>212224000000</v>
      </c>
      <c r="V234" s="2691">
        <f t="shared" si="31"/>
        <v>758736980000</v>
      </c>
      <c r="W234" s="2691">
        <f t="shared" si="31"/>
        <v>-194175000000</v>
      </c>
      <c r="X234" s="2691">
        <f t="shared" ref="X234:AB234" si="32">SUM(X219:X233)</f>
        <v>0</v>
      </c>
      <c r="Y234" s="2691" t="e">
        <f t="shared" si="32"/>
        <v>#N/A</v>
      </c>
      <c r="Z234" s="2691" t="e">
        <f t="shared" si="32"/>
        <v>#N/A</v>
      </c>
      <c r="AA234" s="2691">
        <f t="shared" si="32"/>
        <v>0</v>
      </c>
      <c r="AB234" s="2691">
        <f t="shared" si="32"/>
        <v>59140500844227</v>
      </c>
      <c r="AD234" s="2603">
        <f>W234+V234+U234+T234+P234+O234+N234+I234</f>
        <v>59140500844227</v>
      </c>
    </row>
    <row r="235" spans="2:31" ht="21.75" customHeight="1" x14ac:dyDescent="0.2">
      <c r="B235" s="2653"/>
      <c r="C235" s="2616"/>
      <c r="D235" s="2616"/>
      <c r="E235" s="2654"/>
      <c r="F235" s="2654"/>
      <c r="G235" s="2654"/>
      <c r="H235" s="2654"/>
      <c r="I235" s="2654"/>
      <c r="J235" s="2654"/>
      <c r="K235" s="2654"/>
      <c r="L235" s="2654"/>
      <c r="M235" s="2654"/>
      <c r="N235" s="2654"/>
      <c r="O235" s="2654"/>
      <c r="P235" s="2654"/>
      <c r="Q235" s="2654"/>
      <c r="R235" s="2654"/>
      <c r="S235" s="2654"/>
      <c r="T235" s="2654"/>
      <c r="U235" s="2654"/>
      <c r="V235" s="2654"/>
      <c r="W235" s="2654"/>
      <c r="X235" s="2654"/>
      <c r="Y235" s="2654"/>
      <c r="Z235" s="2654"/>
      <c r="AA235" s="2654"/>
      <c r="AB235" s="2654"/>
    </row>
    <row r="236" spans="2:31" ht="32.450000000000003" customHeight="1" x14ac:dyDescent="0.2">
      <c r="B236" s="2655"/>
      <c r="C236" s="4141">
        <v>98</v>
      </c>
      <c r="D236" s="4141"/>
      <c r="E236" s="4141"/>
      <c r="F236" s="4141"/>
      <c r="G236" s="4141"/>
      <c r="H236" s="4141"/>
      <c r="I236" s="4141"/>
      <c r="J236" s="4141"/>
      <c r="K236" s="4141"/>
      <c r="L236" s="4141"/>
      <c r="M236" s="4141"/>
      <c r="N236" s="4141"/>
      <c r="O236" s="4141"/>
      <c r="P236" s="4141"/>
      <c r="Q236" s="4141"/>
      <c r="R236" s="4141"/>
      <c r="S236" s="4141"/>
      <c r="T236" s="4141"/>
      <c r="U236" s="4141"/>
      <c r="V236" s="4141"/>
      <c r="W236" s="4141"/>
      <c r="X236" s="4141"/>
      <c r="Y236" s="4141"/>
      <c r="Z236" s="4141"/>
      <c r="AA236" s="4141"/>
      <c r="AB236" s="4141"/>
      <c r="AC236" s="4141"/>
      <c r="AE236" s="2603">
        <f>E234+H234</f>
        <v>47287450924247</v>
      </c>
    </row>
    <row r="237" spans="2:31" ht="24" customHeight="1" x14ac:dyDescent="0.2">
      <c r="B237" s="2655"/>
      <c r="C237" s="2714"/>
      <c r="D237" s="2714"/>
      <c r="E237" s="2714"/>
      <c r="F237" s="2714"/>
      <c r="G237" s="2714"/>
      <c r="H237" s="2714"/>
      <c r="I237" s="2714"/>
      <c r="J237" s="2714"/>
      <c r="K237" s="2714"/>
      <c r="L237" s="2714"/>
      <c r="M237" s="2714"/>
      <c r="N237" s="2714"/>
      <c r="O237" s="2714"/>
      <c r="P237" s="2714"/>
      <c r="Q237" s="2714"/>
      <c r="R237" s="2714"/>
      <c r="S237" s="2714"/>
      <c r="T237" s="2714"/>
      <c r="U237" s="2714"/>
      <c r="V237" s="2714"/>
      <c r="W237" s="2714"/>
      <c r="X237" s="2714"/>
      <c r="Y237" s="2714"/>
      <c r="Z237" s="2714"/>
      <c r="AA237" s="2714"/>
      <c r="AB237" s="2714"/>
      <c r="AC237" s="2714"/>
    </row>
    <row r="238" spans="2:31" ht="28.15" customHeight="1" x14ac:dyDescent="0.2">
      <c r="B238" s="4108" t="s">
        <v>295</v>
      </c>
      <c r="C238" s="4108"/>
      <c r="D238" s="4108"/>
      <c r="E238" s="4108"/>
      <c r="F238" s="4108"/>
      <c r="G238" s="4108"/>
      <c r="H238" s="4108"/>
      <c r="I238" s="4108"/>
      <c r="J238" s="4108"/>
      <c r="K238" s="4108"/>
      <c r="L238" s="4108"/>
      <c r="M238" s="4108"/>
      <c r="N238" s="4108"/>
      <c r="O238" s="4108"/>
      <c r="P238" s="4108"/>
      <c r="Q238" s="4108"/>
      <c r="R238" s="4108"/>
      <c r="S238" s="4108"/>
      <c r="T238" s="4108"/>
      <c r="U238" s="4108"/>
      <c r="V238" s="4108"/>
      <c r="W238" s="4108"/>
      <c r="X238" s="4108"/>
      <c r="Y238" s="4108"/>
      <c r="Z238" s="4108"/>
      <c r="AA238" s="4108"/>
      <c r="AB238" s="4108"/>
      <c r="AC238" s="1894"/>
    </row>
    <row r="239" spans="2:31" ht="28.15" customHeight="1" x14ac:dyDescent="0.2">
      <c r="B239" s="4108" t="s">
        <v>45</v>
      </c>
      <c r="C239" s="4108"/>
      <c r="D239" s="4108"/>
      <c r="E239" s="4108"/>
      <c r="F239" s="4108"/>
      <c r="G239" s="4108"/>
      <c r="H239" s="4108"/>
      <c r="I239" s="4108"/>
      <c r="J239" s="4108"/>
      <c r="K239" s="4108"/>
      <c r="L239" s="4108"/>
      <c r="M239" s="4108"/>
      <c r="N239" s="4108"/>
      <c r="O239" s="4108"/>
      <c r="P239" s="4108"/>
      <c r="Q239" s="4108"/>
      <c r="R239" s="4108"/>
      <c r="S239" s="4108"/>
      <c r="T239" s="4108"/>
      <c r="U239" s="4108"/>
      <c r="V239" s="4108"/>
      <c r="W239" s="4108"/>
      <c r="X239" s="4108"/>
      <c r="Y239" s="4108"/>
      <c r="Z239" s="4108"/>
      <c r="AA239" s="4108"/>
      <c r="AB239" s="4108"/>
      <c r="AC239" s="1894"/>
    </row>
    <row r="240" spans="2:31" ht="28.15" customHeight="1" x14ac:dyDescent="0.2">
      <c r="B240" s="4108" t="s">
        <v>46</v>
      </c>
      <c r="C240" s="4108"/>
      <c r="D240" s="4108"/>
      <c r="E240" s="4108"/>
      <c r="F240" s="4108"/>
      <c r="G240" s="4108"/>
      <c r="H240" s="4108"/>
      <c r="I240" s="4108"/>
      <c r="J240" s="4108"/>
      <c r="K240" s="4108"/>
      <c r="L240" s="4108"/>
      <c r="M240" s="4108"/>
      <c r="N240" s="4108"/>
      <c r="O240" s="4108"/>
      <c r="P240" s="4108"/>
      <c r="Q240" s="4108"/>
      <c r="R240" s="4108"/>
      <c r="S240" s="4108"/>
      <c r="T240" s="4108"/>
      <c r="U240" s="4108"/>
      <c r="V240" s="4108"/>
      <c r="W240" s="4108"/>
      <c r="X240" s="4108"/>
      <c r="Y240" s="4108"/>
      <c r="Z240" s="4108"/>
      <c r="AA240" s="4108"/>
      <c r="AB240" s="4108"/>
      <c r="AC240" s="1894"/>
    </row>
    <row r="241" spans="2:29" ht="28.15" customHeight="1" x14ac:dyDescent="0.2">
      <c r="B241" s="3294" t="s">
        <v>1981</v>
      </c>
      <c r="C241" s="3294"/>
      <c r="D241" s="3294"/>
      <c r="E241" s="3294"/>
      <c r="F241" s="3294"/>
      <c r="G241" s="3294"/>
      <c r="H241" s="3294"/>
      <c r="I241" s="3294"/>
      <c r="J241" s="3294"/>
      <c r="K241" s="3294"/>
      <c r="L241" s="3294"/>
      <c r="M241" s="3294"/>
      <c r="N241" s="3294"/>
      <c r="O241" s="3294"/>
      <c r="P241" s="3294"/>
      <c r="Q241" s="3294"/>
      <c r="R241" s="3294"/>
      <c r="S241" s="3294"/>
      <c r="T241" s="3294"/>
      <c r="U241" s="3294"/>
      <c r="V241" s="3294"/>
      <c r="W241" s="3294"/>
      <c r="X241" s="3294"/>
      <c r="Y241" s="3294"/>
      <c r="Z241" s="3294"/>
      <c r="AA241" s="3294"/>
      <c r="AB241" s="3294"/>
      <c r="AC241" s="1853"/>
    </row>
    <row r="242" spans="2:29" ht="28.15" customHeight="1" x14ac:dyDescent="0.2">
      <c r="B242" s="1722"/>
      <c r="C242" s="1722"/>
      <c r="D242" s="1722"/>
      <c r="E242" s="1722"/>
      <c r="F242" s="1722"/>
      <c r="G242" s="1722"/>
      <c r="H242" s="1722"/>
      <c r="I242" s="1722"/>
      <c r="J242" s="1722"/>
      <c r="K242" s="1722"/>
      <c r="L242" s="1722"/>
      <c r="M242" s="1722"/>
      <c r="N242" s="1722"/>
      <c r="O242" s="1722"/>
      <c r="P242" s="1722"/>
      <c r="Q242" s="1722"/>
      <c r="R242" s="1722"/>
      <c r="S242" s="1722"/>
      <c r="T242" s="1722"/>
      <c r="U242" s="1722"/>
      <c r="V242" s="1722"/>
      <c r="W242" s="1722"/>
      <c r="X242" s="1722"/>
      <c r="Y242" s="1722"/>
      <c r="Z242" s="1722"/>
      <c r="AA242" s="1722"/>
      <c r="AB242" s="1722"/>
      <c r="AC242" s="1853"/>
    </row>
    <row r="243" spans="2:29" ht="28.15" customHeight="1" x14ac:dyDescent="0.2">
      <c r="B243" s="1722"/>
      <c r="C243" s="1722"/>
      <c r="D243" s="1722"/>
      <c r="E243" s="1722"/>
      <c r="F243" s="1722"/>
      <c r="G243" s="1722"/>
      <c r="H243" s="1722"/>
      <c r="I243" s="1722"/>
      <c r="J243" s="1722"/>
      <c r="K243" s="1722"/>
      <c r="L243" s="1722"/>
      <c r="M243" s="1722"/>
      <c r="N243" s="1722"/>
      <c r="O243" s="1722"/>
      <c r="P243" s="1722"/>
      <c r="Q243" s="1722"/>
      <c r="R243" s="1722"/>
      <c r="S243" s="1722"/>
      <c r="T243" s="1722"/>
      <c r="U243" s="1722"/>
      <c r="V243" s="1722"/>
      <c r="W243" s="1722"/>
      <c r="X243" s="1722"/>
      <c r="Y243" s="1722"/>
      <c r="Z243" s="1722"/>
      <c r="AA243" s="1722"/>
      <c r="AB243" s="1722"/>
      <c r="AC243" s="1853"/>
    </row>
    <row r="244" spans="2:29" ht="32.450000000000003" customHeight="1" x14ac:dyDescent="0.2">
      <c r="B244" s="4110" t="s">
        <v>1848</v>
      </c>
      <c r="C244" s="4110"/>
      <c r="D244" s="4110"/>
      <c r="E244" s="2656"/>
      <c r="F244" s="2657"/>
      <c r="G244" s="2658"/>
      <c r="H244" s="2658"/>
      <c r="I244" s="2658"/>
      <c r="J244" s="2658"/>
      <c r="K244" s="2658"/>
      <c r="L244" s="2658"/>
      <c r="M244" s="2658"/>
      <c r="N244" s="2658"/>
      <c r="O244" s="2658"/>
      <c r="P244" s="2658"/>
      <c r="Q244" s="2658"/>
      <c r="R244" s="2658"/>
      <c r="S244" s="2658"/>
      <c r="T244" s="2658"/>
      <c r="U244" s="2658"/>
      <c r="V244" s="2658"/>
      <c r="W244" s="2658"/>
      <c r="X244" s="104"/>
      <c r="Y244" s="104"/>
      <c r="Z244" s="104"/>
      <c r="AA244" s="104"/>
      <c r="AB244" s="2608" t="s">
        <v>194</v>
      </c>
    </row>
    <row r="245" spans="2:29" ht="55.9" customHeight="1" x14ac:dyDescent="0.2">
      <c r="B245" s="4112" t="s">
        <v>419</v>
      </c>
      <c r="C245" s="4117" t="s">
        <v>196</v>
      </c>
      <c r="D245" s="4124" t="s">
        <v>197</v>
      </c>
      <c r="E245" s="4111" t="s">
        <v>1400</v>
      </c>
      <c r="F245" s="2609"/>
      <c r="G245" s="4111" t="s">
        <v>921</v>
      </c>
      <c r="H245" s="4118" t="s">
        <v>1116</v>
      </c>
      <c r="I245" s="4118" t="s">
        <v>1271</v>
      </c>
      <c r="J245" s="4135" t="s">
        <v>1272</v>
      </c>
      <c r="K245" s="4136"/>
      <c r="L245" s="4136"/>
      <c r="M245" s="4136"/>
      <c r="N245" s="4136"/>
      <c r="O245" s="4137"/>
      <c r="P245" s="4113" t="s">
        <v>423</v>
      </c>
      <c r="Q245" s="4115" t="s">
        <v>827</v>
      </c>
      <c r="R245" s="4115" t="s">
        <v>888</v>
      </c>
      <c r="S245" s="4115"/>
      <c r="T245" s="4114" t="s">
        <v>2015</v>
      </c>
      <c r="U245" s="4121" t="s">
        <v>1274</v>
      </c>
      <c r="V245" s="4121" t="s">
        <v>2016</v>
      </c>
      <c r="W245" s="4116" t="s">
        <v>1033</v>
      </c>
      <c r="X245" s="2610"/>
      <c r="Y245" s="4127" t="s">
        <v>296</v>
      </c>
      <c r="Z245" s="4127" t="s">
        <v>190</v>
      </c>
      <c r="AA245" s="4129" t="s">
        <v>313</v>
      </c>
      <c r="AB245" s="4111" t="s">
        <v>2013</v>
      </c>
      <c r="AC245" s="2689"/>
    </row>
    <row r="246" spans="2:29" ht="28.15" customHeight="1" x14ac:dyDescent="0.2">
      <c r="B246" s="4112"/>
      <c r="C246" s="4117"/>
      <c r="D246" s="4124"/>
      <c r="E246" s="4111"/>
      <c r="F246" s="2609"/>
      <c r="G246" s="4111"/>
      <c r="H246" s="4119"/>
      <c r="I246" s="4119"/>
      <c r="J246" s="4138"/>
      <c r="K246" s="4139"/>
      <c r="L246" s="4139"/>
      <c r="M246" s="4139"/>
      <c r="N246" s="4139"/>
      <c r="O246" s="4140"/>
      <c r="P246" s="4113"/>
      <c r="Q246" s="4115"/>
      <c r="R246" s="4109" t="s">
        <v>889</v>
      </c>
      <c r="S246" s="4109" t="s">
        <v>890</v>
      </c>
      <c r="T246" s="4114"/>
      <c r="U246" s="4122"/>
      <c r="V246" s="4122"/>
      <c r="W246" s="4116"/>
      <c r="X246" s="2611"/>
      <c r="Y246" s="4127"/>
      <c r="Z246" s="4127"/>
      <c r="AA246" s="4130"/>
      <c r="AB246" s="4111"/>
      <c r="AC246" s="2689"/>
    </row>
    <row r="247" spans="2:29" ht="63" customHeight="1" x14ac:dyDescent="0.2">
      <c r="B247" s="4112"/>
      <c r="C247" s="4117"/>
      <c r="D247" s="4124"/>
      <c r="E247" s="4111"/>
      <c r="F247" s="2612" t="s">
        <v>421</v>
      </c>
      <c r="G247" s="2613" t="s">
        <v>27</v>
      </c>
      <c r="H247" s="4120"/>
      <c r="I247" s="4120"/>
      <c r="J247" s="2614" t="s">
        <v>1273</v>
      </c>
      <c r="K247" s="2614" t="s">
        <v>1292</v>
      </c>
      <c r="L247" s="2612" t="s">
        <v>999</v>
      </c>
      <c r="M247" s="2612" t="s">
        <v>422</v>
      </c>
      <c r="N247" s="2612" t="s">
        <v>2014</v>
      </c>
      <c r="O247" s="2615" t="s">
        <v>1794</v>
      </c>
      <c r="P247" s="4113"/>
      <c r="Q247" s="4115"/>
      <c r="R247" s="4109"/>
      <c r="S247" s="4109"/>
      <c r="T247" s="4114"/>
      <c r="U247" s="4123"/>
      <c r="V247" s="4123"/>
      <c r="W247" s="4116"/>
      <c r="X247" s="373" t="s">
        <v>62</v>
      </c>
      <c r="Y247" s="4127"/>
      <c r="Z247" s="4127"/>
      <c r="AA247" s="4131"/>
      <c r="AB247" s="4111"/>
      <c r="AC247" s="2689"/>
    </row>
    <row r="248" spans="2:29" ht="32.450000000000003" customHeight="1" x14ac:dyDescent="0.2">
      <c r="B248" s="4125" t="s">
        <v>180</v>
      </c>
      <c r="C248" s="4126" t="s">
        <v>181</v>
      </c>
      <c r="D248" s="4126"/>
      <c r="E248" s="2691">
        <f>E234</f>
        <v>47287111127447</v>
      </c>
      <c r="F248" s="2691">
        <f t="shared" ref="F248:AB248" si="33">F234</f>
        <v>137242313107</v>
      </c>
      <c r="G248" s="2691">
        <f t="shared" si="33"/>
        <v>10000256000000</v>
      </c>
      <c r="H248" s="2691">
        <f t="shared" si="33"/>
        <v>339796800</v>
      </c>
      <c r="I248" s="2691">
        <f t="shared" si="33"/>
        <v>47287450924247</v>
      </c>
      <c r="J248" s="2691">
        <f t="shared" si="33"/>
        <v>271500000000</v>
      </c>
      <c r="K248" s="2691">
        <f t="shared" si="33"/>
        <v>506106000000</v>
      </c>
      <c r="L248" s="2691">
        <f t="shared" si="33"/>
        <v>0</v>
      </c>
      <c r="M248" s="2691">
        <f t="shared" si="33"/>
        <v>0</v>
      </c>
      <c r="N248" s="2691">
        <f t="shared" si="33"/>
        <v>1639524000000</v>
      </c>
      <c r="O248" s="2691">
        <f t="shared" si="33"/>
        <v>9801019000000</v>
      </c>
      <c r="P248" s="2691">
        <f t="shared" si="33"/>
        <v>-1582060020</v>
      </c>
      <c r="Q248" s="2691">
        <f t="shared" si="33"/>
        <v>0</v>
      </c>
      <c r="R248" s="2691">
        <f t="shared" si="33"/>
        <v>0</v>
      </c>
      <c r="S248" s="2691">
        <f t="shared" si="33"/>
        <v>0</v>
      </c>
      <c r="T248" s="2691">
        <f t="shared" si="33"/>
        <v>-362697000000</v>
      </c>
      <c r="U248" s="2691">
        <f t="shared" si="33"/>
        <v>212224000000</v>
      </c>
      <c r="V248" s="2691">
        <f t="shared" si="33"/>
        <v>758736980000</v>
      </c>
      <c r="W248" s="2691">
        <f t="shared" si="33"/>
        <v>-194175000000</v>
      </c>
      <c r="X248" s="2691">
        <f t="shared" si="33"/>
        <v>0</v>
      </c>
      <c r="Y248" s="2691" t="e">
        <f t="shared" si="33"/>
        <v>#N/A</v>
      </c>
      <c r="Z248" s="2691" t="e">
        <f t="shared" si="33"/>
        <v>#N/A</v>
      </c>
      <c r="AA248" s="2691">
        <f t="shared" si="33"/>
        <v>0</v>
      </c>
      <c r="AB248" s="2691">
        <f t="shared" si="33"/>
        <v>59140500844227</v>
      </c>
    </row>
    <row r="249" spans="2:29" ht="22.9" customHeight="1" x14ac:dyDescent="0.2">
      <c r="B249" s="4125"/>
      <c r="C249" s="2632" t="s">
        <v>612</v>
      </c>
      <c r="D249" s="2633" t="s">
        <v>606</v>
      </c>
      <c r="E249" s="2691">
        <v>6462000000</v>
      </c>
      <c r="F249" s="257"/>
      <c r="G249" s="277"/>
      <c r="H249" s="278"/>
      <c r="I249" s="278">
        <f>E249+H249</f>
        <v>6462000000</v>
      </c>
      <c r="J249" s="278"/>
      <c r="K249" s="278"/>
      <c r="L249" s="2620"/>
      <c r="M249" s="596"/>
      <c r="N249" s="2620"/>
      <c r="O249" s="2620"/>
      <c r="P249" s="2635"/>
      <c r="Q249" s="2634"/>
      <c r="R249" s="2620"/>
      <c r="S249" s="2620"/>
      <c r="T249" s="2715"/>
      <c r="U249" s="277"/>
      <c r="V249" s="2620"/>
      <c r="W249" s="2620"/>
      <c r="X249" s="276"/>
      <c r="Y249" s="2620"/>
      <c r="Z249" s="276"/>
      <c r="AA249" s="276"/>
      <c r="AB249" s="2620">
        <f>P249+W249+S249+R249+Q249+N249+T249+E249+V249+U249+O249+H249+M249</f>
        <v>6462000000</v>
      </c>
    </row>
    <row r="250" spans="2:29" ht="22.9" customHeight="1" x14ac:dyDescent="0.2">
      <c r="B250" s="4125"/>
      <c r="C250" s="2632" t="s">
        <v>639</v>
      </c>
      <c r="D250" s="2633" t="s">
        <v>638</v>
      </c>
      <c r="E250" s="2691">
        <v>-2434567612</v>
      </c>
      <c r="F250" s="257"/>
      <c r="G250" s="277"/>
      <c r="H250" s="278"/>
      <c r="I250" s="278">
        <f t="shared" ref="I250:I267" si="34">E250+H250</f>
        <v>-2434567612</v>
      </c>
      <c r="J250" s="278"/>
      <c r="K250" s="278"/>
      <c r="L250" s="2620"/>
      <c r="M250" s="596"/>
      <c r="N250" s="2620"/>
      <c r="O250" s="2620"/>
      <c r="P250" s="2635"/>
      <c r="Q250" s="2634"/>
      <c r="R250" s="2620"/>
      <c r="S250" s="2620"/>
      <c r="T250" s="2715"/>
      <c r="U250" s="277"/>
      <c r="V250" s="2620"/>
      <c r="W250" s="2621">
        <f>-'ياد 15  سايرهزينه '!P12</f>
        <v>0</v>
      </c>
      <c r="X250" s="276"/>
      <c r="Y250" s="2620"/>
      <c r="Z250" s="276"/>
      <c r="AA250" s="276"/>
      <c r="AB250" s="2620">
        <f t="shared" ref="AB250:AB267" si="35">P250+W250+S250+R250+Q250+N250+T250+E250+V250+U250+O250+H250+M250</f>
        <v>-2434567612</v>
      </c>
    </row>
    <row r="251" spans="2:29" ht="22.9" customHeight="1" x14ac:dyDescent="0.2">
      <c r="B251" s="4125"/>
      <c r="C251" s="2622" t="s">
        <v>611</v>
      </c>
      <c r="D251" s="2633" t="s">
        <v>597</v>
      </c>
      <c r="E251" s="2691">
        <f>30506052808-E553</f>
        <v>28822052808</v>
      </c>
      <c r="F251" s="257"/>
      <c r="G251" s="2716"/>
      <c r="H251" s="2717"/>
      <c r="I251" s="278">
        <f t="shared" si="34"/>
        <v>28822052808</v>
      </c>
      <c r="J251" s="348"/>
      <c r="K251" s="348"/>
      <c r="L251" s="277"/>
      <c r="M251" s="374"/>
      <c r="N251" s="2620"/>
      <c r="O251" s="2620"/>
      <c r="P251" s="277"/>
      <c r="Q251" s="2634"/>
      <c r="R251" s="2620"/>
      <c r="S251" s="2620"/>
      <c r="T251" s="2715"/>
      <c r="U251" s="347"/>
      <c r="V251" s="2620"/>
      <c r="W251" s="2620"/>
      <c r="X251" s="277"/>
      <c r="Y251" s="277"/>
      <c r="Z251" s="277"/>
      <c r="AA251" s="277"/>
      <c r="AB251" s="2620">
        <f t="shared" si="35"/>
        <v>28822052808</v>
      </c>
    </row>
    <row r="252" spans="2:29" ht="22.9" customHeight="1" x14ac:dyDescent="0.2">
      <c r="B252" s="4125"/>
      <c r="C252" s="2632" t="s">
        <v>671</v>
      </c>
      <c r="D252" s="2633" t="s">
        <v>670</v>
      </c>
      <c r="E252" s="2691">
        <v>4296948776</v>
      </c>
      <c r="F252" s="257"/>
      <c r="G252" s="347"/>
      <c r="H252" s="348"/>
      <c r="I252" s="278">
        <f t="shared" si="34"/>
        <v>4296948776</v>
      </c>
      <c r="J252" s="348"/>
      <c r="K252" s="348"/>
      <c r="L252" s="277"/>
      <c r="M252" s="374"/>
      <c r="N252" s="2620"/>
      <c r="O252" s="2620"/>
      <c r="P252" s="277"/>
      <c r="Q252" s="2634"/>
      <c r="R252" s="2620"/>
      <c r="S252" s="2620"/>
      <c r="T252" s="2715"/>
      <c r="U252" s="347"/>
      <c r="V252" s="2620"/>
      <c r="W252" s="2620"/>
      <c r="X252" s="277"/>
      <c r="Y252" s="277"/>
      <c r="Z252" s="277"/>
      <c r="AA252" s="277"/>
      <c r="AB252" s="2620">
        <f t="shared" si="35"/>
        <v>4296948776</v>
      </c>
    </row>
    <row r="253" spans="2:29" ht="22.9" customHeight="1" x14ac:dyDescent="0.2">
      <c r="B253" s="4125"/>
      <c r="C253" s="2632" t="s">
        <v>674</v>
      </c>
      <c r="D253" s="2633" t="s">
        <v>672</v>
      </c>
      <c r="E253" s="2691">
        <v>74374569</v>
      </c>
      <c r="F253" s="257"/>
      <c r="G253" s="347"/>
      <c r="H253" s="348"/>
      <c r="I253" s="278">
        <f t="shared" si="34"/>
        <v>74374569</v>
      </c>
      <c r="J253" s="348"/>
      <c r="K253" s="348"/>
      <c r="L253" s="277"/>
      <c r="M253" s="374"/>
      <c r="N253" s="2620"/>
      <c r="O253" s="2620"/>
      <c r="P253" s="277"/>
      <c r="Q253" s="2634"/>
      <c r="R253" s="2620"/>
      <c r="S253" s="2620"/>
      <c r="T253" s="2715"/>
      <c r="U253" s="347"/>
      <c r="V253" s="2620"/>
      <c r="W253" s="2620"/>
      <c r="X253" s="277"/>
      <c r="Y253" s="277"/>
      <c r="Z253" s="277"/>
      <c r="AA253" s="277"/>
      <c r="AB253" s="2620">
        <f t="shared" si="35"/>
        <v>74374569</v>
      </c>
    </row>
    <row r="254" spans="2:29" ht="22.9" customHeight="1" x14ac:dyDescent="0.2">
      <c r="B254" s="4125"/>
      <c r="C254" s="2632" t="s">
        <v>675</v>
      </c>
      <c r="D254" s="2633" t="s">
        <v>673</v>
      </c>
      <c r="E254" s="2691">
        <v>54614056121</v>
      </c>
      <c r="F254" s="257"/>
      <c r="G254" s="347"/>
      <c r="H254" s="348"/>
      <c r="I254" s="278">
        <f t="shared" si="34"/>
        <v>54614056121</v>
      </c>
      <c r="J254" s="348"/>
      <c r="K254" s="348"/>
      <c r="L254" s="277"/>
      <c r="M254" s="374"/>
      <c r="N254" s="2620"/>
      <c r="O254" s="2620"/>
      <c r="P254" s="277"/>
      <c r="Q254" s="2634"/>
      <c r="R254" s="2620"/>
      <c r="S254" s="2620"/>
      <c r="T254" s="2715"/>
      <c r="U254" s="347"/>
      <c r="V254" s="2620"/>
      <c r="W254" s="2620"/>
      <c r="X254" s="277"/>
      <c r="Y254" s="277"/>
      <c r="Z254" s="277"/>
      <c r="AA254" s="277"/>
      <c r="AB254" s="2620">
        <f t="shared" si="35"/>
        <v>54614056121</v>
      </c>
    </row>
    <row r="255" spans="2:29" ht="22.9" customHeight="1" x14ac:dyDescent="0.2">
      <c r="B255" s="4125"/>
      <c r="C255" s="2632" t="s">
        <v>677</v>
      </c>
      <c r="D255" s="2633" t="s">
        <v>676</v>
      </c>
      <c r="E255" s="2691">
        <f>567728216221-E556</f>
        <v>544728216221</v>
      </c>
      <c r="F255" s="257"/>
      <c r="G255" s="347"/>
      <c r="H255" s="348"/>
      <c r="I255" s="278">
        <f t="shared" si="34"/>
        <v>544728216221</v>
      </c>
      <c r="J255" s="348"/>
      <c r="K255" s="348">
        <v>31102000000</v>
      </c>
      <c r="L255" s="277"/>
      <c r="M255" s="374"/>
      <c r="N255" s="2620">
        <f>'يادداشت 1-13وجوهدريافتي ازخزانه'!Q28-'يادداشت 1-13وجوهدريافتي ازخزانه'!M28</f>
        <v>8086000000</v>
      </c>
      <c r="O255" s="2620"/>
      <c r="P255" s="277"/>
      <c r="Q255" s="2634"/>
      <c r="R255" s="2620"/>
      <c r="S255" s="2620"/>
      <c r="T255" s="2715">
        <f>-'حفظ قدرت خرید'!P50-'حفظ قدرت خرید'!V50</f>
        <v>-2242000000</v>
      </c>
      <c r="U255" s="347">
        <f>-'حفظ قدرت خرید'!V50</f>
        <v>1914000000</v>
      </c>
      <c r="V255" s="2620">
        <f>-'حفظ قدرت خرید'!L50</f>
        <v>19134000000</v>
      </c>
      <c r="W255" s="2620">
        <f>-'ياد 15  سايرهزينه '!P33</f>
        <v>-1869000000</v>
      </c>
      <c r="X255" s="277"/>
      <c r="Y255" s="277"/>
      <c r="Z255" s="277"/>
      <c r="AA255" s="277"/>
      <c r="AB255" s="2620">
        <f t="shared" si="35"/>
        <v>569751216221</v>
      </c>
    </row>
    <row r="256" spans="2:29" ht="22.9" customHeight="1" x14ac:dyDescent="0.2">
      <c r="B256" s="4125"/>
      <c r="C256" s="2632" t="s">
        <v>664</v>
      </c>
      <c r="D256" s="2633" t="s">
        <v>685</v>
      </c>
      <c r="E256" s="2691">
        <v>5674053073</v>
      </c>
      <c r="F256" s="257"/>
      <c r="G256" s="347"/>
      <c r="H256" s="348"/>
      <c r="I256" s="278">
        <f t="shared" si="34"/>
        <v>5674053073</v>
      </c>
      <c r="J256" s="348"/>
      <c r="K256" s="348"/>
      <c r="L256" s="277"/>
      <c r="M256" s="374"/>
      <c r="N256" s="2620"/>
      <c r="O256" s="2620"/>
      <c r="P256" s="277"/>
      <c r="Q256" s="2634"/>
      <c r="R256" s="2620"/>
      <c r="S256" s="2620"/>
      <c r="T256" s="2715"/>
      <c r="U256" s="347"/>
      <c r="V256" s="2620"/>
      <c r="W256" s="2620"/>
      <c r="X256" s="277"/>
      <c r="Y256" s="277"/>
      <c r="Z256" s="277"/>
      <c r="AA256" s="277"/>
      <c r="AB256" s="2620">
        <f t="shared" si="35"/>
        <v>5674053073</v>
      </c>
    </row>
    <row r="257" spans="2:30" ht="22.9" customHeight="1" x14ac:dyDescent="0.2">
      <c r="B257" s="4125"/>
      <c r="C257" s="2632" t="s">
        <v>687</v>
      </c>
      <c r="D257" s="2633" t="s">
        <v>686</v>
      </c>
      <c r="E257" s="2691">
        <v>2721045180</v>
      </c>
      <c r="F257" s="257"/>
      <c r="G257" s="347"/>
      <c r="H257" s="348"/>
      <c r="I257" s="278">
        <f t="shared" si="34"/>
        <v>2721045180</v>
      </c>
      <c r="J257" s="348"/>
      <c r="K257" s="348"/>
      <c r="L257" s="277"/>
      <c r="M257" s="374"/>
      <c r="N257" s="2620"/>
      <c r="O257" s="2620"/>
      <c r="P257" s="277"/>
      <c r="Q257" s="2634"/>
      <c r="R257" s="2620"/>
      <c r="S257" s="2620"/>
      <c r="T257" s="2715"/>
      <c r="U257" s="347"/>
      <c r="V257" s="2620"/>
      <c r="W257" s="2620"/>
      <c r="X257" s="277"/>
      <c r="Y257" s="277"/>
      <c r="Z257" s="277"/>
      <c r="AA257" s="277"/>
      <c r="AB257" s="2620">
        <f t="shared" si="35"/>
        <v>2721045180</v>
      </c>
    </row>
    <row r="258" spans="2:30" ht="22.9" customHeight="1" x14ac:dyDescent="0.2">
      <c r="B258" s="4125"/>
      <c r="C258" s="2632" t="s">
        <v>689</v>
      </c>
      <c r="D258" s="2633" t="s">
        <v>688</v>
      </c>
      <c r="E258" s="2691">
        <v>3663442960</v>
      </c>
      <c r="F258" s="257"/>
      <c r="G258" s="347"/>
      <c r="H258" s="348"/>
      <c r="I258" s="278">
        <f t="shared" si="34"/>
        <v>3663442960</v>
      </c>
      <c r="J258" s="348"/>
      <c r="K258" s="348"/>
      <c r="L258" s="277"/>
      <c r="M258" s="374"/>
      <c r="N258" s="2620"/>
      <c r="O258" s="2620"/>
      <c r="P258" s="277"/>
      <c r="Q258" s="2634"/>
      <c r="R258" s="2620"/>
      <c r="S258" s="2620"/>
      <c r="T258" s="2715"/>
      <c r="U258" s="347"/>
      <c r="V258" s="2620"/>
      <c r="W258" s="2620"/>
      <c r="X258" s="277"/>
      <c r="Y258" s="277"/>
      <c r="Z258" s="277"/>
      <c r="AA258" s="277"/>
      <c r="AB258" s="2620">
        <f t="shared" si="35"/>
        <v>3663442960</v>
      </c>
    </row>
    <row r="259" spans="2:30" ht="22.9" customHeight="1" x14ac:dyDescent="0.2">
      <c r="B259" s="4125"/>
      <c r="C259" s="2632" t="s">
        <v>691</v>
      </c>
      <c r="D259" s="2633" t="s">
        <v>690</v>
      </c>
      <c r="E259" s="2691">
        <v>1528916422</v>
      </c>
      <c r="F259" s="257"/>
      <c r="G259" s="347"/>
      <c r="H259" s="348"/>
      <c r="I259" s="278">
        <f t="shared" si="34"/>
        <v>1528916422</v>
      </c>
      <c r="J259" s="348"/>
      <c r="K259" s="348"/>
      <c r="L259" s="277"/>
      <c r="M259" s="374"/>
      <c r="N259" s="2620"/>
      <c r="O259" s="2620"/>
      <c r="P259" s="277"/>
      <c r="Q259" s="2634"/>
      <c r="R259" s="2620"/>
      <c r="S259" s="2620"/>
      <c r="T259" s="2715"/>
      <c r="U259" s="347"/>
      <c r="V259" s="2620"/>
      <c r="W259" s="2620"/>
      <c r="X259" s="277"/>
      <c r="Y259" s="277"/>
      <c r="Z259" s="277"/>
      <c r="AA259" s="277"/>
      <c r="AB259" s="2620">
        <f t="shared" si="35"/>
        <v>1528916422</v>
      </c>
    </row>
    <row r="260" spans="2:30" ht="22.9" customHeight="1" x14ac:dyDescent="0.2">
      <c r="B260" s="4125"/>
      <c r="C260" s="2632" t="s">
        <v>693</v>
      </c>
      <c r="D260" s="2633" t="s">
        <v>692</v>
      </c>
      <c r="E260" s="2691">
        <v>1482480694</v>
      </c>
      <c r="F260" s="257"/>
      <c r="G260" s="347"/>
      <c r="H260" s="348"/>
      <c r="I260" s="278">
        <f t="shared" si="34"/>
        <v>1482480694</v>
      </c>
      <c r="J260" s="348"/>
      <c r="K260" s="348"/>
      <c r="L260" s="277"/>
      <c r="M260" s="374"/>
      <c r="N260" s="2620"/>
      <c r="O260" s="2620"/>
      <c r="P260" s="277"/>
      <c r="Q260" s="2634"/>
      <c r="R260" s="2620"/>
      <c r="S260" s="2620"/>
      <c r="T260" s="2715"/>
      <c r="U260" s="347"/>
      <c r="V260" s="2620"/>
      <c r="W260" s="2620"/>
      <c r="X260" s="277"/>
      <c r="Y260" s="277"/>
      <c r="Z260" s="277"/>
      <c r="AA260" s="277"/>
      <c r="AB260" s="2620">
        <f t="shared" si="35"/>
        <v>1482480694</v>
      </c>
    </row>
    <row r="261" spans="2:30" ht="22.9" customHeight="1" x14ac:dyDescent="0.2">
      <c r="B261" s="4125"/>
      <c r="C261" s="2632" t="s">
        <v>695</v>
      </c>
      <c r="D261" s="2633" t="s">
        <v>694</v>
      </c>
      <c r="E261" s="2691">
        <v>1195086679</v>
      </c>
      <c r="F261" s="257"/>
      <c r="G261" s="347"/>
      <c r="H261" s="348"/>
      <c r="I261" s="278">
        <f t="shared" si="34"/>
        <v>1195086679</v>
      </c>
      <c r="J261" s="348"/>
      <c r="K261" s="348"/>
      <c r="L261" s="277"/>
      <c r="M261" s="374"/>
      <c r="N261" s="2620"/>
      <c r="O261" s="2620"/>
      <c r="P261" s="277"/>
      <c r="Q261" s="2634"/>
      <c r="R261" s="2620"/>
      <c r="S261" s="2620"/>
      <c r="T261" s="2715"/>
      <c r="U261" s="347"/>
      <c r="V261" s="2620"/>
      <c r="W261" s="2620"/>
      <c r="X261" s="277"/>
      <c r="Y261" s="277"/>
      <c r="Z261" s="277"/>
      <c r="AA261" s="277"/>
      <c r="AB261" s="2620">
        <f t="shared" si="35"/>
        <v>1195086679</v>
      </c>
    </row>
    <row r="262" spans="2:30" ht="22.9" customHeight="1" x14ac:dyDescent="0.2">
      <c r="B262" s="4125"/>
      <c r="C262" s="2632" t="s">
        <v>697</v>
      </c>
      <c r="D262" s="2633" t="s">
        <v>696</v>
      </c>
      <c r="E262" s="2691">
        <v>1019916443</v>
      </c>
      <c r="F262" s="257"/>
      <c r="G262" s="347"/>
      <c r="H262" s="348"/>
      <c r="I262" s="278">
        <f t="shared" si="34"/>
        <v>1019916443</v>
      </c>
      <c r="J262" s="348"/>
      <c r="K262" s="348"/>
      <c r="L262" s="277"/>
      <c r="M262" s="374"/>
      <c r="N262" s="2620"/>
      <c r="O262" s="2620"/>
      <c r="P262" s="277"/>
      <c r="Q262" s="2634"/>
      <c r="R262" s="2620"/>
      <c r="S262" s="2620"/>
      <c r="T262" s="2715"/>
      <c r="U262" s="347"/>
      <c r="V262" s="2620"/>
      <c r="W262" s="2620"/>
      <c r="X262" s="277"/>
      <c r="Y262" s="277"/>
      <c r="Z262" s="277"/>
      <c r="AA262" s="277"/>
      <c r="AB262" s="2620">
        <f t="shared" si="35"/>
        <v>1019916443</v>
      </c>
    </row>
    <row r="263" spans="2:30" ht="22.9" customHeight="1" x14ac:dyDescent="0.2">
      <c r="B263" s="4125"/>
      <c r="C263" s="2632" t="s">
        <v>699</v>
      </c>
      <c r="D263" s="2633" t="s">
        <v>698</v>
      </c>
      <c r="E263" s="2691">
        <v>806949843</v>
      </c>
      <c r="F263" s="257"/>
      <c r="G263" s="347"/>
      <c r="H263" s="348"/>
      <c r="I263" s="278">
        <f t="shared" si="34"/>
        <v>806949843</v>
      </c>
      <c r="J263" s="348"/>
      <c r="K263" s="348"/>
      <c r="L263" s="277"/>
      <c r="M263" s="374"/>
      <c r="N263" s="2620"/>
      <c r="O263" s="2620"/>
      <c r="P263" s="277"/>
      <c r="Q263" s="2634"/>
      <c r="R263" s="2620"/>
      <c r="S263" s="2620"/>
      <c r="T263" s="2715"/>
      <c r="U263" s="347"/>
      <c r="V263" s="2620"/>
      <c r="W263" s="2620"/>
      <c r="X263" s="277"/>
      <c r="Y263" s="277"/>
      <c r="Z263" s="277"/>
      <c r="AA263" s="277"/>
      <c r="AB263" s="2620">
        <f t="shared" si="35"/>
        <v>806949843</v>
      </c>
    </row>
    <row r="264" spans="2:30" ht="22.9" customHeight="1" x14ac:dyDescent="0.2">
      <c r="B264" s="4125"/>
      <c r="C264" s="2632" t="s">
        <v>701</v>
      </c>
      <c r="D264" s="2633" t="s">
        <v>700</v>
      </c>
      <c r="E264" s="2691">
        <v>3148941511</v>
      </c>
      <c r="F264" s="257"/>
      <c r="G264" s="347"/>
      <c r="H264" s="348"/>
      <c r="I264" s="278">
        <f t="shared" si="34"/>
        <v>3148941511</v>
      </c>
      <c r="J264" s="348"/>
      <c r="K264" s="348"/>
      <c r="L264" s="277"/>
      <c r="M264" s="374"/>
      <c r="N264" s="2620"/>
      <c r="O264" s="2620"/>
      <c r="P264" s="277"/>
      <c r="Q264" s="2634"/>
      <c r="R264" s="2620"/>
      <c r="S264" s="2620"/>
      <c r="T264" s="2715"/>
      <c r="U264" s="347"/>
      <c r="V264" s="2620"/>
      <c r="W264" s="2620"/>
      <c r="X264" s="277"/>
      <c r="Y264" s="277"/>
      <c r="Z264" s="277"/>
      <c r="AA264" s="277"/>
      <c r="AB264" s="2620">
        <f t="shared" si="35"/>
        <v>3148941511</v>
      </c>
    </row>
    <row r="265" spans="2:30" ht="22.9" customHeight="1" x14ac:dyDescent="0.2">
      <c r="B265" s="4125"/>
      <c r="C265" s="2632" t="s">
        <v>806</v>
      </c>
      <c r="D265" s="2633" t="s">
        <v>678</v>
      </c>
      <c r="E265" s="2691">
        <v>3002598183</v>
      </c>
      <c r="F265" s="257"/>
      <c r="G265" s="347"/>
      <c r="H265" s="348"/>
      <c r="I265" s="278">
        <f t="shared" si="34"/>
        <v>3002598183</v>
      </c>
      <c r="J265" s="348"/>
      <c r="K265" s="348"/>
      <c r="L265" s="277"/>
      <c r="M265" s="374"/>
      <c r="N265" s="2620"/>
      <c r="O265" s="2620"/>
      <c r="P265" s="277"/>
      <c r="Q265" s="2634"/>
      <c r="R265" s="2620"/>
      <c r="S265" s="2620"/>
      <c r="T265" s="2715"/>
      <c r="U265" s="347"/>
      <c r="V265" s="2620"/>
      <c r="W265" s="2620"/>
      <c r="X265" s="277"/>
      <c r="Y265" s="277"/>
      <c r="Z265" s="277"/>
      <c r="AA265" s="277"/>
      <c r="AB265" s="2620">
        <f t="shared" si="35"/>
        <v>3002598183</v>
      </c>
    </row>
    <row r="266" spans="2:30" ht="22.9" customHeight="1" x14ac:dyDescent="0.2">
      <c r="B266" s="4125"/>
      <c r="C266" s="2632" t="s">
        <v>703</v>
      </c>
      <c r="D266" s="2633" t="s">
        <v>702</v>
      </c>
      <c r="E266" s="2691">
        <v>643000000</v>
      </c>
      <c r="F266" s="257"/>
      <c r="G266" s="347"/>
      <c r="H266" s="348"/>
      <c r="I266" s="278">
        <f t="shared" si="34"/>
        <v>643000000</v>
      </c>
      <c r="J266" s="348"/>
      <c r="K266" s="348"/>
      <c r="L266" s="277"/>
      <c r="M266" s="374"/>
      <c r="N266" s="2620"/>
      <c r="O266" s="2620"/>
      <c r="P266" s="277"/>
      <c r="Q266" s="2634"/>
      <c r="R266" s="2620"/>
      <c r="S266" s="2620"/>
      <c r="T266" s="2715"/>
      <c r="U266" s="347"/>
      <c r="V266" s="2620"/>
      <c r="W266" s="2620"/>
      <c r="X266" s="277"/>
      <c r="Y266" s="277"/>
      <c r="Z266" s="277"/>
      <c r="AA266" s="277"/>
      <c r="AB266" s="2620">
        <f t="shared" si="35"/>
        <v>643000000</v>
      </c>
    </row>
    <row r="267" spans="2:30" ht="22.9" customHeight="1" x14ac:dyDescent="0.2">
      <c r="B267" s="4125"/>
      <c r="C267" s="2632" t="s">
        <v>705</v>
      </c>
      <c r="D267" s="2633" t="s">
        <v>704</v>
      </c>
      <c r="E267" s="2691">
        <v>8712120310</v>
      </c>
      <c r="F267" s="257"/>
      <c r="G267" s="347"/>
      <c r="H267" s="348"/>
      <c r="I267" s="278">
        <f t="shared" si="34"/>
        <v>8712120310</v>
      </c>
      <c r="J267" s="348"/>
      <c r="K267" s="348"/>
      <c r="L267" s="277"/>
      <c r="M267" s="374"/>
      <c r="N267" s="2620">
        <f>J267+L267+M267+K267</f>
        <v>0</v>
      </c>
      <c r="O267" s="2620"/>
      <c r="P267" s="277"/>
      <c r="Q267" s="2634"/>
      <c r="R267" s="2620"/>
      <c r="S267" s="2620"/>
      <c r="T267" s="2715">
        <f>-K267</f>
        <v>0</v>
      </c>
      <c r="U267" s="347"/>
      <c r="V267" s="2620"/>
      <c r="W267" s="2620"/>
      <c r="X267" s="277"/>
      <c r="Y267" s="277"/>
      <c r="Z267" s="277"/>
      <c r="AA267" s="277"/>
      <c r="AB267" s="2620">
        <f t="shared" si="35"/>
        <v>8712120310</v>
      </c>
    </row>
    <row r="268" spans="2:30" ht="22.9" customHeight="1" x14ac:dyDescent="0.2">
      <c r="B268" s="4125"/>
      <c r="C268" s="4112" t="s">
        <v>94</v>
      </c>
      <c r="D268" s="4112"/>
      <c r="E268" s="2691">
        <f>SUM(E248:E267)</f>
        <v>47957272759628</v>
      </c>
      <c r="F268" s="2691">
        <f t="shared" ref="F268:AB268" si="36">SUM(F248:F267)</f>
        <v>137242313107</v>
      </c>
      <c r="G268" s="2691">
        <f t="shared" si="36"/>
        <v>10000256000000</v>
      </c>
      <c r="H268" s="2691">
        <f t="shared" si="36"/>
        <v>339796800</v>
      </c>
      <c r="I268" s="2691">
        <f t="shared" si="36"/>
        <v>47957612556428</v>
      </c>
      <c r="J268" s="2691">
        <f t="shared" si="36"/>
        <v>271500000000</v>
      </c>
      <c r="K268" s="2691">
        <f t="shared" si="36"/>
        <v>537208000000</v>
      </c>
      <c r="L268" s="2691">
        <f t="shared" si="36"/>
        <v>0</v>
      </c>
      <c r="M268" s="2691">
        <f t="shared" si="36"/>
        <v>0</v>
      </c>
      <c r="N268" s="2691">
        <f t="shared" si="36"/>
        <v>1647610000000</v>
      </c>
      <c r="O268" s="2691">
        <f t="shared" si="36"/>
        <v>9801019000000</v>
      </c>
      <c r="P268" s="2691">
        <f t="shared" si="36"/>
        <v>-1582060020</v>
      </c>
      <c r="Q268" s="2691">
        <f t="shared" si="36"/>
        <v>0</v>
      </c>
      <c r="R268" s="2691">
        <f t="shared" si="36"/>
        <v>0</v>
      </c>
      <c r="S268" s="2691">
        <f t="shared" si="36"/>
        <v>0</v>
      </c>
      <c r="T268" s="2691">
        <f t="shared" si="36"/>
        <v>-364939000000</v>
      </c>
      <c r="U268" s="2691">
        <f t="shared" si="36"/>
        <v>214138000000</v>
      </c>
      <c r="V268" s="2691">
        <f t="shared" si="36"/>
        <v>777870980000</v>
      </c>
      <c r="W268" s="2691">
        <f t="shared" si="36"/>
        <v>-196044000000</v>
      </c>
      <c r="X268" s="2691">
        <f t="shared" si="36"/>
        <v>0</v>
      </c>
      <c r="Y268" s="2691" t="e">
        <f t="shared" si="36"/>
        <v>#N/A</v>
      </c>
      <c r="Z268" s="2691" t="e">
        <f t="shared" si="36"/>
        <v>#N/A</v>
      </c>
      <c r="AA268" s="2691">
        <f t="shared" si="36"/>
        <v>0</v>
      </c>
      <c r="AB268" s="2691">
        <f t="shared" si="36"/>
        <v>59835685476408</v>
      </c>
      <c r="AD268" s="2603">
        <f>I268+W268+V268+U268+T268+P268+O268+N268</f>
        <v>59835685476408</v>
      </c>
    </row>
    <row r="269" spans="2:30" ht="18" customHeight="1" x14ac:dyDescent="0.2">
      <c r="B269" s="2653"/>
      <c r="C269" s="2616"/>
      <c r="D269" s="2616"/>
      <c r="E269" s="2654"/>
      <c r="F269" s="2667"/>
      <c r="G269" s="2667"/>
      <c r="H269" s="2667"/>
      <c r="I269" s="2667"/>
      <c r="J269" s="2667"/>
      <c r="K269" s="2667"/>
      <c r="L269" s="2667"/>
      <c r="M269" s="2667"/>
      <c r="N269" s="2667"/>
      <c r="O269" s="2667"/>
      <c r="P269" s="2667"/>
      <c r="Q269" s="2667"/>
      <c r="R269" s="2667"/>
      <c r="S269" s="2667"/>
      <c r="T269" s="2667"/>
      <c r="U269" s="2667"/>
      <c r="V269" s="2667"/>
      <c r="W269" s="2667"/>
      <c r="X269" s="2667"/>
      <c r="Y269" s="2667"/>
      <c r="Z269" s="2667"/>
      <c r="AA269" s="2667"/>
      <c r="AB269" s="2667"/>
    </row>
    <row r="270" spans="2:30" ht="18" customHeight="1" x14ac:dyDescent="0.2">
      <c r="B270" s="2653"/>
      <c r="C270" s="2616"/>
      <c r="D270" s="2616"/>
      <c r="E270" s="2654"/>
      <c r="F270" s="2667"/>
      <c r="G270" s="2667"/>
      <c r="H270" s="2667"/>
      <c r="I270" s="2667"/>
      <c r="J270" s="2667"/>
      <c r="K270" s="2667"/>
      <c r="L270" s="2667"/>
      <c r="M270" s="2667"/>
      <c r="N270" s="2667"/>
      <c r="O270" s="2667"/>
      <c r="P270" s="2667"/>
      <c r="Q270" s="2667"/>
      <c r="R270" s="2667"/>
      <c r="S270" s="2667"/>
      <c r="T270" s="2667"/>
      <c r="U270" s="2667"/>
      <c r="V270" s="2667"/>
      <c r="W270" s="2667"/>
      <c r="X270" s="2667"/>
      <c r="Y270" s="2667"/>
      <c r="Z270" s="2667"/>
      <c r="AA270" s="2667"/>
      <c r="AB270" s="2667"/>
    </row>
    <row r="271" spans="2:30" ht="15.6" customHeight="1" x14ac:dyDescent="0.2">
      <c r="B271" s="2653"/>
      <c r="C271" s="4141">
        <v>99</v>
      </c>
      <c r="D271" s="4141"/>
      <c r="E271" s="4141"/>
      <c r="F271" s="4141"/>
      <c r="G271" s="4141"/>
      <c r="H271" s="4141"/>
      <c r="I271" s="4141"/>
      <c r="J271" s="4141"/>
      <c r="K271" s="4141"/>
      <c r="L271" s="4141"/>
      <c r="M271" s="4141"/>
      <c r="N271" s="4141"/>
      <c r="O271" s="4141"/>
      <c r="P271" s="4141"/>
      <c r="Q271" s="4141"/>
      <c r="R271" s="4141"/>
      <c r="S271" s="4141"/>
      <c r="T271" s="4141"/>
      <c r="U271" s="4141"/>
      <c r="V271" s="4141"/>
      <c r="W271" s="4141"/>
      <c r="X271" s="4141"/>
      <c r="Y271" s="4141"/>
      <c r="Z271" s="4141"/>
      <c r="AA271" s="4141"/>
      <c r="AB271" s="4141"/>
      <c r="AC271" s="4141"/>
    </row>
    <row r="272" spans="2:30" ht="21.6" customHeight="1" x14ac:dyDescent="0.2">
      <c r="B272" s="4108" t="s">
        <v>295</v>
      </c>
      <c r="C272" s="4108"/>
      <c r="D272" s="4108"/>
      <c r="E272" s="4108"/>
      <c r="F272" s="4108"/>
      <c r="G272" s="4108"/>
      <c r="H272" s="4108"/>
      <c r="I272" s="4108"/>
      <c r="J272" s="4108"/>
      <c r="K272" s="4108"/>
      <c r="L272" s="4108"/>
      <c r="M272" s="4108"/>
      <c r="N272" s="4108"/>
      <c r="O272" s="4108"/>
      <c r="P272" s="4108"/>
      <c r="Q272" s="4108"/>
      <c r="R272" s="4108"/>
      <c r="S272" s="4108"/>
      <c r="T272" s="4108"/>
      <c r="U272" s="4108"/>
      <c r="V272" s="4108"/>
      <c r="W272" s="4108"/>
      <c r="X272" s="4108"/>
      <c r="Y272" s="4108"/>
      <c r="Z272" s="4108"/>
      <c r="AA272" s="4108"/>
      <c r="AB272" s="4108"/>
      <c r="AC272" s="1894"/>
    </row>
    <row r="273" spans="2:29" ht="21.6" customHeight="1" x14ac:dyDescent="0.2">
      <c r="B273" s="4108" t="s">
        <v>45</v>
      </c>
      <c r="C273" s="4108"/>
      <c r="D273" s="4108"/>
      <c r="E273" s="4108"/>
      <c r="F273" s="4108"/>
      <c r="G273" s="4108"/>
      <c r="H273" s="4108"/>
      <c r="I273" s="4108"/>
      <c r="J273" s="4108"/>
      <c r="K273" s="4108"/>
      <c r="L273" s="4108"/>
      <c r="M273" s="4108"/>
      <c r="N273" s="4108"/>
      <c r="O273" s="4108"/>
      <c r="P273" s="4108"/>
      <c r="Q273" s="4108"/>
      <c r="R273" s="4108"/>
      <c r="S273" s="4108"/>
      <c r="T273" s="4108"/>
      <c r="U273" s="4108"/>
      <c r="V273" s="4108"/>
      <c r="W273" s="4108"/>
      <c r="X273" s="4108"/>
      <c r="Y273" s="4108"/>
      <c r="Z273" s="4108"/>
      <c r="AA273" s="4108"/>
      <c r="AB273" s="4108"/>
      <c r="AC273" s="1894"/>
    </row>
    <row r="274" spans="2:29" ht="21.6" customHeight="1" x14ac:dyDescent="0.2">
      <c r="B274" s="4108" t="s">
        <v>46</v>
      </c>
      <c r="C274" s="4108"/>
      <c r="D274" s="4108"/>
      <c r="E274" s="4108"/>
      <c r="F274" s="4108"/>
      <c r="G274" s="4108"/>
      <c r="H274" s="4108"/>
      <c r="I274" s="4108"/>
      <c r="J274" s="4108"/>
      <c r="K274" s="4108"/>
      <c r="L274" s="4108"/>
      <c r="M274" s="4108"/>
      <c r="N274" s="4108"/>
      <c r="O274" s="4108"/>
      <c r="P274" s="4108"/>
      <c r="Q274" s="4108"/>
      <c r="R274" s="4108"/>
      <c r="S274" s="4108"/>
      <c r="T274" s="4108"/>
      <c r="U274" s="4108"/>
      <c r="V274" s="4108"/>
      <c r="W274" s="4108"/>
      <c r="X274" s="4108"/>
      <c r="Y274" s="4108"/>
      <c r="Z274" s="4108"/>
      <c r="AA274" s="4108"/>
      <c r="AB274" s="4108"/>
      <c r="AC274" s="1894"/>
    </row>
    <row r="275" spans="2:29" ht="21.6" customHeight="1" x14ac:dyDescent="0.2">
      <c r="B275" s="3294" t="s">
        <v>1981</v>
      </c>
      <c r="C275" s="3294"/>
      <c r="D275" s="3294"/>
      <c r="E275" s="3294"/>
      <c r="F275" s="3294"/>
      <c r="G275" s="3294"/>
      <c r="H275" s="3294"/>
      <c r="I275" s="3294"/>
      <c r="J275" s="3294"/>
      <c r="K275" s="3294"/>
      <c r="L275" s="3294"/>
      <c r="M275" s="3294"/>
      <c r="N275" s="3294"/>
      <c r="O275" s="3294"/>
      <c r="P275" s="3294"/>
      <c r="Q275" s="3294"/>
      <c r="R275" s="3294"/>
      <c r="S275" s="3294"/>
      <c r="T275" s="3294"/>
      <c r="U275" s="3294"/>
      <c r="V275" s="3294"/>
      <c r="W275" s="3294"/>
      <c r="X275" s="3294"/>
      <c r="Y275" s="3294"/>
      <c r="Z275" s="3294"/>
      <c r="AA275" s="3294"/>
      <c r="AB275" s="3294"/>
      <c r="AC275" s="1853"/>
    </row>
    <row r="276" spans="2:29" ht="21.6" customHeight="1" x14ac:dyDescent="0.2">
      <c r="B276" s="1722"/>
      <c r="C276" s="1722"/>
      <c r="D276" s="1722"/>
      <c r="E276" s="1722"/>
      <c r="F276" s="1722"/>
      <c r="G276" s="1722"/>
      <c r="H276" s="1722"/>
      <c r="I276" s="1722"/>
      <c r="J276" s="1722"/>
      <c r="K276" s="1722"/>
      <c r="L276" s="1722"/>
      <c r="M276" s="1722"/>
      <c r="N276" s="1722"/>
      <c r="O276" s="1722"/>
      <c r="P276" s="1722"/>
      <c r="Q276" s="1722"/>
      <c r="R276" s="1722"/>
      <c r="S276" s="1722"/>
      <c r="T276" s="1722"/>
      <c r="U276" s="1722"/>
      <c r="V276" s="1722"/>
      <c r="W276" s="1722"/>
      <c r="X276" s="1722"/>
      <c r="Y276" s="1722"/>
      <c r="Z276" s="1722"/>
      <c r="AA276" s="1722"/>
      <c r="AB276" s="1722"/>
      <c r="AC276" s="1853"/>
    </row>
    <row r="277" spans="2:29" ht="21.6" customHeight="1" x14ac:dyDescent="0.2">
      <c r="B277" s="1722"/>
      <c r="C277" s="1722"/>
      <c r="D277" s="1722"/>
      <c r="E277" s="1722"/>
      <c r="F277" s="1722"/>
      <c r="G277" s="1722"/>
      <c r="H277" s="1722"/>
      <c r="I277" s="1722"/>
      <c r="J277" s="1722"/>
      <c r="K277" s="1722"/>
      <c r="L277" s="1722"/>
      <c r="M277" s="1722"/>
      <c r="N277" s="1722"/>
      <c r="O277" s="1722"/>
      <c r="P277" s="1722"/>
      <c r="Q277" s="1722"/>
      <c r="R277" s="1722"/>
      <c r="S277" s="1722"/>
      <c r="T277" s="1722"/>
      <c r="U277" s="1722"/>
      <c r="V277" s="1722"/>
      <c r="W277" s="1722"/>
      <c r="X277" s="1722"/>
      <c r="Y277" s="1722"/>
      <c r="Z277" s="1722"/>
      <c r="AA277" s="1722"/>
      <c r="AB277" s="1722"/>
      <c r="AC277" s="1853"/>
    </row>
    <row r="278" spans="2:29" ht="21.6" customHeight="1" x14ac:dyDescent="0.2">
      <c r="B278" s="4110" t="s">
        <v>1848</v>
      </c>
      <c r="C278" s="4110"/>
      <c r="D278" s="4110"/>
      <c r="E278" s="2656"/>
      <c r="F278" s="2657"/>
      <c r="G278" s="2658"/>
      <c r="H278" s="2658"/>
      <c r="I278" s="2658"/>
      <c r="J278" s="2658"/>
      <c r="K278" s="2658"/>
      <c r="L278" s="2658"/>
      <c r="M278" s="2658"/>
      <c r="N278" s="2658"/>
      <c r="O278" s="2658"/>
      <c r="P278" s="2658"/>
      <c r="Q278" s="2658"/>
      <c r="R278" s="2658"/>
      <c r="S278" s="2658"/>
      <c r="T278" s="2658"/>
      <c r="U278" s="2658"/>
      <c r="V278" s="2658"/>
      <c r="W278" s="2658"/>
      <c r="X278" s="104"/>
      <c r="Y278" s="104"/>
      <c r="Z278" s="104"/>
      <c r="AA278" s="104"/>
      <c r="AB278" s="2608" t="s">
        <v>194</v>
      </c>
    </row>
    <row r="279" spans="2:29" ht="48" customHeight="1" x14ac:dyDescent="0.2">
      <c r="B279" s="4112" t="s">
        <v>419</v>
      </c>
      <c r="C279" s="4117" t="s">
        <v>196</v>
      </c>
      <c r="D279" s="4124" t="s">
        <v>197</v>
      </c>
      <c r="E279" s="4111" t="s">
        <v>1400</v>
      </c>
      <c r="F279" s="2609"/>
      <c r="G279" s="4111" t="s">
        <v>921</v>
      </c>
      <c r="H279" s="4118" t="s">
        <v>1116</v>
      </c>
      <c r="I279" s="4118" t="s">
        <v>1271</v>
      </c>
      <c r="J279" s="4135" t="s">
        <v>1272</v>
      </c>
      <c r="K279" s="4136"/>
      <c r="L279" s="4136"/>
      <c r="M279" s="4136"/>
      <c r="N279" s="4136"/>
      <c r="O279" s="4137"/>
      <c r="P279" s="4113" t="s">
        <v>423</v>
      </c>
      <c r="Q279" s="4115" t="s">
        <v>827</v>
      </c>
      <c r="R279" s="4115" t="s">
        <v>888</v>
      </c>
      <c r="S279" s="4115"/>
      <c r="T279" s="4114" t="s">
        <v>2015</v>
      </c>
      <c r="U279" s="4121" t="s">
        <v>1274</v>
      </c>
      <c r="V279" s="4121" t="s">
        <v>2016</v>
      </c>
      <c r="W279" s="4116" t="s">
        <v>1033</v>
      </c>
      <c r="X279" s="2610"/>
      <c r="Y279" s="4127" t="s">
        <v>296</v>
      </c>
      <c r="Z279" s="4127" t="s">
        <v>190</v>
      </c>
      <c r="AA279" s="4129" t="s">
        <v>313</v>
      </c>
      <c r="AB279" s="4111" t="s">
        <v>2013</v>
      </c>
      <c r="AC279" s="2689"/>
    </row>
    <row r="280" spans="2:29" ht="55.9" customHeight="1" x14ac:dyDescent="0.2">
      <c r="B280" s="4112"/>
      <c r="C280" s="4117"/>
      <c r="D280" s="4124"/>
      <c r="E280" s="4111"/>
      <c r="F280" s="2609"/>
      <c r="G280" s="4111"/>
      <c r="H280" s="4119"/>
      <c r="I280" s="4119"/>
      <c r="J280" s="4138"/>
      <c r="K280" s="4139"/>
      <c r="L280" s="4139"/>
      <c r="M280" s="4139"/>
      <c r="N280" s="4139"/>
      <c r="O280" s="4140"/>
      <c r="P280" s="4113"/>
      <c r="Q280" s="4115"/>
      <c r="R280" s="4109" t="s">
        <v>889</v>
      </c>
      <c r="S280" s="4109" t="s">
        <v>890</v>
      </c>
      <c r="T280" s="4114"/>
      <c r="U280" s="4122"/>
      <c r="V280" s="4122"/>
      <c r="W280" s="4116"/>
      <c r="X280" s="2611"/>
      <c r="Y280" s="4127"/>
      <c r="Z280" s="4127"/>
      <c r="AA280" s="4130"/>
      <c r="AB280" s="4111"/>
      <c r="AC280" s="2689"/>
    </row>
    <row r="281" spans="2:29" ht="64.150000000000006" customHeight="1" x14ac:dyDescent="0.2">
      <c r="B281" s="4112"/>
      <c r="C281" s="4117"/>
      <c r="D281" s="4124"/>
      <c r="E281" s="4111"/>
      <c r="F281" s="2612" t="s">
        <v>421</v>
      </c>
      <c r="G281" s="2613" t="s">
        <v>27</v>
      </c>
      <c r="H281" s="4120"/>
      <c r="I281" s="4120"/>
      <c r="J281" s="2614" t="s">
        <v>1273</v>
      </c>
      <c r="K281" s="2614" t="s">
        <v>1292</v>
      </c>
      <c r="L281" s="2612" t="s">
        <v>999</v>
      </c>
      <c r="M281" s="2612" t="s">
        <v>422</v>
      </c>
      <c r="N281" s="2612" t="s">
        <v>2014</v>
      </c>
      <c r="O281" s="2615" t="s">
        <v>1794</v>
      </c>
      <c r="P281" s="4113"/>
      <c r="Q281" s="4115"/>
      <c r="R281" s="4109"/>
      <c r="S281" s="4109"/>
      <c r="T281" s="4114"/>
      <c r="U281" s="4123"/>
      <c r="V281" s="4123"/>
      <c r="W281" s="4116"/>
      <c r="X281" s="373" t="s">
        <v>62</v>
      </c>
      <c r="Y281" s="4127"/>
      <c r="Z281" s="4127"/>
      <c r="AA281" s="4131"/>
      <c r="AB281" s="4111"/>
      <c r="AC281" s="2689"/>
    </row>
    <row r="282" spans="2:29" ht="21.6" customHeight="1" x14ac:dyDescent="0.2">
      <c r="B282" s="4125" t="s">
        <v>180</v>
      </c>
      <c r="C282" s="4126" t="s">
        <v>181</v>
      </c>
      <c r="D282" s="4126"/>
      <c r="E282" s="2691">
        <f>E268</f>
        <v>47957272759628</v>
      </c>
      <c r="F282" s="2691">
        <f t="shared" ref="F282:AB282" si="37">F268</f>
        <v>137242313107</v>
      </c>
      <c r="G282" s="2691">
        <f t="shared" si="37"/>
        <v>10000256000000</v>
      </c>
      <c r="H282" s="2691">
        <f t="shared" si="37"/>
        <v>339796800</v>
      </c>
      <c r="I282" s="2691">
        <f t="shared" si="37"/>
        <v>47957612556428</v>
      </c>
      <c r="J282" s="2691">
        <f t="shared" si="37"/>
        <v>271500000000</v>
      </c>
      <c r="K282" s="2691">
        <f t="shared" si="37"/>
        <v>537208000000</v>
      </c>
      <c r="L282" s="2691">
        <f t="shared" si="37"/>
        <v>0</v>
      </c>
      <c r="M282" s="2691">
        <f t="shared" si="37"/>
        <v>0</v>
      </c>
      <c r="N282" s="2691">
        <f t="shared" si="37"/>
        <v>1647610000000</v>
      </c>
      <c r="O282" s="2691">
        <f t="shared" si="37"/>
        <v>9801019000000</v>
      </c>
      <c r="P282" s="2691">
        <f t="shared" si="37"/>
        <v>-1582060020</v>
      </c>
      <c r="Q282" s="2691">
        <f t="shared" si="37"/>
        <v>0</v>
      </c>
      <c r="R282" s="2691">
        <f t="shared" si="37"/>
        <v>0</v>
      </c>
      <c r="S282" s="2691">
        <f t="shared" si="37"/>
        <v>0</v>
      </c>
      <c r="T282" s="2691">
        <f t="shared" si="37"/>
        <v>-364939000000</v>
      </c>
      <c r="U282" s="2691">
        <f t="shared" si="37"/>
        <v>214138000000</v>
      </c>
      <c r="V282" s="2691">
        <f t="shared" si="37"/>
        <v>777870980000</v>
      </c>
      <c r="W282" s="2691">
        <f t="shared" si="37"/>
        <v>-196044000000</v>
      </c>
      <c r="X282" s="2691">
        <f t="shared" si="37"/>
        <v>0</v>
      </c>
      <c r="Y282" s="2691" t="e">
        <f t="shared" si="37"/>
        <v>#N/A</v>
      </c>
      <c r="Z282" s="2691" t="e">
        <f t="shared" si="37"/>
        <v>#N/A</v>
      </c>
      <c r="AA282" s="2691">
        <f t="shared" si="37"/>
        <v>0</v>
      </c>
      <c r="AB282" s="2691">
        <f t="shared" si="37"/>
        <v>59835685476408</v>
      </c>
    </row>
    <row r="283" spans="2:29" ht="21.6" customHeight="1" x14ac:dyDescent="0.2">
      <c r="B283" s="4125"/>
      <c r="C283" s="2632" t="s">
        <v>807</v>
      </c>
      <c r="D283" s="2633" t="s">
        <v>679</v>
      </c>
      <c r="E283" s="2691">
        <v>477183627</v>
      </c>
      <c r="F283" s="257"/>
      <c r="G283" s="347"/>
      <c r="H283" s="348"/>
      <c r="I283" s="348">
        <f>E283+H283</f>
        <v>477183627</v>
      </c>
      <c r="J283" s="348"/>
      <c r="K283" s="348"/>
      <c r="L283" s="277"/>
      <c r="M283" s="277"/>
      <c r="N283" s="2620">
        <f>J283+L283+M283+K283</f>
        <v>0</v>
      </c>
      <c r="O283" s="2620"/>
      <c r="P283" s="277"/>
      <c r="Q283" s="2620"/>
      <c r="R283" s="2620"/>
      <c r="S283" s="2663"/>
      <c r="T283" s="347">
        <f>-K283</f>
        <v>0</v>
      </c>
      <c r="U283" s="347"/>
      <c r="V283" s="2620"/>
      <c r="W283" s="2620"/>
      <c r="X283" s="277"/>
      <c r="Y283" s="277"/>
      <c r="Z283" s="277"/>
      <c r="AA283" s="277"/>
      <c r="AB283" s="2620">
        <f t="shared" ref="AB283:AB304" si="38">P283+W283+S283+R283+Q283+N283+M283317+E283+V283+U283+O283+H283+T283+M283</f>
        <v>477183627</v>
      </c>
    </row>
    <row r="284" spans="2:29" ht="21.6" customHeight="1" x14ac:dyDescent="0.2">
      <c r="B284" s="4125"/>
      <c r="C284" s="2632" t="s">
        <v>665</v>
      </c>
      <c r="D284" s="2633" t="s">
        <v>706</v>
      </c>
      <c r="E284" s="2691">
        <v>35529302120</v>
      </c>
      <c r="F284" s="257"/>
      <c r="G284" s="347"/>
      <c r="H284" s="348"/>
      <c r="I284" s="348">
        <f t="shared" ref="I284:I304" si="39">E284+H284</f>
        <v>35529302120</v>
      </c>
      <c r="J284" s="348"/>
      <c r="K284" s="348"/>
      <c r="L284" s="277"/>
      <c r="M284" s="277"/>
      <c r="N284" s="2620">
        <f t="shared" ref="N284:N304" si="40">J284+L284+M284+K284</f>
        <v>0</v>
      </c>
      <c r="O284" s="2620"/>
      <c r="P284" s="277"/>
      <c r="Q284" s="2620"/>
      <c r="R284" s="2620"/>
      <c r="S284" s="2663"/>
      <c r="T284" s="347">
        <f t="shared" ref="T284:T304" si="41">-K284</f>
        <v>0</v>
      </c>
      <c r="U284" s="347"/>
      <c r="V284" s="2620"/>
      <c r="W284" s="2620"/>
      <c r="X284" s="277"/>
      <c r="Y284" s="277"/>
      <c r="Z284" s="277"/>
      <c r="AA284" s="277"/>
      <c r="AB284" s="2620">
        <f t="shared" si="38"/>
        <v>35529302120</v>
      </c>
    </row>
    <row r="285" spans="2:29" ht="21.6" customHeight="1" x14ac:dyDescent="0.2">
      <c r="B285" s="4125"/>
      <c r="C285" s="2632" t="s">
        <v>808</v>
      </c>
      <c r="D285" s="2633" t="s">
        <v>680</v>
      </c>
      <c r="E285" s="2691">
        <v>934156010</v>
      </c>
      <c r="F285" s="257"/>
      <c r="G285" s="347"/>
      <c r="H285" s="348"/>
      <c r="I285" s="348">
        <f t="shared" si="39"/>
        <v>934156010</v>
      </c>
      <c r="J285" s="348"/>
      <c r="K285" s="348"/>
      <c r="L285" s="277"/>
      <c r="M285" s="277"/>
      <c r="N285" s="2620">
        <f t="shared" si="40"/>
        <v>0</v>
      </c>
      <c r="O285" s="2620"/>
      <c r="P285" s="277"/>
      <c r="Q285" s="2620"/>
      <c r="R285" s="2620"/>
      <c r="S285" s="2663"/>
      <c r="T285" s="347">
        <f t="shared" si="41"/>
        <v>0</v>
      </c>
      <c r="U285" s="347"/>
      <c r="V285" s="2620"/>
      <c r="W285" s="2620"/>
      <c r="X285" s="277"/>
      <c r="Y285" s="277"/>
      <c r="Z285" s="277"/>
      <c r="AA285" s="277"/>
      <c r="AB285" s="2620">
        <f t="shared" si="38"/>
        <v>934156010</v>
      </c>
    </row>
    <row r="286" spans="2:29" ht="21.6" customHeight="1" x14ac:dyDescent="0.2">
      <c r="B286" s="4125"/>
      <c r="C286" s="2718" t="s">
        <v>707</v>
      </c>
      <c r="D286" s="2633" t="s">
        <v>704</v>
      </c>
      <c r="E286" s="2691">
        <v>29747304260</v>
      </c>
      <c r="F286" s="257"/>
      <c r="G286" s="347"/>
      <c r="H286" s="348"/>
      <c r="I286" s="348">
        <f t="shared" si="39"/>
        <v>29747304260</v>
      </c>
      <c r="J286" s="348"/>
      <c r="K286" s="348"/>
      <c r="L286" s="277"/>
      <c r="M286" s="277"/>
      <c r="N286" s="2620">
        <f t="shared" si="40"/>
        <v>0</v>
      </c>
      <c r="O286" s="2620"/>
      <c r="P286" s="277"/>
      <c r="Q286" s="2620"/>
      <c r="R286" s="2620"/>
      <c r="S286" s="2663"/>
      <c r="T286" s="347">
        <f t="shared" si="41"/>
        <v>0</v>
      </c>
      <c r="U286" s="347"/>
      <c r="V286" s="2620"/>
      <c r="W286" s="2620"/>
      <c r="X286" s="277"/>
      <c r="Y286" s="277"/>
      <c r="Z286" s="277"/>
      <c r="AA286" s="277"/>
      <c r="AB286" s="2620">
        <f t="shared" si="38"/>
        <v>29747304260</v>
      </c>
    </row>
    <row r="287" spans="2:29" ht="21.6" customHeight="1" x14ac:dyDescent="0.2">
      <c r="B287" s="4125"/>
      <c r="C287" s="2718" t="s">
        <v>798</v>
      </c>
      <c r="D287" s="2633" t="s">
        <v>708</v>
      </c>
      <c r="E287" s="2691">
        <v>4614246885</v>
      </c>
      <c r="F287" s="257"/>
      <c r="G287" s="347"/>
      <c r="H287" s="348"/>
      <c r="I287" s="348">
        <f t="shared" si="39"/>
        <v>4614246885</v>
      </c>
      <c r="J287" s="348"/>
      <c r="K287" s="348"/>
      <c r="L287" s="277"/>
      <c r="M287" s="277"/>
      <c r="N287" s="2620">
        <f t="shared" si="40"/>
        <v>0</v>
      </c>
      <c r="O287" s="2620"/>
      <c r="P287" s="277"/>
      <c r="Q287" s="2620"/>
      <c r="R287" s="2620"/>
      <c r="S287" s="2663"/>
      <c r="T287" s="347">
        <f t="shared" si="41"/>
        <v>0</v>
      </c>
      <c r="U287" s="347"/>
      <c r="V287" s="2620"/>
      <c r="W287" s="2620"/>
      <c r="X287" s="277"/>
      <c r="Y287" s="277"/>
      <c r="Z287" s="277"/>
      <c r="AA287" s="277"/>
      <c r="AB287" s="2620">
        <f t="shared" si="38"/>
        <v>4614246885</v>
      </c>
    </row>
    <row r="288" spans="2:29" ht="21.6" customHeight="1" x14ac:dyDescent="0.2">
      <c r="B288" s="4125"/>
      <c r="C288" s="2718" t="s">
        <v>799</v>
      </c>
      <c r="D288" s="2633" t="s">
        <v>709</v>
      </c>
      <c r="E288" s="2691">
        <v>1000000000</v>
      </c>
      <c r="F288" s="257"/>
      <c r="G288" s="347"/>
      <c r="H288" s="348"/>
      <c r="I288" s="348">
        <f t="shared" si="39"/>
        <v>1000000000</v>
      </c>
      <c r="J288" s="348"/>
      <c r="K288" s="348"/>
      <c r="L288" s="277"/>
      <c r="M288" s="277"/>
      <c r="N288" s="2620">
        <f t="shared" si="40"/>
        <v>0</v>
      </c>
      <c r="O288" s="2620"/>
      <c r="P288" s="277"/>
      <c r="Q288" s="2620"/>
      <c r="R288" s="2620"/>
      <c r="S288" s="2663"/>
      <c r="T288" s="347">
        <f t="shared" si="41"/>
        <v>0</v>
      </c>
      <c r="U288" s="347"/>
      <c r="V288" s="2620"/>
      <c r="W288" s="2620"/>
      <c r="X288" s="277"/>
      <c r="Y288" s="277"/>
      <c r="Z288" s="277"/>
      <c r="AA288" s="277"/>
      <c r="AB288" s="2620">
        <f t="shared" si="38"/>
        <v>1000000000</v>
      </c>
    </row>
    <row r="289" spans="2:28" ht="21.6" customHeight="1" x14ac:dyDescent="0.2">
      <c r="B289" s="4125"/>
      <c r="C289" s="2718" t="s">
        <v>711</v>
      </c>
      <c r="D289" s="2633" t="s">
        <v>710</v>
      </c>
      <c r="E289" s="2691">
        <v>1299827532</v>
      </c>
      <c r="F289" s="257"/>
      <c r="G289" s="347"/>
      <c r="H289" s="348"/>
      <c r="I289" s="348">
        <f t="shared" si="39"/>
        <v>1299827532</v>
      </c>
      <c r="J289" s="348"/>
      <c r="K289" s="348"/>
      <c r="L289" s="277"/>
      <c r="M289" s="277"/>
      <c r="N289" s="2620">
        <f t="shared" si="40"/>
        <v>0</v>
      </c>
      <c r="O289" s="2620"/>
      <c r="P289" s="277"/>
      <c r="Q289" s="2620"/>
      <c r="R289" s="2620"/>
      <c r="S289" s="2663"/>
      <c r="T289" s="347">
        <f t="shared" si="41"/>
        <v>0</v>
      </c>
      <c r="U289" s="347"/>
      <c r="V289" s="2620"/>
      <c r="W289" s="2620"/>
      <c r="X289" s="277"/>
      <c r="Y289" s="277"/>
      <c r="Z289" s="277"/>
      <c r="AA289" s="277"/>
      <c r="AB289" s="2620">
        <f t="shared" si="38"/>
        <v>1299827532</v>
      </c>
    </row>
    <row r="290" spans="2:28" ht="21.6" customHeight="1" x14ac:dyDescent="0.2">
      <c r="B290" s="4125"/>
      <c r="C290" s="2718" t="s">
        <v>713</v>
      </c>
      <c r="D290" s="2633" t="s">
        <v>712</v>
      </c>
      <c r="E290" s="2691">
        <v>1259715552</v>
      </c>
      <c r="F290" s="257"/>
      <c r="G290" s="347"/>
      <c r="H290" s="348"/>
      <c r="I290" s="348">
        <f t="shared" si="39"/>
        <v>1259715552</v>
      </c>
      <c r="J290" s="348"/>
      <c r="K290" s="348"/>
      <c r="L290" s="277"/>
      <c r="M290" s="277"/>
      <c r="N290" s="2620">
        <f t="shared" si="40"/>
        <v>0</v>
      </c>
      <c r="O290" s="2620"/>
      <c r="P290" s="277"/>
      <c r="Q290" s="2620"/>
      <c r="R290" s="2620"/>
      <c r="S290" s="2663"/>
      <c r="T290" s="347">
        <f t="shared" si="41"/>
        <v>0</v>
      </c>
      <c r="U290" s="347"/>
      <c r="V290" s="2620"/>
      <c r="W290" s="2620"/>
      <c r="X290" s="277"/>
      <c r="Y290" s="277"/>
      <c r="Z290" s="277"/>
      <c r="AA290" s="277"/>
      <c r="AB290" s="2620">
        <f t="shared" si="38"/>
        <v>1259715552</v>
      </c>
    </row>
    <row r="291" spans="2:28" ht="21.6" customHeight="1" x14ac:dyDescent="0.2">
      <c r="B291" s="4125"/>
      <c r="C291" s="2718" t="s">
        <v>714</v>
      </c>
      <c r="D291" s="2633" t="s">
        <v>712</v>
      </c>
      <c r="E291" s="2691">
        <v>3191408380</v>
      </c>
      <c r="F291" s="257"/>
      <c r="G291" s="347"/>
      <c r="H291" s="348"/>
      <c r="I291" s="348">
        <f t="shared" si="39"/>
        <v>3191408380</v>
      </c>
      <c r="J291" s="348"/>
      <c r="K291" s="348"/>
      <c r="L291" s="277"/>
      <c r="M291" s="277"/>
      <c r="N291" s="2620">
        <f t="shared" si="40"/>
        <v>0</v>
      </c>
      <c r="O291" s="2620"/>
      <c r="P291" s="277"/>
      <c r="Q291" s="2620"/>
      <c r="R291" s="2620"/>
      <c r="S291" s="2663"/>
      <c r="T291" s="347">
        <f t="shared" si="41"/>
        <v>0</v>
      </c>
      <c r="U291" s="347"/>
      <c r="V291" s="2620"/>
      <c r="W291" s="2620"/>
      <c r="X291" s="277"/>
      <c r="Y291" s="277"/>
      <c r="Z291" s="277"/>
      <c r="AA291" s="277"/>
      <c r="AB291" s="2620">
        <f t="shared" si="38"/>
        <v>3191408380</v>
      </c>
    </row>
    <row r="292" spans="2:28" ht="21.6" customHeight="1" x14ac:dyDescent="0.2">
      <c r="B292" s="4125"/>
      <c r="C292" s="2718" t="s">
        <v>715</v>
      </c>
      <c r="D292" s="2633" t="s">
        <v>922</v>
      </c>
      <c r="E292" s="2691">
        <v>4851165544</v>
      </c>
      <c r="F292" s="257"/>
      <c r="G292" s="347"/>
      <c r="H292" s="348"/>
      <c r="I292" s="348">
        <f t="shared" si="39"/>
        <v>4851165544</v>
      </c>
      <c r="J292" s="348"/>
      <c r="K292" s="348"/>
      <c r="L292" s="277"/>
      <c r="M292" s="277"/>
      <c r="N292" s="2620">
        <f t="shared" si="40"/>
        <v>0</v>
      </c>
      <c r="O292" s="2620"/>
      <c r="P292" s="277"/>
      <c r="Q292" s="2620"/>
      <c r="R292" s="2620"/>
      <c r="S292" s="2663"/>
      <c r="T292" s="347">
        <f t="shared" si="41"/>
        <v>0</v>
      </c>
      <c r="U292" s="347"/>
      <c r="V292" s="2620"/>
      <c r="W292" s="2620"/>
      <c r="X292" s="277"/>
      <c r="Y292" s="277"/>
      <c r="Z292" s="277"/>
      <c r="AA292" s="277"/>
      <c r="AB292" s="2620">
        <f t="shared" si="38"/>
        <v>4851165544</v>
      </c>
    </row>
    <row r="293" spans="2:28" ht="21.6" customHeight="1" x14ac:dyDescent="0.2">
      <c r="B293" s="4125"/>
      <c r="C293" s="2718" t="s">
        <v>789</v>
      </c>
      <c r="D293" s="2633" t="s">
        <v>716</v>
      </c>
      <c r="E293" s="2691">
        <v>2338904097</v>
      </c>
      <c r="F293" s="303"/>
      <c r="G293" s="349"/>
      <c r="H293" s="350"/>
      <c r="I293" s="348">
        <f t="shared" si="39"/>
        <v>2338904097</v>
      </c>
      <c r="J293" s="350"/>
      <c r="K293" s="350"/>
      <c r="L293" s="307"/>
      <c r="M293" s="307"/>
      <c r="N293" s="2620">
        <f t="shared" si="40"/>
        <v>0</v>
      </c>
      <c r="O293" s="2620"/>
      <c r="P293" s="277"/>
      <c r="Q293" s="2692"/>
      <c r="R293" s="2692"/>
      <c r="S293" s="2719"/>
      <c r="T293" s="347">
        <f t="shared" si="41"/>
        <v>0</v>
      </c>
      <c r="U293" s="347"/>
      <c r="V293" s="2620"/>
      <c r="W293" s="2620"/>
      <c r="X293" s="277"/>
      <c r="Y293" s="277"/>
      <c r="Z293" s="277"/>
      <c r="AA293" s="277"/>
      <c r="AB293" s="2620">
        <f t="shared" si="38"/>
        <v>2338904097</v>
      </c>
    </row>
    <row r="294" spans="2:28" ht="21.6" customHeight="1" x14ac:dyDescent="0.2">
      <c r="B294" s="4125"/>
      <c r="C294" s="2718" t="s">
        <v>790</v>
      </c>
      <c r="D294" s="2633" t="s">
        <v>717</v>
      </c>
      <c r="E294" s="2691">
        <v>13348975603</v>
      </c>
      <c r="F294" s="257"/>
      <c r="G294" s="347"/>
      <c r="H294" s="347"/>
      <c r="I294" s="348">
        <f t="shared" si="39"/>
        <v>13348975603</v>
      </c>
      <c r="J294" s="347"/>
      <c r="K294" s="347"/>
      <c r="L294" s="277"/>
      <c r="M294" s="277"/>
      <c r="N294" s="2620">
        <f t="shared" si="40"/>
        <v>0</v>
      </c>
      <c r="O294" s="2620"/>
      <c r="P294" s="277"/>
      <c r="Q294" s="2620"/>
      <c r="R294" s="2620"/>
      <c r="S294" s="2663"/>
      <c r="T294" s="347">
        <f t="shared" si="41"/>
        <v>0</v>
      </c>
      <c r="U294" s="347"/>
      <c r="V294" s="2620"/>
      <c r="W294" s="2620"/>
      <c r="X294" s="277"/>
      <c r="Y294" s="277"/>
      <c r="Z294" s="277"/>
      <c r="AA294" s="277"/>
      <c r="AB294" s="2620">
        <f t="shared" si="38"/>
        <v>13348975603</v>
      </c>
    </row>
    <row r="295" spans="2:28" ht="21.6" customHeight="1" x14ac:dyDescent="0.2">
      <c r="B295" s="4125"/>
      <c r="C295" s="2718" t="s">
        <v>791</v>
      </c>
      <c r="D295" s="2633" t="s">
        <v>681</v>
      </c>
      <c r="E295" s="2691">
        <v>5100000000</v>
      </c>
      <c r="F295" s="257"/>
      <c r="G295" s="347"/>
      <c r="H295" s="347"/>
      <c r="I295" s="348">
        <f t="shared" si="39"/>
        <v>5100000000</v>
      </c>
      <c r="J295" s="347"/>
      <c r="K295" s="347"/>
      <c r="L295" s="277"/>
      <c r="M295" s="277"/>
      <c r="N295" s="2620">
        <f t="shared" si="40"/>
        <v>0</v>
      </c>
      <c r="O295" s="2620"/>
      <c r="P295" s="277"/>
      <c r="Q295" s="2620"/>
      <c r="R295" s="2620"/>
      <c r="S295" s="2663"/>
      <c r="T295" s="347">
        <f t="shared" si="41"/>
        <v>0</v>
      </c>
      <c r="U295" s="347"/>
      <c r="V295" s="2620"/>
      <c r="W295" s="2620"/>
      <c r="X295" s="277"/>
      <c r="Y295" s="277"/>
      <c r="Z295" s="277"/>
      <c r="AA295" s="277"/>
      <c r="AB295" s="2620">
        <f t="shared" si="38"/>
        <v>5100000000</v>
      </c>
    </row>
    <row r="296" spans="2:28" ht="21.6" customHeight="1" x14ac:dyDescent="0.2">
      <c r="B296" s="4125"/>
      <c r="C296" s="2718" t="s">
        <v>792</v>
      </c>
      <c r="D296" s="2633" t="s">
        <v>718</v>
      </c>
      <c r="E296" s="2691">
        <v>5024269357</v>
      </c>
      <c r="F296" s="257"/>
      <c r="G296" s="347"/>
      <c r="H296" s="347"/>
      <c r="I296" s="348">
        <f t="shared" si="39"/>
        <v>5024269357</v>
      </c>
      <c r="J296" s="347"/>
      <c r="K296" s="347"/>
      <c r="L296" s="277"/>
      <c r="M296" s="277"/>
      <c r="N296" s="2620">
        <f t="shared" si="40"/>
        <v>0</v>
      </c>
      <c r="O296" s="2620"/>
      <c r="P296" s="277"/>
      <c r="Q296" s="2620"/>
      <c r="R296" s="2620"/>
      <c r="S296" s="2663"/>
      <c r="T296" s="347">
        <f t="shared" si="41"/>
        <v>0</v>
      </c>
      <c r="U296" s="347"/>
      <c r="V296" s="2620"/>
      <c r="W296" s="2620"/>
      <c r="X296" s="277"/>
      <c r="Y296" s="277"/>
      <c r="Z296" s="277"/>
      <c r="AA296" s="277"/>
      <c r="AB296" s="2620">
        <f t="shared" si="38"/>
        <v>5024269357</v>
      </c>
    </row>
    <row r="297" spans="2:28" ht="21.6" customHeight="1" x14ac:dyDescent="0.2">
      <c r="B297" s="4125"/>
      <c r="C297" s="2718" t="s">
        <v>793</v>
      </c>
      <c r="D297" s="2633" t="s">
        <v>719</v>
      </c>
      <c r="E297" s="2691">
        <v>6933280962</v>
      </c>
      <c r="F297" s="257"/>
      <c r="G297" s="347"/>
      <c r="H297" s="347"/>
      <c r="I297" s="348">
        <f t="shared" si="39"/>
        <v>6933280962</v>
      </c>
      <c r="J297" s="347"/>
      <c r="K297" s="347"/>
      <c r="L297" s="277"/>
      <c r="M297" s="277"/>
      <c r="N297" s="2620">
        <f t="shared" si="40"/>
        <v>0</v>
      </c>
      <c r="O297" s="2620"/>
      <c r="P297" s="277"/>
      <c r="Q297" s="2620"/>
      <c r="R297" s="2620"/>
      <c r="S297" s="2663"/>
      <c r="T297" s="347">
        <f t="shared" si="41"/>
        <v>0</v>
      </c>
      <c r="U297" s="347"/>
      <c r="V297" s="2620"/>
      <c r="W297" s="2620"/>
      <c r="X297" s="277"/>
      <c r="Y297" s="277"/>
      <c r="Z297" s="277"/>
      <c r="AA297" s="277"/>
      <c r="AB297" s="2620">
        <f t="shared" si="38"/>
        <v>6933280962</v>
      </c>
    </row>
    <row r="298" spans="2:28" ht="21.6" customHeight="1" x14ac:dyDescent="0.2">
      <c r="B298" s="4125"/>
      <c r="C298" s="2718" t="s">
        <v>794</v>
      </c>
      <c r="D298" s="2633" t="s">
        <v>720</v>
      </c>
      <c r="E298" s="2691">
        <v>15338361145</v>
      </c>
      <c r="F298" s="257"/>
      <c r="G298" s="347"/>
      <c r="H298" s="347"/>
      <c r="I298" s="348">
        <f t="shared" si="39"/>
        <v>15338361145</v>
      </c>
      <c r="J298" s="347"/>
      <c r="K298" s="347"/>
      <c r="L298" s="277"/>
      <c r="M298" s="277"/>
      <c r="N298" s="2620">
        <f t="shared" si="40"/>
        <v>0</v>
      </c>
      <c r="O298" s="2620"/>
      <c r="P298" s="277"/>
      <c r="Q298" s="2620"/>
      <c r="R298" s="2620"/>
      <c r="S298" s="2663"/>
      <c r="T298" s="347">
        <f t="shared" si="41"/>
        <v>0</v>
      </c>
      <c r="U298" s="347"/>
      <c r="V298" s="2620"/>
      <c r="W298" s="2620"/>
      <c r="X298" s="277"/>
      <c r="Y298" s="277"/>
      <c r="Z298" s="277"/>
      <c r="AA298" s="277"/>
      <c r="AB298" s="2620">
        <f t="shared" si="38"/>
        <v>15338361145</v>
      </c>
    </row>
    <row r="299" spans="2:28" ht="21.6" customHeight="1" x14ac:dyDescent="0.2">
      <c r="B299" s="4125"/>
      <c r="C299" s="2718" t="s">
        <v>795</v>
      </c>
      <c r="D299" s="2633" t="s">
        <v>721</v>
      </c>
      <c r="E299" s="2691">
        <v>4125305524</v>
      </c>
      <c r="F299" s="257"/>
      <c r="G299" s="347"/>
      <c r="H299" s="347"/>
      <c r="I299" s="348">
        <f t="shared" si="39"/>
        <v>4125305524</v>
      </c>
      <c r="J299" s="347"/>
      <c r="K299" s="347"/>
      <c r="L299" s="277"/>
      <c r="M299" s="277"/>
      <c r="N299" s="2620">
        <f t="shared" si="40"/>
        <v>0</v>
      </c>
      <c r="O299" s="2620"/>
      <c r="P299" s="277"/>
      <c r="Q299" s="2620"/>
      <c r="R299" s="2620"/>
      <c r="S299" s="2663"/>
      <c r="T299" s="347">
        <f t="shared" si="41"/>
        <v>0</v>
      </c>
      <c r="U299" s="347"/>
      <c r="V299" s="2620"/>
      <c r="W299" s="2620"/>
      <c r="X299" s="277"/>
      <c r="Y299" s="277"/>
      <c r="Z299" s="277"/>
      <c r="AA299" s="277"/>
      <c r="AB299" s="2620">
        <f t="shared" si="38"/>
        <v>4125305524</v>
      </c>
    </row>
    <row r="300" spans="2:28" ht="21.6" customHeight="1" x14ac:dyDescent="0.2">
      <c r="B300" s="4125"/>
      <c r="C300" s="2718" t="s">
        <v>796</v>
      </c>
      <c r="D300" s="2633" t="s">
        <v>722</v>
      </c>
      <c r="E300" s="2691">
        <v>5121549362</v>
      </c>
      <c r="F300" s="257"/>
      <c r="G300" s="347"/>
      <c r="H300" s="347"/>
      <c r="I300" s="348">
        <f t="shared" si="39"/>
        <v>5121549362</v>
      </c>
      <c r="J300" s="347"/>
      <c r="K300" s="347"/>
      <c r="L300" s="277"/>
      <c r="M300" s="277"/>
      <c r="N300" s="2620">
        <f t="shared" si="40"/>
        <v>0</v>
      </c>
      <c r="O300" s="2620"/>
      <c r="P300" s="277"/>
      <c r="Q300" s="2620"/>
      <c r="R300" s="2620"/>
      <c r="S300" s="2663"/>
      <c r="T300" s="347">
        <f t="shared" si="41"/>
        <v>0</v>
      </c>
      <c r="U300" s="347"/>
      <c r="V300" s="2620"/>
      <c r="W300" s="2620"/>
      <c r="X300" s="277"/>
      <c r="Y300" s="277"/>
      <c r="Z300" s="277"/>
      <c r="AA300" s="277"/>
      <c r="AB300" s="2620">
        <f t="shared" si="38"/>
        <v>5121549362</v>
      </c>
    </row>
    <row r="301" spans="2:28" ht="21.6" customHeight="1" x14ac:dyDescent="0.2">
      <c r="B301" s="4125"/>
      <c r="C301" s="2718" t="s">
        <v>797</v>
      </c>
      <c r="D301" s="2633" t="s">
        <v>723</v>
      </c>
      <c r="E301" s="2691">
        <v>3017737546</v>
      </c>
      <c r="F301" s="257"/>
      <c r="G301" s="347"/>
      <c r="H301" s="347"/>
      <c r="I301" s="348">
        <f t="shared" si="39"/>
        <v>3017737546</v>
      </c>
      <c r="J301" s="347"/>
      <c r="K301" s="347"/>
      <c r="L301" s="277"/>
      <c r="M301" s="277"/>
      <c r="N301" s="2620">
        <f t="shared" si="40"/>
        <v>0</v>
      </c>
      <c r="O301" s="2620"/>
      <c r="P301" s="277"/>
      <c r="Q301" s="2620"/>
      <c r="R301" s="2620"/>
      <c r="S301" s="2663"/>
      <c r="T301" s="347">
        <f t="shared" si="41"/>
        <v>0</v>
      </c>
      <c r="U301" s="347"/>
      <c r="V301" s="2620"/>
      <c r="W301" s="2620"/>
      <c r="X301" s="277"/>
      <c r="Y301" s="277"/>
      <c r="Z301" s="277"/>
      <c r="AA301" s="277"/>
      <c r="AB301" s="2620">
        <f t="shared" si="38"/>
        <v>3017737546</v>
      </c>
    </row>
    <row r="302" spans="2:28" ht="21.6" customHeight="1" x14ac:dyDescent="0.2">
      <c r="B302" s="4125"/>
      <c r="C302" s="2718" t="s">
        <v>800</v>
      </c>
      <c r="D302" s="2633" t="s">
        <v>682</v>
      </c>
      <c r="E302" s="2691">
        <v>4229611114</v>
      </c>
      <c r="F302" s="257"/>
      <c r="G302" s="347"/>
      <c r="H302" s="347"/>
      <c r="I302" s="348">
        <f t="shared" si="39"/>
        <v>4229611114</v>
      </c>
      <c r="J302" s="347"/>
      <c r="K302" s="347"/>
      <c r="L302" s="277"/>
      <c r="M302" s="277"/>
      <c r="N302" s="2620">
        <f t="shared" si="40"/>
        <v>0</v>
      </c>
      <c r="O302" s="2620"/>
      <c r="P302" s="277"/>
      <c r="Q302" s="2620"/>
      <c r="R302" s="2620"/>
      <c r="S302" s="2663"/>
      <c r="T302" s="347">
        <f t="shared" si="41"/>
        <v>0</v>
      </c>
      <c r="U302" s="347"/>
      <c r="V302" s="2620"/>
      <c r="W302" s="2620"/>
      <c r="X302" s="277"/>
      <c r="Y302" s="277"/>
      <c r="Z302" s="277"/>
      <c r="AA302" s="277"/>
      <c r="AB302" s="2620">
        <f t="shared" si="38"/>
        <v>4229611114</v>
      </c>
    </row>
    <row r="303" spans="2:28" ht="21.6" customHeight="1" x14ac:dyDescent="0.2">
      <c r="B303" s="4125"/>
      <c r="C303" s="2718" t="s">
        <v>801</v>
      </c>
      <c r="D303" s="2633" t="s">
        <v>710</v>
      </c>
      <c r="E303" s="2691">
        <v>4650000000</v>
      </c>
      <c r="F303" s="257"/>
      <c r="G303" s="347"/>
      <c r="H303" s="347"/>
      <c r="I303" s="348">
        <f t="shared" si="39"/>
        <v>4650000000</v>
      </c>
      <c r="J303" s="347"/>
      <c r="K303" s="347"/>
      <c r="L303" s="277"/>
      <c r="M303" s="277"/>
      <c r="N303" s="2620">
        <f t="shared" si="40"/>
        <v>0</v>
      </c>
      <c r="O303" s="2620"/>
      <c r="P303" s="277"/>
      <c r="Q303" s="2620"/>
      <c r="R303" s="2620"/>
      <c r="S303" s="2663"/>
      <c r="T303" s="347">
        <f t="shared" si="41"/>
        <v>0</v>
      </c>
      <c r="U303" s="347"/>
      <c r="V303" s="2620"/>
      <c r="W303" s="2620"/>
      <c r="X303" s="277"/>
      <c r="Y303" s="277"/>
      <c r="Z303" s="277"/>
      <c r="AA303" s="277"/>
      <c r="AB303" s="2620">
        <f t="shared" si="38"/>
        <v>4650000000</v>
      </c>
    </row>
    <row r="304" spans="2:28" ht="21.6" customHeight="1" x14ac:dyDescent="0.2">
      <c r="B304" s="4125"/>
      <c r="C304" s="2632" t="s">
        <v>724</v>
      </c>
      <c r="D304" s="2633" t="s">
        <v>710</v>
      </c>
      <c r="E304" s="2691">
        <v>22555678260</v>
      </c>
      <c r="F304" s="257"/>
      <c r="G304" s="302"/>
      <c r="H304" s="302"/>
      <c r="I304" s="348">
        <f t="shared" si="39"/>
        <v>22555678260</v>
      </c>
      <c r="J304" s="302"/>
      <c r="K304" s="302"/>
      <c r="L304" s="266"/>
      <c r="M304" s="266"/>
      <c r="N304" s="2620">
        <f t="shared" si="40"/>
        <v>0</v>
      </c>
      <c r="O304" s="2620"/>
      <c r="P304" s="266"/>
      <c r="Q304" s="266"/>
      <c r="R304" s="266"/>
      <c r="S304" s="495"/>
      <c r="T304" s="347">
        <f t="shared" si="41"/>
        <v>0</v>
      </c>
      <c r="U304" s="302"/>
      <c r="V304" s="266"/>
      <c r="W304" s="266"/>
      <c r="X304" s="266"/>
      <c r="Y304" s="266"/>
      <c r="Z304" s="266"/>
      <c r="AA304" s="266"/>
      <c r="AB304" s="2620">
        <f t="shared" si="38"/>
        <v>22555678260</v>
      </c>
    </row>
    <row r="305" spans="1:30" ht="21.6" customHeight="1" x14ac:dyDescent="0.2">
      <c r="A305" s="2616"/>
      <c r="B305" s="4125"/>
      <c r="C305" s="4112" t="s">
        <v>94</v>
      </c>
      <c r="D305" s="4112"/>
      <c r="E305" s="2691">
        <f>SUM(E282:E304)</f>
        <v>48131960742508</v>
      </c>
      <c r="F305" s="2691">
        <f t="shared" ref="F305:AB305" si="42">SUM(F282:F304)</f>
        <v>137242313107</v>
      </c>
      <c r="G305" s="2691">
        <f t="shared" si="42"/>
        <v>10000256000000</v>
      </c>
      <c r="H305" s="2691">
        <f t="shared" si="42"/>
        <v>339796800</v>
      </c>
      <c r="I305" s="2691">
        <f t="shared" si="42"/>
        <v>48132300539308</v>
      </c>
      <c r="J305" s="2691">
        <f t="shared" si="42"/>
        <v>271500000000</v>
      </c>
      <c r="K305" s="2691">
        <f t="shared" si="42"/>
        <v>537208000000</v>
      </c>
      <c r="L305" s="2691">
        <f t="shared" si="42"/>
        <v>0</v>
      </c>
      <c r="M305" s="2691">
        <f t="shared" si="42"/>
        <v>0</v>
      </c>
      <c r="N305" s="2691">
        <f t="shared" si="42"/>
        <v>1647610000000</v>
      </c>
      <c r="O305" s="2691">
        <f t="shared" si="42"/>
        <v>9801019000000</v>
      </c>
      <c r="P305" s="2691">
        <f t="shared" si="42"/>
        <v>-1582060020</v>
      </c>
      <c r="Q305" s="2691">
        <f t="shared" si="42"/>
        <v>0</v>
      </c>
      <c r="R305" s="2691">
        <f t="shared" si="42"/>
        <v>0</v>
      </c>
      <c r="S305" s="2691">
        <f t="shared" si="42"/>
        <v>0</v>
      </c>
      <c r="T305" s="2691">
        <f t="shared" si="42"/>
        <v>-364939000000</v>
      </c>
      <c r="U305" s="2691">
        <f t="shared" si="42"/>
        <v>214138000000</v>
      </c>
      <c r="V305" s="2691">
        <f t="shared" si="42"/>
        <v>777870980000</v>
      </c>
      <c r="W305" s="2691">
        <f t="shared" si="42"/>
        <v>-196044000000</v>
      </c>
      <c r="X305" s="2691">
        <f t="shared" si="42"/>
        <v>0</v>
      </c>
      <c r="Y305" s="2691" t="e">
        <f t="shared" si="42"/>
        <v>#N/A</v>
      </c>
      <c r="Z305" s="2691" t="e">
        <f t="shared" si="42"/>
        <v>#N/A</v>
      </c>
      <c r="AA305" s="2691">
        <f t="shared" si="42"/>
        <v>0</v>
      </c>
      <c r="AB305" s="2691">
        <f t="shared" si="42"/>
        <v>60010373459288</v>
      </c>
      <c r="AD305" s="2603">
        <f>W305+V305+U305+T305+P305+O305+N305+I305</f>
        <v>60010373459288</v>
      </c>
    </row>
    <row r="306" spans="1:30" ht="12" customHeight="1" x14ac:dyDescent="0.2">
      <c r="A306" s="2616"/>
      <c r="B306" s="2616"/>
      <c r="C306" s="2654"/>
      <c r="F306" s="2667"/>
      <c r="G306" s="2721"/>
      <c r="H306" s="2721"/>
      <c r="I306" s="2721"/>
      <c r="J306" s="2721"/>
      <c r="K306" s="2721"/>
      <c r="L306" s="2721"/>
      <c r="M306" s="2721"/>
      <c r="N306" s="2721"/>
      <c r="O306" s="2721"/>
      <c r="P306" s="2721"/>
      <c r="Q306" s="2721"/>
      <c r="R306" s="2721"/>
      <c r="S306" s="2721"/>
      <c r="T306" s="2721"/>
      <c r="U306" s="2721"/>
      <c r="V306" s="2721"/>
      <c r="W306" s="2721"/>
      <c r="X306" s="2721"/>
      <c r="Y306" s="2721"/>
      <c r="Z306" s="2721"/>
      <c r="AA306" s="2721"/>
      <c r="AB306" s="2721"/>
    </row>
    <row r="307" spans="1:30" ht="21.6" customHeight="1" x14ac:dyDescent="0.2">
      <c r="A307" s="2616"/>
      <c r="B307" s="2616"/>
      <c r="C307" s="2654"/>
      <c r="F307" s="2667"/>
      <c r="G307" s="2721"/>
      <c r="H307" s="2721"/>
      <c r="I307" s="2721"/>
      <c r="J307" s="2721"/>
      <c r="K307" s="2721"/>
      <c r="L307" s="2721"/>
      <c r="M307" s="2721"/>
      <c r="N307" s="2721"/>
      <c r="O307" s="2721"/>
      <c r="P307" s="2721"/>
      <c r="Q307" s="2721"/>
      <c r="R307" s="2721"/>
      <c r="S307" s="2721"/>
      <c r="T307" s="2721"/>
      <c r="U307" s="2721"/>
      <c r="V307" s="2721"/>
      <c r="W307" s="2721"/>
      <c r="X307" s="2721"/>
      <c r="Y307" s="2721"/>
      <c r="Z307" s="2721"/>
      <c r="AA307" s="2721"/>
      <c r="AB307" s="2721"/>
    </row>
    <row r="308" spans="1:30" ht="12" customHeight="1" x14ac:dyDescent="0.2">
      <c r="A308" s="2616"/>
      <c r="B308" s="2616"/>
      <c r="C308" s="2654"/>
      <c r="F308" s="2667"/>
      <c r="G308" s="2721"/>
      <c r="H308" s="2721"/>
      <c r="I308" s="2721"/>
      <c r="J308" s="2721"/>
      <c r="K308" s="2721"/>
      <c r="L308" s="2721"/>
      <c r="M308" s="2721"/>
      <c r="N308" s="2721"/>
      <c r="O308" s="2721"/>
      <c r="P308" s="2721"/>
      <c r="Q308" s="2721"/>
      <c r="R308" s="2721"/>
      <c r="S308" s="2721"/>
      <c r="T308" s="2721"/>
      <c r="U308" s="2721"/>
      <c r="V308" s="2721"/>
      <c r="W308" s="2721"/>
      <c r="X308" s="2721"/>
      <c r="Y308" s="2721"/>
      <c r="Z308" s="2721"/>
      <c r="AA308" s="2721"/>
      <c r="AB308" s="2721"/>
    </row>
    <row r="309" spans="1:30" ht="20.45" customHeight="1" x14ac:dyDescent="0.2">
      <c r="A309" s="2616"/>
      <c r="B309" s="4141">
        <v>100</v>
      </c>
      <c r="C309" s="4141"/>
      <c r="D309" s="4141"/>
      <c r="E309" s="4141"/>
      <c r="F309" s="4141"/>
      <c r="G309" s="4141"/>
      <c r="H309" s="4141"/>
      <c r="I309" s="4141"/>
      <c r="J309" s="4141"/>
      <c r="K309" s="4141"/>
      <c r="L309" s="4141"/>
      <c r="M309" s="4141"/>
      <c r="N309" s="4141"/>
      <c r="O309" s="4141"/>
      <c r="P309" s="4141"/>
      <c r="Q309" s="4141"/>
      <c r="R309" s="4141"/>
      <c r="S309" s="4141"/>
      <c r="T309" s="4141"/>
      <c r="U309" s="4141"/>
      <c r="V309" s="4141"/>
      <c r="W309" s="4141"/>
      <c r="X309" s="4141"/>
      <c r="Y309" s="4141"/>
      <c r="Z309" s="4141"/>
      <c r="AA309" s="4141"/>
      <c r="AB309" s="4141"/>
    </row>
    <row r="310" spans="1:30" ht="23.45" customHeight="1" x14ac:dyDescent="0.2">
      <c r="A310" s="2616"/>
      <c r="B310" s="4108" t="s">
        <v>295</v>
      </c>
      <c r="C310" s="4108"/>
      <c r="D310" s="4108"/>
      <c r="E310" s="4108"/>
      <c r="F310" s="4108"/>
      <c r="G310" s="4108"/>
      <c r="H310" s="4108"/>
      <c r="I310" s="4108"/>
      <c r="J310" s="4108"/>
      <c r="K310" s="4108"/>
      <c r="L310" s="4108"/>
      <c r="M310" s="4108"/>
      <c r="N310" s="4108"/>
      <c r="O310" s="4108"/>
      <c r="P310" s="4108"/>
      <c r="Q310" s="4108"/>
      <c r="R310" s="4108"/>
      <c r="S310" s="4108"/>
      <c r="T310" s="4108"/>
      <c r="U310" s="4108"/>
      <c r="V310" s="4108"/>
      <c r="W310" s="4108"/>
      <c r="X310" s="4108"/>
      <c r="Y310" s="4108"/>
      <c r="Z310" s="4108"/>
      <c r="AA310" s="4108"/>
      <c r="AB310" s="4108"/>
    </row>
    <row r="311" spans="1:30" ht="23.45" customHeight="1" x14ac:dyDescent="0.2">
      <c r="A311" s="2616"/>
      <c r="B311" s="4108" t="s">
        <v>45</v>
      </c>
      <c r="C311" s="4108"/>
      <c r="D311" s="4108"/>
      <c r="E311" s="4108"/>
      <c r="F311" s="4108"/>
      <c r="G311" s="4108"/>
      <c r="H311" s="4108"/>
      <c r="I311" s="4108"/>
      <c r="J311" s="4108"/>
      <c r="K311" s="4108"/>
      <c r="L311" s="4108"/>
      <c r="M311" s="4108"/>
      <c r="N311" s="4108"/>
      <c r="O311" s="4108"/>
      <c r="P311" s="4108"/>
      <c r="Q311" s="4108"/>
      <c r="R311" s="4108"/>
      <c r="S311" s="4108"/>
      <c r="T311" s="4108"/>
      <c r="U311" s="4108"/>
      <c r="V311" s="4108"/>
      <c r="W311" s="4108"/>
      <c r="X311" s="4108"/>
      <c r="Y311" s="4108"/>
      <c r="Z311" s="4108"/>
      <c r="AA311" s="4108"/>
      <c r="AB311" s="4108"/>
    </row>
    <row r="312" spans="1:30" ht="23.45" customHeight="1" x14ac:dyDescent="0.2">
      <c r="A312" s="2616"/>
      <c r="B312" s="4108" t="s">
        <v>46</v>
      </c>
      <c r="C312" s="4108"/>
      <c r="D312" s="4108"/>
      <c r="E312" s="4108"/>
      <c r="F312" s="4108"/>
      <c r="G312" s="4108"/>
      <c r="H312" s="4108"/>
      <c r="I312" s="4108"/>
      <c r="J312" s="4108"/>
      <c r="K312" s="4108"/>
      <c r="L312" s="4108"/>
      <c r="M312" s="4108"/>
      <c r="N312" s="4108"/>
      <c r="O312" s="4108"/>
      <c r="P312" s="4108"/>
      <c r="Q312" s="4108"/>
      <c r="R312" s="4108"/>
      <c r="S312" s="4108"/>
      <c r="T312" s="4108"/>
      <c r="U312" s="4108"/>
      <c r="V312" s="4108"/>
      <c r="W312" s="4108"/>
      <c r="X312" s="4108"/>
      <c r="Y312" s="4108"/>
      <c r="Z312" s="4108"/>
      <c r="AA312" s="4108"/>
      <c r="AB312" s="4108"/>
    </row>
    <row r="313" spans="1:30" ht="23.45" customHeight="1" x14ac:dyDescent="0.2">
      <c r="A313" s="2616"/>
      <c r="B313" s="3294" t="s">
        <v>1981</v>
      </c>
      <c r="C313" s="3294"/>
      <c r="D313" s="3294"/>
      <c r="E313" s="3294"/>
      <c r="F313" s="3294"/>
      <c r="G313" s="3294"/>
      <c r="H313" s="3294"/>
      <c r="I313" s="3294"/>
      <c r="J313" s="3294"/>
      <c r="K313" s="3294"/>
      <c r="L313" s="3294"/>
      <c r="M313" s="3294"/>
      <c r="N313" s="3294"/>
      <c r="O313" s="3294"/>
      <c r="P313" s="3294"/>
      <c r="Q313" s="3294"/>
      <c r="R313" s="3294"/>
      <c r="S313" s="3294"/>
      <c r="T313" s="3294"/>
      <c r="U313" s="3294"/>
      <c r="V313" s="3294"/>
      <c r="W313" s="3294"/>
      <c r="X313" s="3294"/>
      <c r="Y313" s="3294"/>
      <c r="Z313" s="3294"/>
      <c r="AA313" s="3294"/>
      <c r="AB313" s="3294"/>
    </row>
    <row r="314" spans="1:30" ht="23.45" customHeight="1" x14ac:dyDescent="0.2">
      <c r="A314" s="2616"/>
      <c r="B314" s="1722"/>
      <c r="C314" s="1722"/>
      <c r="D314" s="1722"/>
      <c r="E314" s="1722"/>
      <c r="F314" s="1722"/>
      <c r="G314" s="1722"/>
      <c r="H314" s="1722"/>
      <c r="I314" s="1722"/>
      <c r="J314" s="1722"/>
      <c r="K314" s="1722"/>
      <c r="L314" s="1722"/>
      <c r="M314" s="1722"/>
      <c r="N314" s="1722"/>
      <c r="O314" s="1722"/>
      <c r="P314" s="1722"/>
      <c r="Q314" s="1722"/>
      <c r="R314" s="1722"/>
      <c r="S314" s="1722"/>
      <c r="T314" s="1722"/>
      <c r="U314" s="1722"/>
      <c r="V314" s="1722"/>
      <c r="W314" s="1722"/>
      <c r="X314" s="1722"/>
      <c r="Y314" s="1722"/>
      <c r="Z314" s="1722"/>
      <c r="AA314" s="1722"/>
      <c r="AB314" s="1722"/>
    </row>
    <row r="315" spans="1:30" ht="23.45" customHeight="1" x14ac:dyDescent="0.2">
      <c r="A315" s="2616"/>
      <c r="B315" s="1722"/>
      <c r="C315" s="1722"/>
      <c r="D315" s="1722"/>
      <c r="E315" s="1722"/>
      <c r="F315" s="1722"/>
      <c r="G315" s="1722"/>
      <c r="H315" s="1722"/>
      <c r="I315" s="1722"/>
      <c r="J315" s="1722"/>
      <c r="K315" s="1722"/>
      <c r="L315" s="1722"/>
      <c r="M315" s="1722"/>
      <c r="N315" s="1722"/>
      <c r="O315" s="1722"/>
      <c r="P315" s="1722"/>
      <c r="Q315" s="1722"/>
      <c r="R315" s="1722"/>
      <c r="S315" s="1722"/>
      <c r="T315" s="1722"/>
      <c r="U315" s="1722"/>
      <c r="V315" s="1722"/>
      <c r="W315" s="1722"/>
      <c r="X315" s="1722"/>
      <c r="Y315" s="1722"/>
      <c r="Z315" s="1722"/>
      <c r="AA315" s="1722"/>
      <c r="AB315" s="1722"/>
    </row>
    <row r="316" spans="1:30" ht="15.6" customHeight="1" x14ac:dyDescent="0.2">
      <c r="A316" s="2616"/>
      <c r="B316" s="4110" t="s">
        <v>1848</v>
      </c>
      <c r="C316" s="4110"/>
      <c r="D316" s="4110"/>
      <c r="E316" s="2656"/>
      <c r="F316" s="2657"/>
      <c r="G316" s="2658"/>
      <c r="H316" s="2658"/>
      <c r="I316" s="2658"/>
      <c r="J316" s="2658"/>
      <c r="K316" s="2658"/>
      <c r="L316" s="2658"/>
      <c r="M316" s="2658"/>
      <c r="N316" s="2658"/>
      <c r="O316" s="2658"/>
      <c r="P316" s="2658"/>
      <c r="Q316" s="2658"/>
      <c r="R316" s="2658"/>
      <c r="S316" s="2658"/>
      <c r="T316" s="2658"/>
      <c r="U316" s="2658"/>
      <c r="V316" s="2658"/>
      <c r="W316" s="2658"/>
      <c r="X316" s="104"/>
      <c r="Y316" s="104"/>
      <c r="Z316" s="104"/>
      <c r="AA316" s="104"/>
      <c r="AB316" s="2608" t="s">
        <v>194</v>
      </c>
    </row>
    <row r="317" spans="1:30" ht="53.45" customHeight="1" x14ac:dyDescent="0.2">
      <c r="A317" s="2616"/>
      <c r="B317" s="4112" t="s">
        <v>419</v>
      </c>
      <c r="C317" s="4117" t="s">
        <v>196</v>
      </c>
      <c r="D317" s="4124" t="s">
        <v>197</v>
      </c>
      <c r="E317" s="4111" t="s">
        <v>1400</v>
      </c>
      <c r="F317" s="2609"/>
      <c r="G317" s="4111" t="s">
        <v>921</v>
      </c>
      <c r="H317" s="4118" t="s">
        <v>1116</v>
      </c>
      <c r="I317" s="4118" t="s">
        <v>1271</v>
      </c>
      <c r="J317" s="4135" t="s">
        <v>1272</v>
      </c>
      <c r="K317" s="4136"/>
      <c r="L317" s="4136"/>
      <c r="M317" s="4136"/>
      <c r="N317" s="4136"/>
      <c r="O317" s="4137"/>
      <c r="P317" s="4113" t="s">
        <v>423</v>
      </c>
      <c r="Q317" s="4115" t="s">
        <v>827</v>
      </c>
      <c r="R317" s="4115" t="s">
        <v>888</v>
      </c>
      <c r="S317" s="4115"/>
      <c r="T317" s="4114" t="s">
        <v>2015</v>
      </c>
      <c r="U317" s="4121" t="s">
        <v>1274</v>
      </c>
      <c r="V317" s="4121" t="s">
        <v>2016</v>
      </c>
      <c r="W317" s="4116" t="s">
        <v>1033</v>
      </c>
      <c r="X317" s="2610"/>
      <c r="Y317" s="4127" t="s">
        <v>296</v>
      </c>
      <c r="Z317" s="4127" t="s">
        <v>190</v>
      </c>
      <c r="AA317" s="4129" t="s">
        <v>313</v>
      </c>
      <c r="AB317" s="4111" t="s">
        <v>2013</v>
      </c>
    </row>
    <row r="318" spans="1:30" ht="32.450000000000003" customHeight="1" x14ac:dyDescent="0.2">
      <c r="A318" s="2616"/>
      <c r="B318" s="4112"/>
      <c r="C318" s="4117"/>
      <c r="D318" s="4124"/>
      <c r="E318" s="4111"/>
      <c r="F318" s="2609"/>
      <c r="G318" s="4111"/>
      <c r="H318" s="4119"/>
      <c r="I318" s="4119"/>
      <c r="J318" s="4138"/>
      <c r="K318" s="4139"/>
      <c r="L318" s="4139"/>
      <c r="M318" s="4139"/>
      <c r="N318" s="4139"/>
      <c r="O318" s="4140"/>
      <c r="P318" s="4113"/>
      <c r="Q318" s="4115"/>
      <c r="R318" s="4109" t="s">
        <v>889</v>
      </c>
      <c r="S318" s="4109" t="s">
        <v>890</v>
      </c>
      <c r="T318" s="4114"/>
      <c r="U318" s="4122"/>
      <c r="V318" s="4122"/>
      <c r="W318" s="4116"/>
      <c r="X318" s="2611"/>
      <c r="Y318" s="4127"/>
      <c r="Z318" s="4127"/>
      <c r="AA318" s="4130"/>
      <c r="AB318" s="4111"/>
    </row>
    <row r="319" spans="1:30" ht="68.45" customHeight="1" x14ac:dyDescent="0.2">
      <c r="A319" s="2616"/>
      <c r="B319" s="4112"/>
      <c r="C319" s="4117"/>
      <c r="D319" s="4124"/>
      <c r="E319" s="4111"/>
      <c r="F319" s="2612" t="s">
        <v>421</v>
      </c>
      <c r="G319" s="2613" t="s">
        <v>27</v>
      </c>
      <c r="H319" s="4120"/>
      <c r="I319" s="4120"/>
      <c r="J319" s="2614" t="s">
        <v>1273</v>
      </c>
      <c r="K319" s="2614" t="s">
        <v>1292</v>
      </c>
      <c r="L319" s="2612" t="s">
        <v>999</v>
      </c>
      <c r="M319" s="2612" t="s">
        <v>422</v>
      </c>
      <c r="N319" s="2612" t="s">
        <v>2014</v>
      </c>
      <c r="O319" s="2615" t="s">
        <v>1794</v>
      </c>
      <c r="P319" s="4113"/>
      <c r="Q319" s="4115"/>
      <c r="R319" s="4109"/>
      <c r="S319" s="4109"/>
      <c r="T319" s="4114"/>
      <c r="U319" s="4123"/>
      <c r="V319" s="4123"/>
      <c r="W319" s="4116"/>
      <c r="X319" s="373" t="s">
        <v>62</v>
      </c>
      <c r="Y319" s="4127"/>
      <c r="Z319" s="4127"/>
      <c r="AA319" s="4131"/>
      <c r="AB319" s="4111"/>
    </row>
    <row r="320" spans="1:30" ht="34.15" customHeight="1" x14ac:dyDescent="0.2">
      <c r="A320" s="2616"/>
      <c r="B320" s="4125" t="s">
        <v>180</v>
      </c>
      <c r="C320" s="4126" t="s">
        <v>181</v>
      </c>
      <c r="D320" s="4126"/>
      <c r="E320" s="2681">
        <f>E305</f>
        <v>48131960742508</v>
      </c>
      <c r="F320" s="2681">
        <f t="shared" ref="F320:AB320" si="43">F305</f>
        <v>137242313107</v>
      </c>
      <c r="G320" s="2681">
        <f t="shared" si="43"/>
        <v>10000256000000</v>
      </c>
      <c r="H320" s="2681">
        <f t="shared" si="43"/>
        <v>339796800</v>
      </c>
      <c r="I320" s="2681">
        <f t="shared" si="43"/>
        <v>48132300539308</v>
      </c>
      <c r="J320" s="2681">
        <f t="shared" si="43"/>
        <v>271500000000</v>
      </c>
      <c r="K320" s="2681">
        <f t="shared" si="43"/>
        <v>537208000000</v>
      </c>
      <c r="L320" s="2681">
        <f t="shared" si="43"/>
        <v>0</v>
      </c>
      <c r="M320" s="2681">
        <f t="shared" si="43"/>
        <v>0</v>
      </c>
      <c r="N320" s="2681">
        <f t="shared" si="43"/>
        <v>1647610000000</v>
      </c>
      <c r="O320" s="2681">
        <f t="shared" si="43"/>
        <v>9801019000000</v>
      </c>
      <c r="P320" s="2681">
        <f t="shared" si="43"/>
        <v>-1582060020</v>
      </c>
      <c r="Q320" s="2681">
        <f t="shared" si="43"/>
        <v>0</v>
      </c>
      <c r="R320" s="2681">
        <f t="shared" si="43"/>
        <v>0</v>
      </c>
      <c r="S320" s="2681">
        <f t="shared" si="43"/>
        <v>0</v>
      </c>
      <c r="T320" s="2681">
        <f t="shared" si="43"/>
        <v>-364939000000</v>
      </c>
      <c r="U320" s="2681">
        <f t="shared" si="43"/>
        <v>214138000000</v>
      </c>
      <c r="V320" s="2681">
        <f t="shared" si="43"/>
        <v>777870980000</v>
      </c>
      <c r="W320" s="2681">
        <f t="shared" si="43"/>
        <v>-196044000000</v>
      </c>
      <c r="X320" s="2681">
        <f t="shared" si="43"/>
        <v>0</v>
      </c>
      <c r="Y320" s="2681" t="e">
        <f t="shared" si="43"/>
        <v>#N/A</v>
      </c>
      <c r="Z320" s="2681" t="e">
        <f t="shared" si="43"/>
        <v>#N/A</v>
      </c>
      <c r="AA320" s="2681">
        <f t="shared" si="43"/>
        <v>0</v>
      </c>
      <c r="AB320" s="2681">
        <f t="shared" si="43"/>
        <v>60010373459288</v>
      </c>
    </row>
    <row r="321" spans="2:28" ht="25.9" customHeight="1" x14ac:dyDescent="0.2">
      <c r="B321" s="4125"/>
      <c r="C321" s="2632" t="s">
        <v>726</v>
      </c>
      <c r="D321" s="2633" t="s">
        <v>725</v>
      </c>
      <c r="E321" s="2681">
        <v>5556578663</v>
      </c>
      <c r="F321" s="257"/>
      <c r="G321" s="302"/>
      <c r="H321" s="302"/>
      <c r="I321" s="302">
        <f>E321+H321</f>
        <v>5556578663</v>
      </c>
      <c r="J321" s="302"/>
      <c r="K321" s="302"/>
      <c r="L321" s="266"/>
      <c r="M321" s="495"/>
      <c r="N321" s="2620">
        <f t="shared" ref="N321:N336" si="44">J321+L321+M321+K321</f>
        <v>0</v>
      </c>
      <c r="O321" s="2620"/>
      <c r="P321" s="2722"/>
      <c r="Q321" s="266"/>
      <c r="R321" s="266"/>
      <c r="S321" s="266"/>
      <c r="T321" s="302">
        <f>-K321</f>
        <v>0</v>
      </c>
      <c r="U321" s="302"/>
      <c r="V321" s="266"/>
      <c r="W321" s="266"/>
      <c r="X321" s="266"/>
      <c r="Y321" s="266"/>
      <c r="Z321" s="266"/>
      <c r="AA321" s="266"/>
      <c r="AB321" s="277">
        <f t="shared" ref="AB321:AB336" si="45">P321+W321+S321+R321+Q321+N321+T321+E321+V321+U321+O321+H321+M321</f>
        <v>5556578663</v>
      </c>
    </row>
    <row r="322" spans="2:28" ht="25.9" customHeight="1" x14ac:dyDescent="0.2">
      <c r="B322" s="4125"/>
      <c r="C322" s="2632" t="s">
        <v>728</v>
      </c>
      <c r="D322" s="2633" t="s">
        <v>727</v>
      </c>
      <c r="E322" s="2681">
        <v>8386896883</v>
      </c>
      <c r="F322" s="257"/>
      <c r="G322" s="302"/>
      <c r="H322" s="302"/>
      <c r="I322" s="302">
        <f t="shared" ref="I322:I336" si="46">E322+H322</f>
        <v>8386896883</v>
      </c>
      <c r="J322" s="302"/>
      <c r="K322" s="302"/>
      <c r="L322" s="266"/>
      <c r="M322" s="495"/>
      <c r="N322" s="2620">
        <f t="shared" si="44"/>
        <v>0</v>
      </c>
      <c r="O322" s="2620"/>
      <c r="P322" s="2722"/>
      <c r="Q322" s="266"/>
      <c r="R322" s="266"/>
      <c r="S322" s="266"/>
      <c r="T322" s="302">
        <f t="shared" ref="T322:T336" si="47">-K322</f>
        <v>0</v>
      </c>
      <c r="U322" s="302"/>
      <c r="V322" s="266"/>
      <c r="W322" s="266"/>
      <c r="X322" s="266"/>
      <c r="Y322" s="266"/>
      <c r="Z322" s="266"/>
      <c r="AA322" s="266"/>
      <c r="AB322" s="277">
        <f t="shared" si="45"/>
        <v>8386896883</v>
      </c>
    </row>
    <row r="323" spans="2:28" ht="25.9" customHeight="1" x14ac:dyDescent="0.2">
      <c r="B323" s="4125"/>
      <c r="C323" s="2632" t="s">
        <v>666</v>
      </c>
      <c r="D323" s="2633" t="s">
        <v>729</v>
      </c>
      <c r="E323" s="2681">
        <v>31990906948</v>
      </c>
      <c r="F323" s="257"/>
      <c r="G323" s="302"/>
      <c r="H323" s="302"/>
      <c r="I323" s="302">
        <f t="shared" si="46"/>
        <v>31990906948</v>
      </c>
      <c r="J323" s="302"/>
      <c r="K323" s="302"/>
      <c r="L323" s="266"/>
      <c r="M323" s="495"/>
      <c r="N323" s="2620">
        <f t="shared" si="44"/>
        <v>0</v>
      </c>
      <c r="O323" s="2620"/>
      <c r="P323" s="2722"/>
      <c r="Q323" s="266"/>
      <c r="R323" s="266"/>
      <c r="S323" s="266"/>
      <c r="T323" s="302">
        <f t="shared" si="47"/>
        <v>0</v>
      </c>
      <c r="U323" s="302"/>
      <c r="V323" s="266"/>
      <c r="W323" s="266"/>
      <c r="X323" s="266"/>
      <c r="Y323" s="266"/>
      <c r="Z323" s="266"/>
      <c r="AA323" s="266"/>
      <c r="AB323" s="277">
        <f t="shared" si="45"/>
        <v>31990906948</v>
      </c>
    </row>
    <row r="324" spans="2:28" ht="25.9" customHeight="1" x14ac:dyDescent="0.2">
      <c r="B324" s="4125"/>
      <c r="C324" s="2632" t="s">
        <v>731</v>
      </c>
      <c r="D324" s="2633" t="s">
        <v>730</v>
      </c>
      <c r="E324" s="2681">
        <v>6867612564</v>
      </c>
      <c r="F324" s="257"/>
      <c r="G324" s="302"/>
      <c r="H324" s="302"/>
      <c r="I324" s="302">
        <f t="shared" si="46"/>
        <v>6867612564</v>
      </c>
      <c r="J324" s="302"/>
      <c r="K324" s="302"/>
      <c r="L324" s="266"/>
      <c r="M324" s="495"/>
      <c r="N324" s="2620">
        <f t="shared" si="44"/>
        <v>0</v>
      </c>
      <c r="O324" s="2620"/>
      <c r="P324" s="2722"/>
      <c r="Q324" s="266"/>
      <c r="R324" s="266"/>
      <c r="S324" s="266"/>
      <c r="T324" s="302">
        <f t="shared" si="47"/>
        <v>0</v>
      </c>
      <c r="U324" s="302"/>
      <c r="V324" s="266"/>
      <c r="W324" s="266"/>
      <c r="X324" s="266"/>
      <c r="Y324" s="266"/>
      <c r="Z324" s="266"/>
      <c r="AA324" s="266"/>
      <c r="AB324" s="277">
        <f t="shared" si="45"/>
        <v>6867612564</v>
      </c>
    </row>
    <row r="325" spans="2:28" ht="25.9" customHeight="1" x14ac:dyDescent="0.2">
      <c r="B325" s="4125"/>
      <c r="C325" s="2632" t="s">
        <v>733</v>
      </c>
      <c r="D325" s="2633" t="s">
        <v>732</v>
      </c>
      <c r="E325" s="2681">
        <v>1631505375</v>
      </c>
      <c r="F325" s="257"/>
      <c r="G325" s="302"/>
      <c r="H325" s="302"/>
      <c r="I325" s="302">
        <f t="shared" si="46"/>
        <v>1631505375</v>
      </c>
      <c r="J325" s="302"/>
      <c r="K325" s="302"/>
      <c r="L325" s="266"/>
      <c r="M325" s="495"/>
      <c r="N325" s="2620">
        <f t="shared" si="44"/>
        <v>0</v>
      </c>
      <c r="O325" s="2620"/>
      <c r="P325" s="2722"/>
      <c r="Q325" s="266"/>
      <c r="R325" s="266"/>
      <c r="S325" s="266"/>
      <c r="T325" s="302">
        <f t="shared" si="47"/>
        <v>0</v>
      </c>
      <c r="U325" s="302"/>
      <c r="V325" s="266"/>
      <c r="W325" s="266"/>
      <c r="X325" s="266"/>
      <c r="Y325" s="266"/>
      <c r="Z325" s="266"/>
      <c r="AA325" s="266"/>
      <c r="AB325" s="277">
        <f t="shared" si="45"/>
        <v>1631505375</v>
      </c>
    </row>
    <row r="326" spans="2:28" ht="25.9" customHeight="1" x14ac:dyDescent="0.2">
      <c r="B326" s="4125"/>
      <c r="C326" s="2632" t="s">
        <v>735</v>
      </c>
      <c r="D326" s="2633" t="s">
        <v>734</v>
      </c>
      <c r="E326" s="2681">
        <v>46597875225</v>
      </c>
      <c r="F326" s="257"/>
      <c r="G326" s="302"/>
      <c r="H326" s="302"/>
      <c r="I326" s="302">
        <f t="shared" si="46"/>
        <v>46597875225</v>
      </c>
      <c r="J326" s="302"/>
      <c r="K326" s="302"/>
      <c r="L326" s="266"/>
      <c r="M326" s="495"/>
      <c r="N326" s="2620">
        <f t="shared" si="44"/>
        <v>0</v>
      </c>
      <c r="O326" s="2620"/>
      <c r="P326" s="2722"/>
      <c r="Q326" s="266"/>
      <c r="R326" s="266"/>
      <c r="S326" s="266"/>
      <c r="T326" s="302">
        <f t="shared" si="47"/>
        <v>0</v>
      </c>
      <c r="U326" s="302"/>
      <c r="V326" s="266"/>
      <c r="W326" s="266"/>
      <c r="X326" s="266"/>
      <c r="Y326" s="266"/>
      <c r="Z326" s="266"/>
      <c r="AA326" s="266"/>
      <c r="AB326" s="277">
        <f t="shared" si="45"/>
        <v>46597875225</v>
      </c>
    </row>
    <row r="327" spans="2:28" ht="25.9" customHeight="1" x14ac:dyDescent="0.2">
      <c r="B327" s="4125"/>
      <c r="C327" s="2632" t="s">
        <v>737</v>
      </c>
      <c r="D327" s="2633" t="s">
        <v>736</v>
      </c>
      <c r="E327" s="2681">
        <v>5063574846</v>
      </c>
      <c r="F327" s="257"/>
      <c r="G327" s="302"/>
      <c r="H327" s="302"/>
      <c r="I327" s="302">
        <f t="shared" si="46"/>
        <v>5063574846</v>
      </c>
      <c r="J327" s="302"/>
      <c r="K327" s="302"/>
      <c r="L327" s="266"/>
      <c r="M327" s="495"/>
      <c r="N327" s="2620">
        <f t="shared" si="44"/>
        <v>0</v>
      </c>
      <c r="O327" s="2620"/>
      <c r="P327" s="2722"/>
      <c r="Q327" s="266"/>
      <c r="R327" s="266"/>
      <c r="S327" s="266"/>
      <c r="T327" s="302">
        <f t="shared" si="47"/>
        <v>0</v>
      </c>
      <c r="U327" s="302"/>
      <c r="V327" s="266"/>
      <c r="W327" s="266"/>
      <c r="X327" s="266"/>
      <c r="Y327" s="266"/>
      <c r="Z327" s="266"/>
      <c r="AA327" s="266"/>
      <c r="AB327" s="277">
        <f t="shared" si="45"/>
        <v>5063574846</v>
      </c>
    </row>
    <row r="328" spans="2:28" ht="25.9" customHeight="1" x14ac:dyDescent="0.2">
      <c r="B328" s="4125"/>
      <c r="C328" s="2632" t="s">
        <v>739</v>
      </c>
      <c r="D328" s="2633" t="s">
        <v>738</v>
      </c>
      <c r="E328" s="2681">
        <v>11528604513</v>
      </c>
      <c r="F328" s="257"/>
      <c r="G328" s="302"/>
      <c r="H328" s="302"/>
      <c r="I328" s="302">
        <f t="shared" si="46"/>
        <v>11528604513</v>
      </c>
      <c r="J328" s="302"/>
      <c r="K328" s="302"/>
      <c r="L328" s="266"/>
      <c r="M328" s="495"/>
      <c r="N328" s="2620">
        <f t="shared" si="44"/>
        <v>0</v>
      </c>
      <c r="O328" s="2620"/>
      <c r="P328" s="2722"/>
      <c r="Q328" s="266"/>
      <c r="R328" s="266"/>
      <c r="S328" s="266"/>
      <c r="T328" s="302">
        <f t="shared" si="47"/>
        <v>0</v>
      </c>
      <c r="U328" s="302"/>
      <c r="V328" s="266"/>
      <c r="W328" s="266"/>
      <c r="X328" s="266"/>
      <c r="Y328" s="266"/>
      <c r="Z328" s="266"/>
      <c r="AA328" s="266"/>
      <c r="AB328" s="277">
        <f t="shared" si="45"/>
        <v>11528604513</v>
      </c>
    </row>
    <row r="329" spans="2:28" ht="25.9" customHeight="1" x14ac:dyDescent="0.2">
      <c r="B329" s="4125"/>
      <c r="C329" s="2632" t="s">
        <v>741</v>
      </c>
      <c r="D329" s="2633" t="s">
        <v>740</v>
      </c>
      <c r="E329" s="2681">
        <v>3227807326</v>
      </c>
      <c r="F329" s="257"/>
      <c r="G329" s="302"/>
      <c r="H329" s="302"/>
      <c r="I329" s="302">
        <f t="shared" si="46"/>
        <v>3227807326</v>
      </c>
      <c r="J329" s="302"/>
      <c r="K329" s="302"/>
      <c r="L329" s="266"/>
      <c r="M329" s="495"/>
      <c r="N329" s="2620">
        <f t="shared" si="44"/>
        <v>0</v>
      </c>
      <c r="O329" s="2620"/>
      <c r="P329" s="2722"/>
      <c r="Q329" s="266"/>
      <c r="R329" s="266"/>
      <c r="S329" s="266"/>
      <c r="T329" s="302">
        <f t="shared" si="47"/>
        <v>0</v>
      </c>
      <c r="U329" s="302"/>
      <c r="V329" s="266"/>
      <c r="W329" s="266"/>
      <c r="X329" s="266"/>
      <c r="Y329" s="266"/>
      <c r="Z329" s="266"/>
      <c r="AA329" s="266"/>
      <c r="AB329" s="277">
        <f t="shared" si="45"/>
        <v>3227807326</v>
      </c>
    </row>
    <row r="330" spans="2:28" ht="25.9" customHeight="1" x14ac:dyDescent="0.2">
      <c r="B330" s="4125"/>
      <c r="C330" s="2632" t="s">
        <v>742</v>
      </c>
      <c r="D330" s="2633" t="s">
        <v>712</v>
      </c>
      <c r="E330" s="2681">
        <v>75713424871</v>
      </c>
      <c r="F330" s="257"/>
      <c r="G330" s="302"/>
      <c r="H330" s="302"/>
      <c r="I330" s="302">
        <f t="shared" si="46"/>
        <v>75713424871</v>
      </c>
      <c r="J330" s="302"/>
      <c r="K330" s="302"/>
      <c r="L330" s="266"/>
      <c r="M330" s="495"/>
      <c r="N330" s="2620">
        <f t="shared" si="44"/>
        <v>0</v>
      </c>
      <c r="O330" s="2620"/>
      <c r="P330" s="2722"/>
      <c r="Q330" s="266"/>
      <c r="R330" s="266"/>
      <c r="S330" s="266"/>
      <c r="T330" s="302">
        <f t="shared" si="47"/>
        <v>0</v>
      </c>
      <c r="U330" s="302"/>
      <c r="V330" s="266"/>
      <c r="W330" s="266"/>
      <c r="X330" s="266"/>
      <c r="Y330" s="266"/>
      <c r="Z330" s="266"/>
      <c r="AA330" s="266"/>
      <c r="AB330" s="277">
        <f t="shared" si="45"/>
        <v>75713424871</v>
      </c>
    </row>
    <row r="331" spans="2:28" ht="36.6" customHeight="1" x14ac:dyDescent="0.2">
      <c r="B331" s="4125"/>
      <c r="C331" s="2718" t="s">
        <v>744</v>
      </c>
      <c r="D331" s="2633" t="s">
        <v>743</v>
      </c>
      <c r="E331" s="2681">
        <v>4949224660</v>
      </c>
      <c r="F331" s="257"/>
      <c r="G331" s="302"/>
      <c r="H331" s="302"/>
      <c r="I331" s="302">
        <f t="shared" si="46"/>
        <v>4949224660</v>
      </c>
      <c r="J331" s="302"/>
      <c r="K331" s="302"/>
      <c r="L331" s="266"/>
      <c r="M331" s="495"/>
      <c r="N331" s="2620">
        <f t="shared" si="44"/>
        <v>0</v>
      </c>
      <c r="O331" s="2620"/>
      <c r="P331" s="2722"/>
      <c r="Q331" s="266"/>
      <c r="R331" s="266"/>
      <c r="S331" s="266"/>
      <c r="T331" s="302">
        <f t="shared" si="47"/>
        <v>0</v>
      </c>
      <c r="U331" s="302"/>
      <c r="V331" s="266"/>
      <c r="W331" s="266"/>
      <c r="X331" s="266"/>
      <c r="Y331" s="266"/>
      <c r="Z331" s="266"/>
      <c r="AA331" s="266"/>
      <c r="AB331" s="277">
        <f t="shared" si="45"/>
        <v>4949224660</v>
      </c>
    </row>
    <row r="332" spans="2:28" ht="25.9" customHeight="1" x14ac:dyDescent="0.2">
      <c r="B332" s="4125"/>
      <c r="C332" s="2718" t="s">
        <v>746</v>
      </c>
      <c r="D332" s="2633" t="s">
        <v>745</v>
      </c>
      <c r="E332" s="2681">
        <v>10832019428</v>
      </c>
      <c r="F332" s="257"/>
      <c r="G332" s="302"/>
      <c r="H332" s="302"/>
      <c r="I332" s="302">
        <f t="shared" si="46"/>
        <v>10832019428</v>
      </c>
      <c r="J332" s="302"/>
      <c r="K332" s="302"/>
      <c r="L332" s="266"/>
      <c r="M332" s="495"/>
      <c r="N332" s="2620">
        <f t="shared" si="44"/>
        <v>0</v>
      </c>
      <c r="O332" s="2620"/>
      <c r="P332" s="2722"/>
      <c r="Q332" s="266"/>
      <c r="R332" s="266"/>
      <c r="S332" s="266"/>
      <c r="T332" s="302">
        <f t="shared" si="47"/>
        <v>0</v>
      </c>
      <c r="U332" s="302"/>
      <c r="V332" s="266"/>
      <c r="W332" s="266"/>
      <c r="X332" s="266"/>
      <c r="Y332" s="266"/>
      <c r="Z332" s="266"/>
      <c r="AA332" s="266"/>
      <c r="AB332" s="277">
        <f t="shared" si="45"/>
        <v>10832019428</v>
      </c>
    </row>
    <row r="333" spans="2:28" ht="25.9" customHeight="1" x14ac:dyDescent="0.2">
      <c r="B333" s="4125"/>
      <c r="C333" s="2718" t="s">
        <v>748</v>
      </c>
      <c r="D333" s="2633" t="s">
        <v>747</v>
      </c>
      <c r="E333" s="2681">
        <v>306512085</v>
      </c>
      <c r="F333" s="257"/>
      <c r="G333" s="302"/>
      <c r="H333" s="302"/>
      <c r="I333" s="302">
        <f t="shared" si="46"/>
        <v>306512085</v>
      </c>
      <c r="J333" s="302"/>
      <c r="K333" s="302"/>
      <c r="L333" s="266"/>
      <c r="M333" s="495"/>
      <c r="N333" s="2620">
        <f t="shared" si="44"/>
        <v>0</v>
      </c>
      <c r="O333" s="2620"/>
      <c r="P333" s="2722"/>
      <c r="Q333" s="266"/>
      <c r="R333" s="266"/>
      <c r="S333" s="266"/>
      <c r="T333" s="302">
        <f t="shared" si="47"/>
        <v>0</v>
      </c>
      <c r="U333" s="302"/>
      <c r="V333" s="266"/>
      <c r="W333" s="266"/>
      <c r="X333" s="266"/>
      <c r="Y333" s="266"/>
      <c r="Z333" s="266"/>
      <c r="AA333" s="266"/>
      <c r="AB333" s="277">
        <f t="shared" si="45"/>
        <v>306512085</v>
      </c>
    </row>
    <row r="334" spans="2:28" ht="25.9" customHeight="1" x14ac:dyDescent="0.2">
      <c r="B334" s="4125"/>
      <c r="C334" s="2718" t="s">
        <v>750</v>
      </c>
      <c r="D334" s="2633" t="s">
        <v>749</v>
      </c>
      <c r="E334" s="2681">
        <v>1000000000</v>
      </c>
      <c r="F334" s="303"/>
      <c r="G334" s="304"/>
      <c r="H334" s="304"/>
      <c r="I334" s="302">
        <f t="shared" si="46"/>
        <v>1000000000</v>
      </c>
      <c r="J334" s="304"/>
      <c r="K334" s="304"/>
      <c r="L334" s="305"/>
      <c r="M334" s="601"/>
      <c r="N334" s="2620">
        <f t="shared" si="44"/>
        <v>0</v>
      </c>
      <c r="O334" s="2620"/>
      <c r="P334" s="2723"/>
      <c r="Q334" s="305"/>
      <c r="R334" s="305"/>
      <c r="S334" s="305"/>
      <c r="T334" s="302">
        <f t="shared" si="47"/>
        <v>0</v>
      </c>
      <c r="U334" s="304"/>
      <c r="V334" s="305"/>
      <c r="W334" s="305"/>
      <c r="X334" s="305"/>
      <c r="Y334" s="305"/>
      <c r="Z334" s="305"/>
      <c r="AA334" s="305"/>
      <c r="AB334" s="277">
        <f t="shared" si="45"/>
        <v>1000000000</v>
      </c>
    </row>
    <row r="335" spans="2:28" ht="38.450000000000003" customHeight="1" x14ac:dyDescent="0.2">
      <c r="B335" s="4125"/>
      <c r="C335" s="2718" t="s">
        <v>752</v>
      </c>
      <c r="D335" s="2633" t="s">
        <v>751</v>
      </c>
      <c r="E335" s="2681">
        <v>2552417310</v>
      </c>
      <c r="F335" s="257"/>
      <c r="G335" s="302"/>
      <c r="H335" s="302"/>
      <c r="I335" s="302">
        <f t="shared" si="46"/>
        <v>2552417310</v>
      </c>
      <c r="J335" s="302"/>
      <c r="K335" s="302"/>
      <c r="L335" s="266"/>
      <c r="M335" s="495"/>
      <c r="N335" s="2620">
        <f t="shared" si="44"/>
        <v>0</v>
      </c>
      <c r="O335" s="2620"/>
      <c r="P335" s="2722"/>
      <c r="Q335" s="266"/>
      <c r="R335" s="266"/>
      <c r="S335" s="266"/>
      <c r="T335" s="302">
        <f t="shared" si="47"/>
        <v>0</v>
      </c>
      <c r="U335" s="302"/>
      <c r="V335" s="266"/>
      <c r="W335" s="266"/>
      <c r="X335" s="266"/>
      <c r="Y335" s="266"/>
      <c r="Z335" s="266"/>
      <c r="AA335" s="266"/>
      <c r="AB335" s="277">
        <f t="shared" si="45"/>
        <v>2552417310</v>
      </c>
    </row>
    <row r="336" spans="2:28" ht="38.450000000000003" customHeight="1" x14ac:dyDescent="0.2">
      <c r="B336" s="4125"/>
      <c r="C336" s="2718" t="s">
        <v>754</v>
      </c>
      <c r="D336" s="2633" t="s">
        <v>753</v>
      </c>
      <c r="E336" s="2681">
        <v>8133671669</v>
      </c>
      <c r="F336" s="257"/>
      <c r="G336" s="302"/>
      <c r="H336" s="302"/>
      <c r="I336" s="302">
        <f t="shared" si="46"/>
        <v>8133671669</v>
      </c>
      <c r="J336" s="302"/>
      <c r="K336" s="302"/>
      <c r="L336" s="266"/>
      <c r="M336" s="495"/>
      <c r="N336" s="2620">
        <f t="shared" si="44"/>
        <v>0</v>
      </c>
      <c r="O336" s="2620"/>
      <c r="P336" s="2722"/>
      <c r="Q336" s="266"/>
      <c r="R336" s="266"/>
      <c r="S336" s="266"/>
      <c r="T336" s="302">
        <f t="shared" si="47"/>
        <v>0</v>
      </c>
      <c r="U336" s="302"/>
      <c r="V336" s="266"/>
      <c r="W336" s="266"/>
      <c r="X336" s="266"/>
      <c r="Y336" s="266"/>
      <c r="Z336" s="266"/>
      <c r="AA336" s="266"/>
      <c r="AB336" s="277">
        <f t="shared" si="45"/>
        <v>8133671669</v>
      </c>
    </row>
    <row r="337" spans="2:30" ht="38.450000000000003" customHeight="1" x14ac:dyDescent="0.2">
      <c r="B337" s="4125"/>
      <c r="C337" s="4112" t="s">
        <v>94</v>
      </c>
      <c r="D337" s="4112"/>
      <c r="E337" s="2681">
        <f>SUM(E320:E336)</f>
        <v>48356299374874</v>
      </c>
      <c r="F337" s="2681">
        <f t="shared" ref="F337:AB337" si="48">SUM(F320:F336)</f>
        <v>137242313107</v>
      </c>
      <c r="G337" s="2681">
        <f t="shared" si="48"/>
        <v>10000256000000</v>
      </c>
      <c r="H337" s="2681">
        <f t="shared" si="48"/>
        <v>339796800</v>
      </c>
      <c r="I337" s="2681">
        <f t="shared" si="48"/>
        <v>48356639171674</v>
      </c>
      <c r="J337" s="2681">
        <f t="shared" si="48"/>
        <v>271500000000</v>
      </c>
      <c r="K337" s="2681">
        <f t="shared" si="48"/>
        <v>537208000000</v>
      </c>
      <c r="L337" s="2681">
        <f t="shared" si="48"/>
        <v>0</v>
      </c>
      <c r="M337" s="2681">
        <f t="shared" si="48"/>
        <v>0</v>
      </c>
      <c r="N337" s="2681">
        <f t="shared" si="48"/>
        <v>1647610000000</v>
      </c>
      <c r="O337" s="2681">
        <f t="shared" si="48"/>
        <v>9801019000000</v>
      </c>
      <c r="P337" s="2681">
        <f t="shared" si="48"/>
        <v>-1582060020</v>
      </c>
      <c r="Q337" s="2681">
        <f t="shared" si="48"/>
        <v>0</v>
      </c>
      <c r="R337" s="2681">
        <f t="shared" si="48"/>
        <v>0</v>
      </c>
      <c r="S337" s="2681">
        <f t="shared" si="48"/>
        <v>0</v>
      </c>
      <c r="T337" s="2681">
        <f t="shared" si="48"/>
        <v>-364939000000</v>
      </c>
      <c r="U337" s="2681">
        <f t="shared" si="48"/>
        <v>214138000000</v>
      </c>
      <c r="V337" s="2681">
        <f t="shared" si="48"/>
        <v>777870980000</v>
      </c>
      <c r="W337" s="2681">
        <f t="shared" si="48"/>
        <v>-196044000000</v>
      </c>
      <c r="X337" s="2681">
        <f t="shared" si="48"/>
        <v>0</v>
      </c>
      <c r="Y337" s="2681" t="e">
        <f t="shared" si="48"/>
        <v>#N/A</v>
      </c>
      <c r="Z337" s="2681" t="e">
        <f t="shared" si="48"/>
        <v>#N/A</v>
      </c>
      <c r="AA337" s="2681">
        <f t="shared" si="48"/>
        <v>0</v>
      </c>
      <c r="AB337" s="2681">
        <f t="shared" si="48"/>
        <v>60234712091654</v>
      </c>
      <c r="AD337" s="2603">
        <f>I337+W337+V337+U337+T337+P337+O337+N337</f>
        <v>60234712091654</v>
      </c>
    </row>
    <row r="338" spans="2:30" ht="38.450000000000003" customHeight="1" x14ac:dyDescent="0.2">
      <c r="B338" s="2653"/>
      <c r="C338" s="2616"/>
      <c r="D338" s="2616"/>
      <c r="E338" s="2654"/>
      <c r="F338" s="2654"/>
      <c r="G338" s="2654"/>
      <c r="H338" s="2654"/>
      <c r="I338" s="2654"/>
      <c r="J338" s="2654"/>
      <c r="K338" s="2654"/>
      <c r="L338" s="2654"/>
      <c r="M338" s="2654"/>
      <c r="N338" s="2654"/>
      <c r="O338" s="2724"/>
      <c r="P338" s="2654"/>
      <c r="Q338" s="2654"/>
      <c r="R338" s="2654"/>
      <c r="S338" s="2654"/>
      <c r="T338" s="2654"/>
      <c r="U338" s="2654"/>
      <c r="V338" s="2654"/>
      <c r="W338" s="2654"/>
      <c r="X338" s="2654"/>
      <c r="Y338" s="2654"/>
      <c r="Z338" s="2654"/>
      <c r="AA338" s="2654"/>
      <c r="AB338" s="2654"/>
    </row>
    <row r="339" spans="2:30" ht="38.450000000000003" customHeight="1" x14ac:dyDescent="0.2">
      <c r="B339" s="2653"/>
      <c r="C339" s="4128" t="s">
        <v>1854</v>
      </c>
      <c r="D339" s="4128"/>
      <c r="E339" s="4128"/>
      <c r="F339" s="4128"/>
      <c r="G339" s="4128"/>
      <c r="H339" s="4128"/>
      <c r="I339" s="4128"/>
      <c r="J339" s="4128"/>
      <c r="K339" s="4128"/>
      <c r="L339" s="4128"/>
      <c r="M339" s="4128"/>
      <c r="N339" s="4128"/>
      <c r="O339" s="4128"/>
      <c r="P339" s="4128"/>
      <c r="Q339" s="4128"/>
      <c r="R339" s="4128"/>
      <c r="S339" s="4128"/>
      <c r="T339" s="4128"/>
      <c r="U339" s="4128"/>
      <c r="V339" s="4128"/>
      <c r="W339" s="4128"/>
      <c r="X339" s="4128"/>
      <c r="Y339" s="4128"/>
      <c r="Z339" s="4128"/>
      <c r="AA339" s="4128"/>
      <c r="AB339" s="4128"/>
    </row>
    <row r="340" spans="2:30" ht="42.6" customHeight="1" x14ac:dyDescent="0.2">
      <c r="B340" s="4108" t="s">
        <v>295</v>
      </c>
      <c r="C340" s="4108"/>
      <c r="D340" s="4108"/>
      <c r="E340" s="4108"/>
      <c r="F340" s="4108"/>
      <c r="G340" s="4108"/>
      <c r="H340" s="4108"/>
      <c r="I340" s="4108"/>
      <c r="J340" s="4108"/>
      <c r="K340" s="4108"/>
      <c r="L340" s="4108"/>
      <c r="M340" s="4108"/>
      <c r="N340" s="4108"/>
      <c r="O340" s="4108"/>
      <c r="P340" s="4108"/>
      <c r="Q340" s="4108"/>
      <c r="R340" s="4108"/>
      <c r="S340" s="4108"/>
      <c r="T340" s="4108"/>
      <c r="U340" s="4108"/>
      <c r="V340" s="4108"/>
      <c r="W340" s="4108"/>
      <c r="X340" s="4108"/>
      <c r="Y340" s="4108"/>
      <c r="Z340" s="4108"/>
      <c r="AA340" s="4108"/>
      <c r="AB340" s="4108"/>
      <c r="AC340" s="1894"/>
    </row>
    <row r="341" spans="2:30" ht="42.6" customHeight="1" x14ac:dyDescent="0.2">
      <c r="B341" s="4108" t="s">
        <v>45</v>
      </c>
      <c r="C341" s="4108"/>
      <c r="D341" s="4108"/>
      <c r="E341" s="4108"/>
      <c r="F341" s="4108"/>
      <c r="G341" s="4108"/>
      <c r="H341" s="4108"/>
      <c r="I341" s="4108"/>
      <c r="J341" s="4108"/>
      <c r="K341" s="4108"/>
      <c r="L341" s="4108"/>
      <c r="M341" s="4108"/>
      <c r="N341" s="4108"/>
      <c r="O341" s="4108"/>
      <c r="P341" s="4108"/>
      <c r="Q341" s="4108"/>
      <c r="R341" s="4108"/>
      <c r="S341" s="4108"/>
      <c r="T341" s="4108"/>
      <c r="U341" s="4108"/>
      <c r="V341" s="4108"/>
      <c r="W341" s="4108"/>
      <c r="X341" s="4108"/>
      <c r="Y341" s="4108"/>
      <c r="Z341" s="4108"/>
      <c r="AA341" s="4108"/>
      <c r="AB341" s="4108"/>
      <c r="AC341" s="1894"/>
    </row>
    <row r="342" spans="2:30" ht="42.6" customHeight="1" x14ac:dyDescent="0.2">
      <c r="B342" s="4108" t="s">
        <v>46</v>
      </c>
      <c r="C342" s="4108"/>
      <c r="D342" s="4108"/>
      <c r="E342" s="4108"/>
      <c r="F342" s="4108"/>
      <c r="G342" s="4108"/>
      <c r="H342" s="4108"/>
      <c r="I342" s="4108"/>
      <c r="J342" s="4108"/>
      <c r="K342" s="4108"/>
      <c r="L342" s="4108"/>
      <c r="M342" s="4108"/>
      <c r="N342" s="4108"/>
      <c r="O342" s="4108"/>
      <c r="P342" s="4108"/>
      <c r="Q342" s="4108"/>
      <c r="R342" s="4108"/>
      <c r="S342" s="4108"/>
      <c r="T342" s="4108"/>
      <c r="U342" s="4108"/>
      <c r="V342" s="4108"/>
      <c r="W342" s="4108"/>
      <c r="X342" s="4108"/>
      <c r="Y342" s="4108"/>
      <c r="Z342" s="4108"/>
      <c r="AA342" s="4108"/>
      <c r="AB342" s="4108"/>
      <c r="AC342" s="1894"/>
    </row>
    <row r="343" spans="2:30" ht="42.6" customHeight="1" x14ac:dyDescent="0.2">
      <c r="B343" s="3294" t="s">
        <v>1981</v>
      </c>
      <c r="C343" s="3294"/>
      <c r="D343" s="3294"/>
      <c r="E343" s="3294"/>
      <c r="F343" s="3294"/>
      <c r="G343" s="3294"/>
      <c r="H343" s="3294"/>
      <c r="I343" s="3294"/>
      <c r="J343" s="3294"/>
      <c r="K343" s="3294"/>
      <c r="L343" s="3294"/>
      <c r="M343" s="3294"/>
      <c r="N343" s="3294"/>
      <c r="O343" s="3294"/>
      <c r="P343" s="3294"/>
      <c r="Q343" s="3294"/>
      <c r="R343" s="3294"/>
      <c r="S343" s="3294"/>
      <c r="T343" s="3294"/>
      <c r="U343" s="3294"/>
      <c r="V343" s="3294"/>
      <c r="W343" s="3294"/>
      <c r="X343" s="3294"/>
      <c r="Y343" s="3294"/>
      <c r="Z343" s="3294"/>
      <c r="AA343" s="3294"/>
      <c r="AB343" s="3294"/>
      <c r="AC343" s="1853"/>
    </row>
    <row r="344" spans="2:30" ht="49.9" customHeight="1" x14ac:dyDescent="0.2">
      <c r="B344" s="1722"/>
      <c r="C344" s="1722"/>
      <c r="D344" s="1722"/>
      <c r="E344" s="1722"/>
      <c r="F344" s="1722"/>
      <c r="G344" s="1722"/>
      <c r="H344" s="1722"/>
      <c r="I344" s="1722"/>
      <c r="J344" s="1722"/>
      <c r="K344" s="1722"/>
      <c r="L344" s="1722"/>
      <c r="M344" s="1722"/>
      <c r="N344" s="1722"/>
      <c r="O344" s="1722"/>
      <c r="P344" s="1722"/>
      <c r="Q344" s="1722"/>
      <c r="R344" s="1722"/>
      <c r="S344" s="1722"/>
      <c r="T344" s="1722"/>
      <c r="U344" s="1722"/>
      <c r="V344" s="1722"/>
      <c r="W344" s="1722"/>
      <c r="X344" s="1722"/>
      <c r="Y344" s="1722"/>
      <c r="Z344" s="1722"/>
      <c r="AA344" s="1722"/>
      <c r="AB344" s="1722"/>
      <c r="AC344" s="1853"/>
    </row>
    <row r="345" spans="2:30" ht="38.450000000000003" customHeight="1" x14ac:dyDescent="0.2">
      <c r="B345" s="4110" t="s">
        <v>1848</v>
      </c>
      <c r="C345" s="4110"/>
      <c r="D345" s="4110"/>
      <c r="E345" s="2656"/>
      <c r="F345" s="2657"/>
      <c r="G345" s="2658"/>
      <c r="H345" s="2658"/>
      <c r="I345" s="2658"/>
      <c r="J345" s="2658"/>
      <c r="K345" s="2658"/>
      <c r="L345" s="2658"/>
      <c r="M345" s="2658"/>
      <c r="N345" s="2658"/>
      <c r="O345" s="2658"/>
      <c r="P345" s="2658"/>
      <c r="Q345" s="2658"/>
      <c r="R345" s="2658"/>
      <c r="S345" s="2658"/>
      <c r="T345" s="2658"/>
      <c r="U345" s="2658"/>
      <c r="V345" s="2658"/>
      <c r="W345" s="2658"/>
      <c r="X345" s="104"/>
      <c r="Y345" s="104"/>
      <c r="Z345" s="104"/>
      <c r="AA345" s="104"/>
      <c r="AB345" s="2608" t="s">
        <v>194</v>
      </c>
    </row>
    <row r="346" spans="2:30" ht="45.6" customHeight="1" x14ac:dyDescent="0.2">
      <c r="B346" s="4112" t="s">
        <v>419</v>
      </c>
      <c r="C346" s="4117" t="s">
        <v>196</v>
      </c>
      <c r="D346" s="4124" t="s">
        <v>197</v>
      </c>
      <c r="E346" s="4111" t="s">
        <v>1400</v>
      </c>
      <c r="F346" s="2609"/>
      <c r="G346" s="4111" t="s">
        <v>921</v>
      </c>
      <c r="H346" s="4118" t="s">
        <v>1116</v>
      </c>
      <c r="I346" s="4118" t="s">
        <v>1271</v>
      </c>
      <c r="J346" s="4135" t="s">
        <v>1272</v>
      </c>
      <c r="K346" s="4136"/>
      <c r="L346" s="4136"/>
      <c r="M346" s="4136"/>
      <c r="N346" s="4136"/>
      <c r="O346" s="4137"/>
      <c r="P346" s="4113" t="s">
        <v>423</v>
      </c>
      <c r="Q346" s="4115" t="s">
        <v>827</v>
      </c>
      <c r="R346" s="4115" t="s">
        <v>888</v>
      </c>
      <c r="S346" s="4115"/>
      <c r="T346" s="4114" t="s">
        <v>2015</v>
      </c>
      <c r="U346" s="4121" t="s">
        <v>1274</v>
      </c>
      <c r="V346" s="4121" t="s">
        <v>2016</v>
      </c>
      <c r="W346" s="4116" t="s">
        <v>1033</v>
      </c>
      <c r="X346" s="2610"/>
      <c r="Y346" s="4127" t="s">
        <v>296</v>
      </c>
      <c r="Z346" s="4127" t="s">
        <v>190</v>
      </c>
      <c r="AA346" s="4129" t="s">
        <v>313</v>
      </c>
      <c r="AB346" s="4111" t="s">
        <v>2013</v>
      </c>
      <c r="AC346" s="2689"/>
    </row>
    <row r="347" spans="2:30" ht="18.600000000000001" customHeight="1" x14ac:dyDescent="0.2">
      <c r="B347" s="4112"/>
      <c r="C347" s="4117"/>
      <c r="D347" s="4124"/>
      <c r="E347" s="4111"/>
      <c r="F347" s="2609"/>
      <c r="G347" s="4111"/>
      <c r="H347" s="4119"/>
      <c r="I347" s="4119"/>
      <c r="J347" s="4138"/>
      <c r="K347" s="4139"/>
      <c r="L347" s="4139"/>
      <c r="M347" s="4139"/>
      <c r="N347" s="4139"/>
      <c r="O347" s="4140"/>
      <c r="P347" s="4113"/>
      <c r="Q347" s="4115"/>
      <c r="R347" s="4109" t="s">
        <v>889</v>
      </c>
      <c r="S347" s="4109" t="s">
        <v>890</v>
      </c>
      <c r="T347" s="4114"/>
      <c r="U347" s="4122"/>
      <c r="V347" s="4122"/>
      <c r="W347" s="4116"/>
      <c r="X347" s="2611"/>
      <c r="Y347" s="4127"/>
      <c r="Z347" s="4127"/>
      <c r="AA347" s="4130"/>
      <c r="AB347" s="4111"/>
      <c r="AC347" s="2689"/>
    </row>
    <row r="348" spans="2:30" ht="77.45" customHeight="1" x14ac:dyDescent="0.2">
      <c r="B348" s="4112"/>
      <c r="C348" s="4117"/>
      <c r="D348" s="4124"/>
      <c r="E348" s="4111"/>
      <c r="F348" s="2612" t="s">
        <v>421</v>
      </c>
      <c r="G348" s="2613" t="s">
        <v>27</v>
      </c>
      <c r="H348" s="4120"/>
      <c r="I348" s="4120"/>
      <c r="J348" s="2614" t="s">
        <v>1273</v>
      </c>
      <c r="K348" s="2614" t="s">
        <v>1292</v>
      </c>
      <c r="L348" s="2612" t="s">
        <v>999</v>
      </c>
      <c r="M348" s="2612" t="s">
        <v>422</v>
      </c>
      <c r="N348" s="2612" t="s">
        <v>2014</v>
      </c>
      <c r="O348" s="2615" t="s">
        <v>1794</v>
      </c>
      <c r="P348" s="4113"/>
      <c r="Q348" s="4115"/>
      <c r="R348" s="4109"/>
      <c r="S348" s="4109"/>
      <c r="T348" s="4114"/>
      <c r="U348" s="4123"/>
      <c r="V348" s="4123"/>
      <c r="W348" s="4116"/>
      <c r="X348" s="373" t="s">
        <v>62</v>
      </c>
      <c r="Y348" s="4127"/>
      <c r="Z348" s="4127"/>
      <c r="AA348" s="4131"/>
      <c r="AB348" s="4111"/>
      <c r="AC348" s="2689"/>
    </row>
    <row r="349" spans="2:30" ht="38.450000000000003" customHeight="1" x14ac:dyDescent="0.2">
      <c r="B349" s="4125" t="s">
        <v>180</v>
      </c>
      <c r="C349" s="4126" t="s">
        <v>181</v>
      </c>
      <c r="D349" s="4126"/>
      <c r="E349" s="2681">
        <f>E337</f>
        <v>48356299374874</v>
      </c>
      <c r="F349" s="2681">
        <f t="shared" ref="F349:AB349" si="49">F337</f>
        <v>137242313107</v>
      </c>
      <c r="G349" s="2681">
        <f t="shared" si="49"/>
        <v>10000256000000</v>
      </c>
      <c r="H349" s="2681">
        <f t="shared" si="49"/>
        <v>339796800</v>
      </c>
      <c r="I349" s="2681">
        <f t="shared" si="49"/>
        <v>48356639171674</v>
      </c>
      <c r="J349" s="2681">
        <f t="shared" si="49"/>
        <v>271500000000</v>
      </c>
      <c r="K349" s="2681">
        <f t="shared" si="49"/>
        <v>537208000000</v>
      </c>
      <c r="L349" s="2681">
        <f t="shared" si="49"/>
        <v>0</v>
      </c>
      <c r="M349" s="2681">
        <f t="shared" si="49"/>
        <v>0</v>
      </c>
      <c r="N349" s="2681">
        <f t="shared" si="49"/>
        <v>1647610000000</v>
      </c>
      <c r="O349" s="2681">
        <f t="shared" si="49"/>
        <v>9801019000000</v>
      </c>
      <c r="P349" s="2681">
        <f t="shared" si="49"/>
        <v>-1582060020</v>
      </c>
      <c r="Q349" s="2681">
        <f t="shared" si="49"/>
        <v>0</v>
      </c>
      <c r="R349" s="2681">
        <f t="shared" si="49"/>
        <v>0</v>
      </c>
      <c r="S349" s="2681">
        <f t="shared" si="49"/>
        <v>0</v>
      </c>
      <c r="T349" s="2681">
        <f t="shared" si="49"/>
        <v>-364939000000</v>
      </c>
      <c r="U349" s="2681">
        <f t="shared" si="49"/>
        <v>214138000000</v>
      </c>
      <c r="V349" s="2681">
        <f t="shared" si="49"/>
        <v>777870980000</v>
      </c>
      <c r="W349" s="2681">
        <f t="shared" si="49"/>
        <v>-196044000000</v>
      </c>
      <c r="X349" s="2681">
        <f t="shared" si="49"/>
        <v>0</v>
      </c>
      <c r="Y349" s="2681" t="e">
        <f t="shared" si="49"/>
        <v>#N/A</v>
      </c>
      <c r="Z349" s="2681" t="e">
        <f t="shared" si="49"/>
        <v>#N/A</v>
      </c>
      <c r="AA349" s="2681">
        <f t="shared" si="49"/>
        <v>0</v>
      </c>
      <c r="AB349" s="2681">
        <f t="shared" si="49"/>
        <v>60234712091654</v>
      </c>
      <c r="AC349" s="2689"/>
    </row>
    <row r="350" spans="2:30" ht="32.450000000000003" customHeight="1" x14ac:dyDescent="0.2">
      <c r="B350" s="4125"/>
      <c r="C350" s="2718" t="s">
        <v>788</v>
      </c>
      <c r="D350" s="2633" t="s">
        <v>683</v>
      </c>
      <c r="E350" s="2681">
        <v>199348841</v>
      </c>
      <c r="F350" s="257"/>
      <c r="G350" s="302"/>
      <c r="H350" s="302"/>
      <c r="I350" s="302">
        <f>E350+H350</f>
        <v>199348841</v>
      </c>
      <c r="J350" s="302"/>
      <c r="K350" s="302"/>
      <c r="L350" s="266"/>
      <c r="M350" s="266"/>
      <c r="N350" s="2620">
        <f t="shared" ref="N350:N362" si="50">J350+L350+M350+K350</f>
        <v>0</v>
      </c>
      <c r="O350" s="2620"/>
      <c r="P350" s="266"/>
      <c r="Q350" s="266"/>
      <c r="R350" s="266"/>
      <c r="S350" s="266"/>
      <c r="T350" s="302">
        <f>-K350</f>
        <v>0</v>
      </c>
      <c r="U350" s="302"/>
      <c r="V350" s="266"/>
      <c r="W350" s="266"/>
      <c r="X350" s="266"/>
      <c r="Y350" s="266"/>
      <c r="Z350" s="266"/>
      <c r="AA350" s="266"/>
      <c r="AB350" s="277">
        <f t="shared" ref="AB350:AB362" si="51">P350+W350+S350+R350+Q350+N350+T350+E350+V350+U350+O350+H350+M350</f>
        <v>199348841</v>
      </c>
    </row>
    <row r="351" spans="2:30" ht="32.450000000000003" customHeight="1" x14ac:dyDescent="0.2">
      <c r="B351" s="4125"/>
      <c r="C351" s="2718" t="s">
        <v>787</v>
      </c>
      <c r="D351" s="2633" t="s">
        <v>684</v>
      </c>
      <c r="E351" s="2681">
        <v>2042911786</v>
      </c>
      <c r="F351" s="257"/>
      <c r="G351" s="302"/>
      <c r="H351" s="302"/>
      <c r="I351" s="302">
        <f t="shared" ref="I351:I362" si="52">E351+H351</f>
        <v>2042911786</v>
      </c>
      <c r="J351" s="302"/>
      <c r="K351" s="302"/>
      <c r="L351" s="266"/>
      <c r="M351" s="266"/>
      <c r="N351" s="2620">
        <f t="shared" si="50"/>
        <v>0</v>
      </c>
      <c r="O351" s="2620"/>
      <c r="P351" s="266"/>
      <c r="Q351" s="266"/>
      <c r="R351" s="266"/>
      <c r="S351" s="266"/>
      <c r="T351" s="302">
        <f t="shared" ref="T351:T362" si="53">-K351</f>
        <v>0</v>
      </c>
      <c r="U351" s="302"/>
      <c r="V351" s="266"/>
      <c r="W351" s="266"/>
      <c r="X351" s="266"/>
      <c r="Y351" s="266"/>
      <c r="Z351" s="266"/>
      <c r="AA351" s="266"/>
      <c r="AB351" s="277">
        <f t="shared" si="51"/>
        <v>2042911786</v>
      </c>
    </row>
    <row r="352" spans="2:30" ht="32.450000000000003" hidden="1" customHeight="1" x14ac:dyDescent="0.2">
      <c r="B352" s="4125"/>
      <c r="C352" s="2718" t="s">
        <v>756</v>
      </c>
      <c r="D352" s="2633" t="s">
        <v>755</v>
      </c>
      <c r="E352" s="2681">
        <v>0</v>
      </c>
      <c r="F352" s="257"/>
      <c r="G352" s="302"/>
      <c r="H352" s="302"/>
      <c r="I352" s="302">
        <f t="shared" si="52"/>
        <v>0</v>
      </c>
      <c r="J352" s="302"/>
      <c r="K352" s="302"/>
      <c r="L352" s="266"/>
      <c r="M352" s="266"/>
      <c r="N352" s="2620">
        <f t="shared" si="50"/>
        <v>0</v>
      </c>
      <c r="O352" s="2620"/>
      <c r="P352" s="2725"/>
      <c r="Q352" s="266"/>
      <c r="R352" s="266"/>
      <c r="S352" s="266"/>
      <c r="T352" s="302">
        <f t="shared" si="53"/>
        <v>0</v>
      </c>
      <c r="U352" s="302"/>
      <c r="V352" s="266"/>
      <c r="W352" s="302"/>
      <c r="X352" s="266"/>
      <c r="Y352" s="266"/>
      <c r="Z352" s="266"/>
      <c r="AA352" s="266"/>
      <c r="AB352" s="277">
        <f t="shared" si="51"/>
        <v>0</v>
      </c>
    </row>
    <row r="353" spans="2:32" ht="32.450000000000003" customHeight="1" x14ac:dyDescent="0.2">
      <c r="B353" s="4125"/>
      <c r="C353" s="2718" t="s">
        <v>802</v>
      </c>
      <c r="D353" s="2633" t="s">
        <v>757</v>
      </c>
      <c r="E353" s="2681">
        <v>6800000000</v>
      </c>
      <c r="F353" s="257"/>
      <c r="G353" s="302"/>
      <c r="H353" s="302"/>
      <c r="I353" s="302">
        <f t="shared" si="52"/>
        <v>6800000000</v>
      </c>
      <c r="J353" s="302"/>
      <c r="K353" s="302"/>
      <c r="L353" s="266"/>
      <c r="M353" s="266"/>
      <c r="N353" s="2620">
        <f t="shared" si="50"/>
        <v>0</v>
      </c>
      <c r="O353" s="2620"/>
      <c r="P353" s="266"/>
      <c r="Q353" s="266"/>
      <c r="R353" s="266"/>
      <c r="S353" s="266"/>
      <c r="T353" s="302">
        <f t="shared" si="53"/>
        <v>0</v>
      </c>
      <c r="U353" s="302"/>
      <c r="V353" s="266"/>
      <c r="W353" s="266"/>
      <c r="X353" s="266"/>
      <c r="Y353" s="266"/>
      <c r="Z353" s="266"/>
      <c r="AA353" s="266"/>
      <c r="AB353" s="277">
        <f t="shared" si="51"/>
        <v>6800000000</v>
      </c>
    </row>
    <row r="354" spans="2:32" ht="32.450000000000003" customHeight="1" x14ac:dyDescent="0.2">
      <c r="B354" s="4125"/>
      <c r="C354" s="2718" t="s">
        <v>803</v>
      </c>
      <c r="D354" s="2633" t="s">
        <v>712</v>
      </c>
      <c r="E354" s="2681">
        <v>8067417650</v>
      </c>
      <c r="F354" s="257"/>
      <c r="G354" s="302"/>
      <c r="H354" s="302"/>
      <c r="I354" s="302">
        <f t="shared" si="52"/>
        <v>8067417650</v>
      </c>
      <c r="J354" s="302"/>
      <c r="K354" s="302"/>
      <c r="L354" s="266"/>
      <c r="M354" s="266"/>
      <c r="N354" s="2620">
        <f t="shared" si="50"/>
        <v>0</v>
      </c>
      <c r="O354" s="2620"/>
      <c r="P354" s="266"/>
      <c r="Q354" s="266"/>
      <c r="R354" s="266"/>
      <c r="S354" s="266"/>
      <c r="T354" s="302">
        <f t="shared" si="53"/>
        <v>0</v>
      </c>
      <c r="U354" s="302"/>
      <c r="V354" s="266"/>
      <c r="W354" s="266"/>
      <c r="X354" s="266"/>
      <c r="Y354" s="266"/>
      <c r="Z354" s="266"/>
      <c r="AA354" s="266"/>
      <c r="AB354" s="277">
        <f t="shared" si="51"/>
        <v>8067417650</v>
      </c>
    </row>
    <row r="355" spans="2:32" ht="32.450000000000003" customHeight="1" x14ac:dyDescent="0.2">
      <c r="B355" s="4125"/>
      <c r="C355" s="2718" t="s">
        <v>804</v>
      </c>
      <c r="D355" s="2633" t="s">
        <v>758</v>
      </c>
      <c r="E355" s="2681">
        <v>10390766753</v>
      </c>
      <c r="F355" s="257"/>
      <c r="G355" s="302"/>
      <c r="H355" s="302"/>
      <c r="I355" s="302">
        <f t="shared" si="52"/>
        <v>10390766753</v>
      </c>
      <c r="J355" s="302"/>
      <c r="K355" s="302"/>
      <c r="L355" s="266"/>
      <c r="M355" s="266"/>
      <c r="N355" s="2620">
        <f t="shared" si="50"/>
        <v>0</v>
      </c>
      <c r="O355" s="2620"/>
      <c r="P355" s="266"/>
      <c r="Q355" s="266"/>
      <c r="R355" s="266"/>
      <c r="S355" s="266"/>
      <c r="T355" s="302">
        <f t="shared" si="53"/>
        <v>0</v>
      </c>
      <c r="U355" s="302"/>
      <c r="V355" s="266"/>
      <c r="W355" s="266"/>
      <c r="X355" s="266"/>
      <c r="Y355" s="266"/>
      <c r="Z355" s="266"/>
      <c r="AA355" s="266"/>
      <c r="AB355" s="277">
        <f t="shared" si="51"/>
        <v>10390766753</v>
      </c>
    </row>
    <row r="356" spans="2:32" ht="32.450000000000003" customHeight="1" x14ac:dyDescent="0.2">
      <c r="B356" s="4125"/>
      <c r="C356" s="2718" t="s">
        <v>805</v>
      </c>
      <c r="D356" s="2633" t="s">
        <v>759</v>
      </c>
      <c r="E356" s="2681">
        <v>5318788275</v>
      </c>
      <c r="F356" s="257"/>
      <c r="G356" s="302"/>
      <c r="H356" s="302"/>
      <c r="I356" s="302">
        <f t="shared" si="52"/>
        <v>5318788275</v>
      </c>
      <c r="J356" s="302"/>
      <c r="K356" s="302"/>
      <c r="L356" s="266"/>
      <c r="M356" s="266"/>
      <c r="N356" s="2620">
        <f t="shared" si="50"/>
        <v>0</v>
      </c>
      <c r="O356" s="2620"/>
      <c r="P356" s="266"/>
      <c r="Q356" s="266"/>
      <c r="R356" s="266"/>
      <c r="S356" s="266"/>
      <c r="T356" s="302">
        <f t="shared" si="53"/>
        <v>0</v>
      </c>
      <c r="U356" s="302"/>
      <c r="V356" s="266"/>
      <c r="W356" s="266"/>
      <c r="X356" s="266"/>
      <c r="Y356" s="266"/>
      <c r="Z356" s="266"/>
      <c r="AA356" s="266"/>
      <c r="AB356" s="277">
        <f t="shared" si="51"/>
        <v>5318788275</v>
      </c>
    </row>
    <row r="357" spans="2:32" ht="32.450000000000003" customHeight="1" x14ac:dyDescent="0.2">
      <c r="B357" s="4125"/>
      <c r="C357" s="2632" t="s">
        <v>761</v>
      </c>
      <c r="D357" s="2633" t="s">
        <v>760</v>
      </c>
      <c r="E357" s="2681">
        <v>1640041808</v>
      </c>
      <c r="F357" s="257"/>
      <c r="G357" s="302"/>
      <c r="H357" s="302"/>
      <c r="I357" s="302">
        <f t="shared" si="52"/>
        <v>1640041808</v>
      </c>
      <c r="J357" s="302"/>
      <c r="K357" s="302"/>
      <c r="L357" s="266"/>
      <c r="M357" s="266"/>
      <c r="N357" s="2620">
        <f t="shared" si="50"/>
        <v>0</v>
      </c>
      <c r="O357" s="2620"/>
      <c r="P357" s="266"/>
      <c r="Q357" s="266"/>
      <c r="R357" s="266"/>
      <c r="S357" s="266"/>
      <c r="T357" s="302">
        <f t="shared" si="53"/>
        <v>0</v>
      </c>
      <c r="U357" s="302"/>
      <c r="V357" s="266"/>
      <c r="W357" s="266"/>
      <c r="X357" s="266"/>
      <c r="Y357" s="266"/>
      <c r="Z357" s="266"/>
      <c r="AA357" s="266"/>
      <c r="AB357" s="277">
        <f t="shared" si="51"/>
        <v>1640041808</v>
      </c>
    </row>
    <row r="358" spans="2:32" ht="32.450000000000003" customHeight="1" x14ac:dyDescent="0.2">
      <c r="B358" s="4125"/>
      <c r="C358" s="2632" t="s">
        <v>763</v>
      </c>
      <c r="D358" s="2633" t="s">
        <v>762</v>
      </c>
      <c r="E358" s="2681">
        <v>68605495</v>
      </c>
      <c r="F358" s="257"/>
      <c r="G358" s="302"/>
      <c r="H358" s="302"/>
      <c r="I358" s="302">
        <f t="shared" si="52"/>
        <v>68605495</v>
      </c>
      <c r="J358" s="302"/>
      <c r="K358" s="302"/>
      <c r="L358" s="266"/>
      <c r="M358" s="266"/>
      <c r="N358" s="2620">
        <f t="shared" si="50"/>
        <v>0</v>
      </c>
      <c r="O358" s="2620"/>
      <c r="P358" s="266"/>
      <c r="Q358" s="266"/>
      <c r="R358" s="266"/>
      <c r="S358" s="266"/>
      <c r="T358" s="302">
        <f t="shared" si="53"/>
        <v>0</v>
      </c>
      <c r="U358" s="302"/>
      <c r="V358" s="266"/>
      <c r="W358" s="266"/>
      <c r="X358" s="266"/>
      <c r="Y358" s="266"/>
      <c r="Z358" s="266"/>
      <c r="AA358" s="266"/>
      <c r="AB358" s="277">
        <f t="shared" si="51"/>
        <v>68605495</v>
      </c>
    </row>
    <row r="359" spans="2:32" ht="32.450000000000003" customHeight="1" x14ac:dyDescent="0.2">
      <c r="B359" s="4125"/>
      <c r="C359" s="2632" t="s">
        <v>765</v>
      </c>
      <c r="D359" s="2633" t="s">
        <v>764</v>
      </c>
      <c r="E359" s="2681">
        <v>303000000</v>
      </c>
      <c r="F359" s="257"/>
      <c r="G359" s="302"/>
      <c r="H359" s="302"/>
      <c r="I359" s="302">
        <f t="shared" si="52"/>
        <v>303000000</v>
      </c>
      <c r="J359" s="302"/>
      <c r="K359" s="302"/>
      <c r="L359" s="266"/>
      <c r="M359" s="266"/>
      <c r="N359" s="2620">
        <f t="shared" si="50"/>
        <v>0</v>
      </c>
      <c r="O359" s="2620"/>
      <c r="P359" s="266"/>
      <c r="Q359" s="266"/>
      <c r="R359" s="266"/>
      <c r="S359" s="266"/>
      <c r="T359" s="302">
        <f t="shared" si="53"/>
        <v>0</v>
      </c>
      <c r="U359" s="302"/>
      <c r="V359" s="266"/>
      <c r="W359" s="266"/>
      <c r="X359" s="266"/>
      <c r="Y359" s="266"/>
      <c r="Z359" s="266"/>
      <c r="AA359" s="266"/>
      <c r="AB359" s="277">
        <f t="shared" si="51"/>
        <v>303000000</v>
      </c>
    </row>
    <row r="360" spans="2:32" ht="32.450000000000003" customHeight="1" x14ac:dyDescent="0.2">
      <c r="B360" s="4125"/>
      <c r="C360" s="2632" t="s">
        <v>767</v>
      </c>
      <c r="D360" s="2633" t="s">
        <v>766</v>
      </c>
      <c r="E360" s="2681">
        <v>819867135</v>
      </c>
      <c r="F360" s="257"/>
      <c r="G360" s="302"/>
      <c r="H360" s="302"/>
      <c r="I360" s="302">
        <f t="shared" si="52"/>
        <v>819867135</v>
      </c>
      <c r="J360" s="302"/>
      <c r="K360" s="302"/>
      <c r="L360" s="266"/>
      <c r="M360" s="266"/>
      <c r="N360" s="2620">
        <f t="shared" si="50"/>
        <v>0</v>
      </c>
      <c r="O360" s="2620"/>
      <c r="P360" s="266"/>
      <c r="Q360" s="266"/>
      <c r="R360" s="266"/>
      <c r="S360" s="266"/>
      <c r="T360" s="302">
        <f t="shared" si="53"/>
        <v>0</v>
      </c>
      <c r="U360" s="302"/>
      <c r="V360" s="266"/>
      <c r="W360" s="266"/>
      <c r="X360" s="266"/>
      <c r="Y360" s="266"/>
      <c r="Z360" s="266"/>
      <c r="AA360" s="266"/>
      <c r="AB360" s="277">
        <f t="shared" si="51"/>
        <v>819867135</v>
      </c>
    </row>
    <row r="361" spans="2:32" ht="32.450000000000003" customHeight="1" x14ac:dyDescent="0.2">
      <c r="B361" s="4125"/>
      <c r="C361" s="2632" t="s">
        <v>769</v>
      </c>
      <c r="D361" s="2633" t="s">
        <v>768</v>
      </c>
      <c r="E361" s="2681">
        <v>213884959</v>
      </c>
      <c r="F361" s="257"/>
      <c r="G361" s="302"/>
      <c r="H361" s="302"/>
      <c r="I361" s="302">
        <f t="shared" si="52"/>
        <v>213884959</v>
      </c>
      <c r="J361" s="302"/>
      <c r="K361" s="302"/>
      <c r="L361" s="266"/>
      <c r="M361" s="266"/>
      <c r="N361" s="2620">
        <f t="shared" si="50"/>
        <v>0</v>
      </c>
      <c r="O361" s="2620"/>
      <c r="P361" s="266"/>
      <c r="Q361" s="266"/>
      <c r="R361" s="266"/>
      <c r="S361" s="266"/>
      <c r="T361" s="302">
        <f t="shared" si="53"/>
        <v>0</v>
      </c>
      <c r="U361" s="302"/>
      <c r="V361" s="266"/>
      <c r="W361" s="266"/>
      <c r="X361" s="266"/>
      <c r="Y361" s="266"/>
      <c r="Z361" s="266"/>
      <c r="AA361" s="266"/>
      <c r="AB361" s="277">
        <f t="shared" si="51"/>
        <v>213884959</v>
      </c>
    </row>
    <row r="362" spans="2:32" ht="32.450000000000003" customHeight="1" x14ac:dyDescent="0.2">
      <c r="B362" s="4125"/>
      <c r="C362" s="2632" t="s">
        <v>771</v>
      </c>
      <c r="D362" s="2633" t="s">
        <v>770</v>
      </c>
      <c r="E362" s="2681">
        <v>1019509766</v>
      </c>
      <c r="F362" s="257"/>
      <c r="G362" s="302"/>
      <c r="H362" s="302"/>
      <c r="I362" s="302">
        <f t="shared" si="52"/>
        <v>1019509766</v>
      </c>
      <c r="J362" s="302"/>
      <c r="K362" s="302"/>
      <c r="L362" s="266"/>
      <c r="M362" s="266"/>
      <c r="N362" s="2620">
        <f t="shared" si="50"/>
        <v>0</v>
      </c>
      <c r="O362" s="2620"/>
      <c r="P362" s="266"/>
      <c r="Q362" s="266"/>
      <c r="R362" s="266"/>
      <c r="S362" s="266"/>
      <c r="T362" s="302">
        <f t="shared" si="53"/>
        <v>0</v>
      </c>
      <c r="U362" s="302"/>
      <c r="V362" s="266"/>
      <c r="W362" s="266"/>
      <c r="X362" s="266"/>
      <c r="Y362" s="266"/>
      <c r="Z362" s="266"/>
      <c r="AA362" s="266"/>
      <c r="AB362" s="277">
        <f t="shared" si="51"/>
        <v>1019509766</v>
      </c>
    </row>
    <row r="363" spans="2:32" ht="32.450000000000003" customHeight="1" x14ac:dyDescent="0.2">
      <c r="B363" s="4125"/>
      <c r="C363" s="4112" t="s">
        <v>94</v>
      </c>
      <c r="D363" s="4112"/>
      <c r="E363" s="2681">
        <f>SUM(E349:E362)</f>
        <v>48393183517342</v>
      </c>
      <c r="F363" s="2681">
        <f t="shared" ref="F363:AB363" si="54">SUM(F349:F362)</f>
        <v>137242313107</v>
      </c>
      <c r="G363" s="2681">
        <f t="shared" si="54"/>
        <v>10000256000000</v>
      </c>
      <c r="H363" s="2681">
        <f t="shared" si="54"/>
        <v>339796800</v>
      </c>
      <c r="I363" s="2681">
        <f t="shared" si="54"/>
        <v>48393523314142</v>
      </c>
      <c r="J363" s="2681">
        <f t="shared" si="54"/>
        <v>271500000000</v>
      </c>
      <c r="K363" s="2681">
        <f t="shared" si="54"/>
        <v>537208000000</v>
      </c>
      <c r="L363" s="2681">
        <f t="shared" si="54"/>
        <v>0</v>
      </c>
      <c r="M363" s="2681">
        <f t="shared" si="54"/>
        <v>0</v>
      </c>
      <c r="N363" s="2681">
        <f t="shared" si="54"/>
        <v>1647610000000</v>
      </c>
      <c r="O363" s="2681">
        <f t="shared" si="54"/>
        <v>9801019000000</v>
      </c>
      <c r="P363" s="2681">
        <f t="shared" si="54"/>
        <v>-1582060020</v>
      </c>
      <c r="Q363" s="2681">
        <f t="shared" si="54"/>
        <v>0</v>
      </c>
      <c r="R363" s="2681">
        <f t="shared" si="54"/>
        <v>0</v>
      </c>
      <c r="S363" s="2681">
        <f t="shared" si="54"/>
        <v>0</v>
      </c>
      <c r="T363" s="2681">
        <f t="shared" si="54"/>
        <v>-364939000000</v>
      </c>
      <c r="U363" s="2681">
        <f t="shared" si="54"/>
        <v>214138000000</v>
      </c>
      <c r="V363" s="2681">
        <f t="shared" si="54"/>
        <v>777870980000</v>
      </c>
      <c r="W363" s="2681">
        <f t="shared" si="54"/>
        <v>-196044000000</v>
      </c>
      <c r="X363" s="2681">
        <f t="shared" si="54"/>
        <v>0</v>
      </c>
      <c r="Y363" s="2681" t="e">
        <f t="shared" si="54"/>
        <v>#N/A</v>
      </c>
      <c r="Z363" s="2681" t="e">
        <f t="shared" si="54"/>
        <v>#N/A</v>
      </c>
      <c r="AA363" s="2681">
        <f t="shared" si="54"/>
        <v>0</v>
      </c>
      <c r="AB363" s="2681">
        <f t="shared" si="54"/>
        <v>60271596234122</v>
      </c>
      <c r="AF363" s="2603">
        <f>W363+V363+U363+T363+P363+O363+N363+I363</f>
        <v>60271596234122</v>
      </c>
    </row>
    <row r="364" spans="2:32" ht="32.450000000000003" customHeight="1" x14ac:dyDescent="0.2">
      <c r="B364" s="2653"/>
      <c r="C364" s="2616"/>
      <c r="D364" s="2616"/>
      <c r="E364" s="2654"/>
      <c r="F364" s="2654"/>
      <c r="G364" s="2654"/>
      <c r="H364" s="2654"/>
      <c r="I364" s="2654"/>
      <c r="J364" s="2654"/>
      <c r="K364" s="2654"/>
      <c r="L364" s="2654"/>
      <c r="M364" s="2654"/>
      <c r="N364" s="2654"/>
      <c r="O364" s="2654"/>
      <c r="P364" s="2654"/>
      <c r="Q364" s="2654"/>
      <c r="R364" s="2654"/>
      <c r="S364" s="2654"/>
      <c r="T364" s="2654"/>
      <c r="U364" s="2654"/>
      <c r="V364" s="2654"/>
      <c r="W364" s="2654"/>
      <c r="X364" s="2654"/>
      <c r="Y364" s="2654"/>
      <c r="Z364" s="2654"/>
      <c r="AA364" s="2654"/>
      <c r="AB364" s="2654"/>
    </row>
    <row r="365" spans="2:32" ht="14.25" customHeight="1" x14ac:dyDescent="0.2">
      <c r="B365" s="2653"/>
      <c r="C365" s="2616"/>
      <c r="D365" s="2616"/>
      <c r="E365" s="2654"/>
      <c r="F365" s="2654"/>
      <c r="G365" s="2654"/>
      <c r="H365" s="2654"/>
      <c r="I365" s="2654"/>
      <c r="J365" s="2654"/>
      <c r="K365" s="2654"/>
      <c r="L365" s="2654"/>
      <c r="M365" s="2654"/>
      <c r="N365" s="2654"/>
      <c r="O365" s="2654"/>
      <c r="P365" s="2654"/>
      <c r="Q365" s="2654"/>
      <c r="R365" s="2654"/>
      <c r="S365" s="2654"/>
      <c r="T365" s="2654"/>
      <c r="U365" s="2654"/>
      <c r="V365" s="2654"/>
      <c r="W365" s="2654"/>
      <c r="X365" s="2654"/>
      <c r="Y365" s="2654"/>
      <c r="Z365" s="2654"/>
      <c r="AA365" s="2654"/>
      <c r="AB365" s="2654"/>
    </row>
    <row r="366" spans="2:32" ht="25.9" customHeight="1" x14ac:dyDescent="0.2">
      <c r="B366" s="2653"/>
      <c r="C366" s="4128" t="s">
        <v>2280</v>
      </c>
      <c r="D366" s="4128"/>
      <c r="E366" s="4128"/>
      <c r="F366" s="4128"/>
      <c r="G366" s="4128"/>
      <c r="H366" s="4128"/>
      <c r="I366" s="4128"/>
      <c r="J366" s="4128"/>
      <c r="K366" s="4128"/>
      <c r="L366" s="4128"/>
      <c r="M366" s="4128"/>
      <c r="N366" s="4128"/>
      <c r="O366" s="4128"/>
      <c r="P366" s="4128"/>
      <c r="Q366" s="4128"/>
      <c r="R366" s="4128"/>
      <c r="S366" s="4128"/>
      <c r="T366" s="4128"/>
      <c r="U366" s="4128"/>
      <c r="V366" s="4128"/>
      <c r="W366" s="4128"/>
      <c r="X366" s="4128"/>
      <c r="Y366" s="4128"/>
      <c r="Z366" s="4128"/>
      <c r="AA366" s="4128"/>
      <c r="AB366" s="4128"/>
    </row>
    <row r="367" spans="2:32" ht="31.9" customHeight="1" x14ac:dyDescent="0.2">
      <c r="B367" s="4108" t="s">
        <v>295</v>
      </c>
      <c r="C367" s="4108"/>
      <c r="D367" s="4108"/>
      <c r="E367" s="4108"/>
      <c r="F367" s="4108"/>
      <c r="G367" s="4108"/>
      <c r="H367" s="4108"/>
      <c r="I367" s="4108"/>
      <c r="J367" s="4108"/>
      <c r="K367" s="4108"/>
      <c r="L367" s="4108"/>
      <c r="M367" s="4108"/>
      <c r="N367" s="4108"/>
      <c r="O367" s="4108"/>
      <c r="P367" s="4108"/>
      <c r="Q367" s="4108"/>
      <c r="R367" s="4108"/>
      <c r="S367" s="4108"/>
      <c r="T367" s="4108"/>
      <c r="U367" s="4108"/>
      <c r="V367" s="4108"/>
      <c r="W367" s="4108"/>
      <c r="X367" s="4108"/>
      <c r="Y367" s="4108"/>
      <c r="Z367" s="4108"/>
      <c r="AA367" s="4108"/>
      <c r="AB367" s="4108"/>
      <c r="AC367" s="1894"/>
    </row>
    <row r="368" spans="2:32" ht="31.9" customHeight="1" x14ac:dyDescent="0.2">
      <c r="B368" s="4108" t="s">
        <v>45</v>
      </c>
      <c r="C368" s="4108"/>
      <c r="D368" s="4108"/>
      <c r="E368" s="4108"/>
      <c r="F368" s="4108"/>
      <c r="G368" s="4108"/>
      <c r="H368" s="4108"/>
      <c r="I368" s="4108"/>
      <c r="J368" s="4108"/>
      <c r="K368" s="4108"/>
      <c r="L368" s="4108"/>
      <c r="M368" s="4108"/>
      <c r="N368" s="4108"/>
      <c r="O368" s="4108"/>
      <c r="P368" s="4108"/>
      <c r="Q368" s="4108"/>
      <c r="R368" s="4108"/>
      <c r="S368" s="4108"/>
      <c r="T368" s="4108"/>
      <c r="U368" s="4108"/>
      <c r="V368" s="4108"/>
      <c r="W368" s="4108"/>
      <c r="X368" s="4108"/>
      <c r="Y368" s="4108"/>
      <c r="Z368" s="4108"/>
      <c r="AA368" s="4108"/>
      <c r="AB368" s="4108"/>
      <c r="AC368" s="1894"/>
    </row>
    <row r="369" spans="2:29" ht="31.9" customHeight="1" x14ac:dyDescent="0.2">
      <c r="B369" s="4108" t="s">
        <v>46</v>
      </c>
      <c r="C369" s="4108"/>
      <c r="D369" s="4108"/>
      <c r="E369" s="4108"/>
      <c r="F369" s="4108"/>
      <c r="G369" s="4108"/>
      <c r="H369" s="4108"/>
      <c r="I369" s="4108"/>
      <c r="J369" s="4108"/>
      <c r="K369" s="4108"/>
      <c r="L369" s="4108"/>
      <c r="M369" s="4108"/>
      <c r="N369" s="4108"/>
      <c r="O369" s="4108"/>
      <c r="P369" s="4108"/>
      <c r="Q369" s="4108"/>
      <c r="R369" s="4108"/>
      <c r="S369" s="4108"/>
      <c r="T369" s="4108"/>
      <c r="U369" s="4108"/>
      <c r="V369" s="4108"/>
      <c r="W369" s="4108"/>
      <c r="X369" s="4108"/>
      <c r="Y369" s="4108"/>
      <c r="Z369" s="4108"/>
      <c r="AA369" s="4108"/>
      <c r="AB369" s="4108"/>
      <c r="AC369" s="1894"/>
    </row>
    <row r="370" spans="2:29" ht="31.9" customHeight="1" x14ac:dyDescent="0.2">
      <c r="B370" s="3294" t="s">
        <v>1981</v>
      </c>
      <c r="C370" s="3294"/>
      <c r="D370" s="3294"/>
      <c r="E370" s="3294"/>
      <c r="F370" s="3294"/>
      <c r="G370" s="3294"/>
      <c r="H370" s="3294"/>
      <c r="I370" s="3294"/>
      <c r="J370" s="3294"/>
      <c r="K370" s="3294"/>
      <c r="L370" s="3294"/>
      <c r="M370" s="3294"/>
      <c r="N370" s="3294"/>
      <c r="O370" s="3294"/>
      <c r="P370" s="3294"/>
      <c r="Q370" s="3294"/>
      <c r="R370" s="3294"/>
      <c r="S370" s="3294"/>
      <c r="T370" s="3294"/>
      <c r="U370" s="3294"/>
      <c r="V370" s="3294"/>
      <c r="W370" s="3294"/>
      <c r="X370" s="3294"/>
      <c r="Y370" s="3294"/>
      <c r="Z370" s="3294"/>
      <c r="AA370" s="3294"/>
      <c r="AB370" s="3294"/>
      <c r="AC370" s="1853"/>
    </row>
    <row r="371" spans="2:29" ht="31.9" customHeight="1" x14ac:dyDescent="0.2">
      <c r="B371" s="1722"/>
      <c r="C371" s="1722"/>
      <c r="D371" s="1722"/>
      <c r="E371" s="1722"/>
      <c r="F371" s="1722"/>
      <c r="G371" s="1722"/>
      <c r="H371" s="1722"/>
      <c r="I371" s="1722"/>
      <c r="J371" s="1722"/>
      <c r="K371" s="1722"/>
      <c r="L371" s="1722"/>
      <c r="M371" s="1722"/>
      <c r="N371" s="1722"/>
      <c r="O371" s="1722"/>
      <c r="P371" s="1722"/>
      <c r="Q371" s="1722"/>
      <c r="R371" s="1722"/>
      <c r="S371" s="1722"/>
      <c r="T371" s="1722"/>
      <c r="U371" s="1722"/>
      <c r="V371" s="1722"/>
      <c r="W371" s="1722"/>
      <c r="X371" s="1722"/>
      <c r="Y371" s="1722"/>
      <c r="Z371" s="1722"/>
      <c r="AA371" s="1722"/>
      <c r="AB371" s="1722"/>
      <c r="AC371" s="1853"/>
    </row>
    <row r="372" spans="2:29" ht="31.9" customHeight="1" x14ac:dyDescent="0.2">
      <c r="B372" s="1722"/>
      <c r="C372" s="1722"/>
      <c r="D372" s="1722"/>
      <c r="E372" s="1722"/>
      <c r="F372" s="1722"/>
      <c r="G372" s="1722"/>
      <c r="H372" s="1722"/>
      <c r="I372" s="1722"/>
      <c r="J372" s="1722"/>
      <c r="K372" s="1722"/>
      <c r="L372" s="1722"/>
      <c r="M372" s="1722"/>
      <c r="N372" s="1722"/>
      <c r="O372" s="1722"/>
      <c r="P372" s="1722"/>
      <c r="Q372" s="1722"/>
      <c r="R372" s="1722"/>
      <c r="S372" s="1722"/>
      <c r="T372" s="1722"/>
      <c r="U372" s="1722"/>
      <c r="V372" s="1722"/>
      <c r="W372" s="1722"/>
      <c r="X372" s="1722"/>
      <c r="Y372" s="1722"/>
      <c r="Z372" s="1722"/>
      <c r="AA372" s="1722"/>
      <c r="AB372" s="1722"/>
      <c r="AC372" s="1853"/>
    </row>
    <row r="373" spans="2:29" ht="25.9" customHeight="1" x14ac:dyDescent="0.2">
      <c r="B373" s="4110" t="s">
        <v>1848</v>
      </c>
      <c r="C373" s="4110"/>
      <c r="D373" s="4110"/>
      <c r="E373" s="2656"/>
      <c r="F373" s="2657"/>
      <c r="G373" s="2658"/>
      <c r="H373" s="2658"/>
      <c r="I373" s="2658"/>
      <c r="J373" s="2658"/>
      <c r="K373" s="2658"/>
      <c r="L373" s="2658"/>
      <c r="M373" s="2658"/>
      <c r="N373" s="2658"/>
      <c r="O373" s="2658"/>
      <c r="P373" s="2658"/>
      <c r="Q373" s="2658"/>
      <c r="R373" s="2658"/>
      <c r="S373" s="2658"/>
      <c r="T373" s="2658"/>
      <c r="U373" s="2658"/>
      <c r="V373" s="2658"/>
      <c r="W373" s="2658"/>
      <c r="X373" s="104"/>
      <c r="Y373" s="104"/>
      <c r="Z373" s="104"/>
      <c r="AA373" s="104"/>
      <c r="AB373" s="2608" t="s">
        <v>194</v>
      </c>
    </row>
    <row r="374" spans="2:29" ht="54" customHeight="1" x14ac:dyDescent="0.2">
      <c r="B374" s="4112" t="s">
        <v>419</v>
      </c>
      <c r="C374" s="4117" t="s">
        <v>196</v>
      </c>
      <c r="D374" s="4124" t="s">
        <v>197</v>
      </c>
      <c r="E374" s="4111" t="s">
        <v>1400</v>
      </c>
      <c r="F374" s="2609"/>
      <c r="G374" s="4111" t="s">
        <v>921</v>
      </c>
      <c r="H374" s="4118" t="s">
        <v>1116</v>
      </c>
      <c r="I374" s="4118" t="s">
        <v>1271</v>
      </c>
      <c r="J374" s="4135" t="s">
        <v>1272</v>
      </c>
      <c r="K374" s="4136"/>
      <c r="L374" s="4136"/>
      <c r="M374" s="4136"/>
      <c r="N374" s="4136"/>
      <c r="O374" s="4137"/>
      <c r="P374" s="4113" t="s">
        <v>423</v>
      </c>
      <c r="Q374" s="4115" t="s">
        <v>827</v>
      </c>
      <c r="R374" s="4115" t="s">
        <v>888</v>
      </c>
      <c r="S374" s="4115"/>
      <c r="T374" s="4114" t="s">
        <v>2015</v>
      </c>
      <c r="U374" s="4121" t="s">
        <v>1274</v>
      </c>
      <c r="V374" s="4121" t="s">
        <v>2016</v>
      </c>
      <c r="W374" s="4116" t="s">
        <v>1033</v>
      </c>
      <c r="X374" s="2610"/>
      <c r="Y374" s="4127" t="s">
        <v>296</v>
      </c>
      <c r="Z374" s="4127" t="s">
        <v>190</v>
      </c>
      <c r="AA374" s="4129" t="s">
        <v>313</v>
      </c>
      <c r="AB374" s="4111" t="s">
        <v>2013</v>
      </c>
      <c r="AC374" s="2689"/>
    </row>
    <row r="375" spans="2:29" ht="27.6" customHeight="1" x14ac:dyDescent="0.2">
      <c r="B375" s="4112"/>
      <c r="C375" s="4117"/>
      <c r="D375" s="4124"/>
      <c r="E375" s="4111"/>
      <c r="F375" s="2609"/>
      <c r="G375" s="4111"/>
      <c r="H375" s="4119"/>
      <c r="I375" s="4119"/>
      <c r="J375" s="4138"/>
      <c r="K375" s="4139"/>
      <c r="L375" s="4139"/>
      <c r="M375" s="4139"/>
      <c r="N375" s="4139"/>
      <c r="O375" s="4140"/>
      <c r="P375" s="4113"/>
      <c r="Q375" s="4115"/>
      <c r="R375" s="4109" t="s">
        <v>889</v>
      </c>
      <c r="S375" s="4109" t="s">
        <v>890</v>
      </c>
      <c r="T375" s="4114"/>
      <c r="U375" s="4122"/>
      <c r="V375" s="4122"/>
      <c r="W375" s="4116"/>
      <c r="X375" s="2611"/>
      <c r="Y375" s="4127"/>
      <c r="Z375" s="4127"/>
      <c r="AA375" s="4130"/>
      <c r="AB375" s="4111"/>
      <c r="AC375" s="2689"/>
    </row>
    <row r="376" spans="2:29" ht="64.900000000000006" customHeight="1" x14ac:dyDescent="0.2">
      <c r="B376" s="4112"/>
      <c r="C376" s="4117"/>
      <c r="D376" s="4124"/>
      <c r="E376" s="4111"/>
      <c r="F376" s="2612" t="s">
        <v>421</v>
      </c>
      <c r="G376" s="2613" t="s">
        <v>27</v>
      </c>
      <c r="H376" s="4120"/>
      <c r="I376" s="4120"/>
      <c r="J376" s="2614" t="s">
        <v>1273</v>
      </c>
      <c r="K376" s="2614" t="s">
        <v>1292</v>
      </c>
      <c r="L376" s="2612" t="s">
        <v>999</v>
      </c>
      <c r="M376" s="2612" t="s">
        <v>422</v>
      </c>
      <c r="N376" s="2612" t="s">
        <v>2014</v>
      </c>
      <c r="O376" s="2615" t="s">
        <v>1794</v>
      </c>
      <c r="P376" s="4113"/>
      <c r="Q376" s="4115"/>
      <c r="R376" s="4109"/>
      <c r="S376" s="4109"/>
      <c r="T376" s="4114"/>
      <c r="U376" s="4123"/>
      <c r="V376" s="4123"/>
      <c r="W376" s="4116"/>
      <c r="X376" s="373" t="s">
        <v>62</v>
      </c>
      <c r="Y376" s="4127"/>
      <c r="Z376" s="4127"/>
      <c r="AA376" s="4131"/>
      <c r="AB376" s="4111"/>
      <c r="AC376" s="2689"/>
    </row>
    <row r="377" spans="2:29" ht="36" customHeight="1" x14ac:dyDescent="0.2">
      <c r="B377" s="4142" t="s">
        <v>180</v>
      </c>
      <c r="C377" s="4126" t="s">
        <v>181</v>
      </c>
      <c r="D377" s="4126"/>
      <c r="E377" s="2681">
        <f>E363</f>
        <v>48393183517342</v>
      </c>
      <c r="F377" s="2681">
        <f t="shared" ref="F377:AB377" si="55">F363</f>
        <v>137242313107</v>
      </c>
      <c r="G377" s="2681">
        <f t="shared" si="55"/>
        <v>10000256000000</v>
      </c>
      <c r="H377" s="2681">
        <f t="shared" si="55"/>
        <v>339796800</v>
      </c>
      <c r="I377" s="2681">
        <f t="shared" si="55"/>
        <v>48393523314142</v>
      </c>
      <c r="J377" s="2681">
        <f t="shared" si="55"/>
        <v>271500000000</v>
      </c>
      <c r="K377" s="2681">
        <f t="shared" si="55"/>
        <v>537208000000</v>
      </c>
      <c r="L377" s="2681">
        <f t="shared" si="55"/>
        <v>0</v>
      </c>
      <c r="M377" s="2681">
        <f t="shared" si="55"/>
        <v>0</v>
      </c>
      <c r="N377" s="2681">
        <f t="shared" si="55"/>
        <v>1647610000000</v>
      </c>
      <c r="O377" s="2681">
        <f t="shared" si="55"/>
        <v>9801019000000</v>
      </c>
      <c r="P377" s="2681">
        <f t="shared" si="55"/>
        <v>-1582060020</v>
      </c>
      <c r="Q377" s="2681">
        <f t="shared" si="55"/>
        <v>0</v>
      </c>
      <c r="R377" s="2681">
        <f t="shared" si="55"/>
        <v>0</v>
      </c>
      <c r="S377" s="2681">
        <f t="shared" si="55"/>
        <v>0</v>
      </c>
      <c r="T377" s="2681">
        <f t="shared" si="55"/>
        <v>-364939000000</v>
      </c>
      <c r="U377" s="2681">
        <f t="shared" si="55"/>
        <v>214138000000</v>
      </c>
      <c r="V377" s="2681">
        <f t="shared" si="55"/>
        <v>777870980000</v>
      </c>
      <c r="W377" s="2681">
        <f t="shared" si="55"/>
        <v>-196044000000</v>
      </c>
      <c r="X377" s="2681">
        <f t="shared" si="55"/>
        <v>0</v>
      </c>
      <c r="Y377" s="2681" t="e">
        <f t="shared" si="55"/>
        <v>#N/A</v>
      </c>
      <c r="Z377" s="2681" t="e">
        <f t="shared" si="55"/>
        <v>#N/A</v>
      </c>
      <c r="AA377" s="2681">
        <f t="shared" si="55"/>
        <v>0</v>
      </c>
      <c r="AB377" s="2681">
        <f t="shared" si="55"/>
        <v>60271596234122</v>
      </c>
    </row>
    <row r="378" spans="2:29" ht="36" customHeight="1" x14ac:dyDescent="0.2">
      <c r="B378" s="4143"/>
      <c r="C378" s="2632" t="s">
        <v>773</v>
      </c>
      <c r="D378" s="2633" t="s">
        <v>772</v>
      </c>
      <c r="E378" s="2681">
        <v>3079672574</v>
      </c>
      <c r="F378" s="257"/>
      <c r="G378" s="302"/>
      <c r="H378" s="302"/>
      <c r="I378" s="302">
        <f>E378+H378</f>
        <v>3079672574</v>
      </c>
      <c r="J378" s="302"/>
      <c r="K378" s="302"/>
      <c r="L378" s="266"/>
      <c r="M378" s="266"/>
      <c r="N378" s="2620">
        <f>SUM(J378:M378)</f>
        <v>0</v>
      </c>
      <c r="O378" s="2620"/>
      <c r="P378" s="266"/>
      <c r="Q378" s="266"/>
      <c r="R378" s="266"/>
      <c r="S378" s="266"/>
      <c r="T378" s="302">
        <f>-K378</f>
        <v>0</v>
      </c>
      <c r="U378" s="302"/>
      <c r="V378" s="266"/>
      <c r="W378" s="266"/>
      <c r="X378" s="266"/>
      <c r="Y378" s="266"/>
      <c r="Z378" s="266"/>
      <c r="AA378" s="266"/>
      <c r="AB378" s="277">
        <f t="shared" ref="AB378:AB391" si="56">P378+W378+S378+R378+Q378+N378+T378+E378+V378+U378+O378+H378+M378</f>
        <v>3079672574</v>
      </c>
    </row>
    <row r="379" spans="2:29" ht="36" customHeight="1" x14ac:dyDescent="0.2">
      <c r="B379" s="4143"/>
      <c r="C379" s="2632" t="s">
        <v>775</v>
      </c>
      <c r="D379" s="2633" t="s">
        <v>774</v>
      </c>
      <c r="E379" s="2681">
        <v>1808546934</v>
      </c>
      <c r="F379" s="257"/>
      <c r="G379" s="302"/>
      <c r="H379" s="302"/>
      <c r="I379" s="302">
        <f t="shared" ref="I379:I391" si="57">E379+H379</f>
        <v>1808546934</v>
      </c>
      <c r="J379" s="302"/>
      <c r="K379" s="302"/>
      <c r="L379" s="266"/>
      <c r="M379" s="266"/>
      <c r="N379" s="2620">
        <f t="shared" ref="N379:N391" si="58">SUM(J379:M379)</f>
        <v>0</v>
      </c>
      <c r="O379" s="2620"/>
      <c r="P379" s="266"/>
      <c r="Q379" s="266"/>
      <c r="R379" s="266"/>
      <c r="S379" s="266"/>
      <c r="T379" s="302">
        <f t="shared" ref="T379:T391" si="59">-K379</f>
        <v>0</v>
      </c>
      <c r="U379" s="302"/>
      <c r="V379" s="266"/>
      <c r="W379" s="266"/>
      <c r="X379" s="266"/>
      <c r="Y379" s="266"/>
      <c r="Z379" s="266"/>
      <c r="AA379" s="266"/>
      <c r="AB379" s="277">
        <f t="shared" si="56"/>
        <v>1808546934</v>
      </c>
    </row>
    <row r="380" spans="2:29" ht="25.9" customHeight="1" x14ac:dyDescent="0.2">
      <c r="B380" s="4143"/>
      <c r="C380" s="2632" t="s">
        <v>777</v>
      </c>
      <c r="D380" s="2633" t="s">
        <v>776</v>
      </c>
      <c r="E380" s="2681">
        <v>1000271852</v>
      </c>
      <c r="F380" s="257"/>
      <c r="G380" s="302"/>
      <c r="H380" s="302"/>
      <c r="I380" s="302">
        <f t="shared" si="57"/>
        <v>1000271852</v>
      </c>
      <c r="J380" s="302"/>
      <c r="K380" s="302"/>
      <c r="L380" s="266"/>
      <c r="M380" s="266"/>
      <c r="N380" s="2620">
        <f t="shared" si="58"/>
        <v>0</v>
      </c>
      <c r="O380" s="2620"/>
      <c r="P380" s="266"/>
      <c r="Q380" s="266"/>
      <c r="R380" s="266"/>
      <c r="S380" s="266"/>
      <c r="T380" s="302">
        <f t="shared" si="59"/>
        <v>0</v>
      </c>
      <c r="U380" s="302"/>
      <c r="V380" s="266"/>
      <c r="W380" s="266"/>
      <c r="X380" s="266"/>
      <c r="Y380" s="266"/>
      <c r="Z380" s="266"/>
      <c r="AA380" s="266"/>
      <c r="AB380" s="277">
        <f t="shared" si="56"/>
        <v>1000271852</v>
      </c>
    </row>
    <row r="381" spans="2:29" ht="34.9" customHeight="1" x14ac:dyDescent="0.2">
      <c r="B381" s="4143"/>
      <c r="C381" s="2632" t="s">
        <v>779</v>
      </c>
      <c r="D381" s="2633" t="s">
        <v>778</v>
      </c>
      <c r="E381" s="2681">
        <v>4692270963</v>
      </c>
      <c r="F381" s="257"/>
      <c r="G381" s="302"/>
      <c r="H381" s="302"/>
      <c r="I381" s="302">
        <f t="shared" si="57"/>
        <v>4692270963</v>
      </c>
      <c r="J381" s="302"/>
      <c r="K381" s="302"/>
      <c r="L381" s="266"/>
      <c r="M381" s="266"/>
      <c r="N381" s="2620">
        <f t="shared" si="58"/>
        <v>0</v>
      </c>
      <c r="O381" s="2620"/>
      <c r="P381" s="266"/>
      <c r="Q381" s="266"/>
      <c r="R381" s="266"/>
      <c r="S381" s="266"/>
      <c r="T381" s="302">
        <f t="shared" si="59"/>
        <v>0</v>
      </c>
      <c r="U381" s="302"/>
      <c r="V381" s="266"/>
      <c r="W381" s="266"/>
      <c r="X381" s="266"/>
      <c r="Y381" s="266"/>
      <c r="Z381" s="266"/>
      <c r="AA381" s="266"/>
      <c r="AB381" s="277">
        <f t="shared" si="56"/>
        <v>4692270963</v>
      </c>
    </row>
    <row r="382" spans="2:29" ht="25.9" customHeight="1" x14ac:dyDescent="0.2">
      <c r="B382" s="4143"/>
      <c r="C382" s="2632" t="s">
        <v>781</v>
      </c>
      <c r="D382" s="2633" t="s">
        <v>780</v>
      </c>
      <c r="E382" s="2681">
        <v>3189339143</v>
      </c>
      <c r="F382" s="257"/>
      <c r="G382" s="302"/>
      <c r="H382" s="302"/>
      <c r="I382" s="302">
        <f t="shared" si="57"/>
        <v>3189339143</v>
      </c>
      <c r="J382" s="302"/>
      <c r="K382" s="302"/>
      <c r="L382" s="266"/>
      <c r="M382" s="266"/>
      <c r="N382" s="2620">
        <f t="shared" si="58"/>
        <v>0</v>
      </c>
      <c r="O382" s="2620"/>
      <c r="P382" s="266"/>
      <c r="Q382" s="266"/>
      <c r="R382" s="266"/>
      <c r="S382" s="266"/>
      <c r="T382" s="302">
        <f t="shared" si="59"/>
        <v>0</v>
      </c>
      <c r="U382" s="302"/>
      <c r="V382" s="266"/>
      <c r="W382" s="266"/>
      <c r="X382" s="266"/>
      <c r="Y382" s="266"/>
      <c r="Z382" s="266"/>
      <c r="AA382" s="266"/>
      <c r="AB382" s="277">
        <f t="shared" si="56"/>
        <v>3189339143</v>
      </c>
    </row>
    <row r="383" spans="2:29" ht="25.9" customHeight="1" x14ac:dyDescent="0.2">
      <c r="B383" s="4143"/>
      <c r="C383" s="2632" t="s">
        <v>782</v>
      </c>
      <c r="D383" s="2633" t="s">
        <v>712</v>
      </c>
      <c r="E383" s="2681">
        <v>1689496574</v>
      </c>
      <c r="F383" s="257"/>
      <c r="G383" s="302"/>
      <c r="H383" s="302"/>
      <c r="I383" s="302">
        <f t="shared" si="57"/>
        <v>1689496574</v>
      </c>
      <c r="J383" s="302"/>
      <c r="K383" s="302"/>
      <c r="L383" s="266"/>
      <c r="M383" s="266"/>
      <c r="N383" s="2620">
        <f t="shared" si="58"/>
        <v>0</v>
      </c>
      <c r="O383" s="2620"/>
      <c r="P383" s="266"/>
      <c r="Q383" s="266"/>
      <c r="R383" s="266"/>
      <c r="S383" s="266"/>
      <c r="T383" s="302">
        <f t="shared" si="59"/>
        <v>0</v>
      </c>
      <c r="U383" s="302"/>
      <c r="V383" s="266"/>
      <c r="W383" s="266"/>
      <c r="X383" s="266"/>
      <c r="Y383" s="266"/>
      <c r="Z383" s="266"/>
      <c r="AA383" s="266"/>
      <c r="AB383" s="277">
        <f t="shared" si="56"/>
        <v>1689496574</v>
      </c>
    </row>
    <row r="384" spans="2:29" ht="25.9" customHeight="1" x14ac:dyDescent="0.2">
      <c r="B384" s="4143"/>
      <c r="C384" s="2632" t="s">
        <v>784</v>
      </c>
      <c r="D384" s="2633" t="s">
        <v>783</v>
      </c>
      <c r="E384" s="2681">
        <v>2000903840</v>
      </c>
      <c r="F384" s="257"/>
      <c r="G384" s="302"/>
      <c r="H384" s="302"/>
      <c r="I384" s="302">
        <f t="shared" si="57"/>
        <v>2000903840</v>
      </c>
      <c r="J384" s="302"/>
      <c r="K384" s="302"/>
      <c r="L384" s="266"/>
      <c r="M384" s="266"/>
      <c r="N384" s="2620">
        <f t="shared" si="58"/>
        <v>0</v>
      </c>
      <c r="O384" s="2620"/>
      <c r="P384" s="266"/>
      <c r="Q384" s="266"/>
      <c r="R384" s="266"/>
      <c r="S384" s="266"/>
      <c r="T384" s="302">
        <f t="shared" si="59"/>
        <v>0</v>
      </c>
      <c r="U384" s="302"/>
      <c r="V384" s="266"/>
      <c r="W384" s="266"/>
      <c r="X384" s="266"/>
      <c r="Y384" s="266"/>
      <c r="Z384" s="266"/>
      <c r="AA384" s="266"/>
      <c r="AB384" s="277">
        <f t="shared" si="56"/>
        <v>2000903840</v>
      </c>
    </row>
    <row r="385" spans="2:31" ht="25.9" customHeight="1" x14ac:dyDescent="0.2">
      <c r="B385" s="4143"/>
      <c r="C385" s="2632" t="s">
        <v>785</v>
      </c>
      <c r="D385" s="2633" t="s">
        <v>712</v>
      </c>
      <c r="E385" s="2681">
        <v>2953703431</v>
      </c>
      <c r="F385" s="257"/>
      <c r="G385" s="302"/>
      <c r="H385" s="302"/>
      <c r="I385" s="302">
        <f t="shared" si="57"/>
        <v>2953703431</v>
      </c>
      <c r="J385" s="302"/>
      <c r="K385" s="302"/>
      <c r="L385" s="266"/>
      <c r="M385" s="266"/>
      <c r="N385" s="2620">
        <f t="shared" si="58"/>
        <v>0</v>
      </c>
      <c r="O385" s="2620"/>
      <c r="P385" s="266"/>
      <c r="Q385" s="266"/>
      <c r="R385" s="266"/>
      <c r="S385" s="266"/>
      <c r="T385" s="302">
        <f t="shared" si="59"/>
        <v>0</v>
      </c>
      <c r="U385" s="302"/>
      <c r="V385" s="266"/>
      <c r="W385" s="266"/>
      <c r="X385" s="266"/>
      <c r="Y385" s="266"/>
      <c r="Z385" s="266"/>
      <c r="AA385" s="266"/>
      <c r="AB385" s="277">
        <f t="shared" si="56"/>
        <v>2953703431</v>
      </c>
    </row>
    <row r="386" spans="2:31" ht="36" customHeight="1" x14ac:dyDescent="0.2">
      <c r="B386" s="4143"/>
      <c r="C386" s="2632" t="s">
        <v>636</v>
      </c>
      <c r="D386" s="2633" t="s">
        <v>635</v>
      </c>
      <c r="E386" s="2681">
        <v>-1315820212</v>
      </c>
      <c r="F386" s="257"/>
      <c r="G386" s="302"/>
      <c r="H386" s="302"/>
      <c r="I386" s="302">
        <f t="shared" si="57"/>
        <v>-1315820212</v>
      </c>
      <c r="J386" s="302"/>
      <c r="K386" s="302"/>
      <c r="L386" s="266"/>
      <c r="M386" s="266"/>
      <c r="N386" s="2620">
        <f t="shared" si="58"/>
        <v>0</v>
      </c>
      <c r="O386" s="2620"/>
      <c r="P386" s="266"/>
      <c r="Q386" s="266"/>
      <c r="R386" s="266"/>
      <c r="S386" s="266"/>
      <c r="T386" s="302">
        <f t="shared" si="59"/>
        <v>0</v>
      </c>
      <c r="U386" s="302"/>
      <c r="V386" s="266"/>
      <c r="W386" s="266">
        <f>-'ياد 15  سايرهزينه '!P13</f>
        <v>0</v>
      </c>
      <c r="X386" s="266"/>
      <c r="Y386" s="266"/>
      <c r="Z386" s="266"/>
      <c r="AA386" s="266"/>
      <c r="AB386" s="277">
        <f t="shared" si="56"/>
        <v>-1315820212</v>
      </c>
    </row>
    <row r="387" spans="2:31" ht="31.15" customHeight="1" x14ac:dyDescent="0.2">
      <c r="B387" s="4143"/>
      <c r="C387" s="2632" t="s">
        <v>647</v>
      </c>
      <c r="D387" s="2633" t="s">
        <v>646</v>
      </c>
      <c r="E387" s="2681">
        <v>81801284743</v>
      </c>
      <c r="F387" s="257"/>
      <c r="G387" s="302"/>
      <c r="H387" s="302"/>
      <c r="I387" s="302">
        <f t="shared" si="57"/>
        <v>81801284743</v>
      </c>
      <c r="J387" s="302"/>
      <c r="K387" s="302"/>
      <c r="L387" s="266"/>
      <c r="M387" s="266"/>
      <c r="N387" s="2620">
        <f t="shared" si="58"/>
        <v>0</v>
      </c>
      <c r="O387" s="2620"/>
      <c r="P387" s="266"/>
      <c r="Q387" s="266"/>
      <c r="R387" s="266"/>
      <c r="S387" s="266"/>
      <c r="T387" s="302">
        <f t="shared" si="59"/>
        <v>0</v>
      </c>
      <c r="U387" s="302"/>
      <c r="V387" s="266"/>
      <c r="W387" s="266"/>
      <c r="X387" s="266"/>
      <c r="Y387" s="266"/>
      <c r="Z387" s="266"/>
      <c r="AA387" s="266"/>
      <c r="AB387" s="277">
        <f t="shared" si="56"/>
        <v>81801284743</v>
      </c>
    </row>
    <row r="388" spans="2:31" ht="36" customHeight="1" x14ac:dyDescent="0.2">
      <c r="B388" s="4143"/>
      <c r="C388" s="2632" t="s">
        <v>630</v>
      </c>
      <c r="D388" s="2633" t="s">
        <v>621</v>
      </c>
      <c r="E388" s="2681">
        <v>307666957061</v>
      </c>
      <c r="F388" s="306"/>
      <c r="G388" s="302"/>
      <c r="H388" s="302"/>
      <c r="I388" s="302">
        <f t="shared" si="57"/>
        <v>307666957061</v>
      </c>
      <c r="J388" s="302"/>
      <c r="K388" s="302"/>
      <c r="L388" s="266"/>
      <c r="M388" s="266"/>
      <c r="N388" s="2620">
        <f t="shared" si="58"/>
        <v>0</v>
      </c>
      <c r="O388" s="2620"/>
      <c r="P388" s="266"/>
      <c r="Q388" s="266"/>
      <c r="R388" s="266"/>
      <c r="S388" s="266"/>
      <c r="T388" s="302">
        <f t="shared" si="59"/>
        <v>0</v>
      </c>
      <c r="U388" s="302"/>
      <c r="V388" s="266"/>
      <c r="W388" s="266"/>
      <c r="X388" s="266"/>
      <c r="Y388" s="266"/>
      <c r="Z388" s="266"/>
      <c r="AA388" s="266"/>
      <c r="AB388" s="277">
        <f t="shared" si="56"/>
        <v>307666957061</v>
      </c>
    </row>
    <row r="389" spans="2:31" ht="36" customHeight="1" x14ac:dyDescent="0.2">
      <c r="B389" s="4143"/>
      <c r="C389" s="1767" t="s">
        <v>550</v>
      </c>
      <c r="D389" s="2726" t="s">
        <v>549</v>
      </c>
      <c r="E389" s="2681">
        <v>35489000000</v>
      </c>
      <c r="F389" s="2727"/>
      <c r="G389" s="302"/>
      <c r="H389" s="302"/>
      <c r="I389" s="302">
        <f t="shared" si="57"/>
        <v>35489000000</v>
      </c>
      <c r="J389" s="302"/>
      <c r="K389" s="302">
        <v>938000000</v>
      </c>
      <c r="L389" s="266"/>
      <c r="M389" s="266"/>
      <c r="N389" s="2620"/>
      <c r="O389" s="2620">
        <f>'يادداشت 1-13وجوهدريافتي ازخزانه'!V87</f>
        <v>0</v>
      </c>
      <c r="P389" s="266"/>
      <c r="Q389" s="266"/>
      <c r="R389" s="266"/>
      <c r="S389" s="266"/>
      <c r="T389" s="302"/>
      <c r="U389" s="302"/>
      <c r="V389" s="266">
        <f>-'حفظ قدرت خرید'!L29</f>
        <v>508000000</v>
      </c>
      <c r="W389" s="266"/>
      <c r="X389" s="266"/>
      <c r="Y389" s="266"/>
      <c r="Z389" s="266"/>
      <c r="AA389" s="266"/>
      <c r="AB389" s="277">
        <f t="shared" si="56"/>
        <v>35997000000</v>
      </c>
    </row>
    <row r="390" spans="2:31" ht="36" hidden="1" customHeight="1" x14ac:dyDescent="0.2">
      <c r="B390" s="4143"/>
      <c r="C390" s="2632" t="s">
        <v>637</v>
      </c>
      <c r="D390" s="2633" t="s">
        <v>613</v>
      </c>
      <c r="E390" s="2681">
        <v>0</v>
      </c>
      <c r="F390" s="2728"/>
      <c r="G390" s="302"/>
      <c r="H390" s="302"/>
      <c r="I390" s="302">
        <f t="shared" si="57"/>
        <v>0</v>
      </c>
      <c r="J390" s="302"/>
      <c r="K390" s="302"/>
      <c r="L390" s="2643"/>
      <c r="M390" s="305"/>
      <c r="N390" s="2620">
        <f t="shared" si="58"/>
        <v>0</v>
      </c>
      <c r="O390" s="2620"/>
      <c r="P390" s="266"/>
      <c r="Q390" s="305"/>
      <c r="R390" s="305"/>
      <c r="S390" s="305"/>
      <c r="T390" s="302">
        <f t="shared" si="59"/>
        <v>0</v>
      </c>
      <c r="U390" s="304"/>
      <c r="V390" s="305"/>
      <c r="W390" s="305"/>
      <c r="X390" s="305"/>
      <c r="Y390" s="305"/>
      <c r="Z390" s="305"/>
      <c r="AA390" s="305"/>
      <c r="AB390" s="277">
        <f t="shared" si="56"/>
        <v>0</v>
      </c>
    </row>
    <row r="391" spans="2:31" s="2730" customFormat="1" ht="36" customHeight="1" x14ac:dyDescent="0.2">
      <c r="B391" s="4143"/>
      <c r="C391" s="2729" t="s">
        <v>828</v>
      </c>
      <c r="D391" s="2696" t="s">
        <v>829</v>
      </c>
      <c r="E391" s="2681">
        <v>38431318504</v>
      </c>
      <c r="F391" s="2727"/>
      <c r="G391" s="322"/>
      <c r="H391" s="322"/>
      <c r="I391" s="302">
        <f t="shared" si="57"/>
        <v>38431318504</v>
      </c>
      <c r="J391" s="322"/>
      <c r="K391" s="322"/>
      <c r="L391" s="323"/>
      <c r="M391" s="323"/>
      <c r="N391" s="2620">
        <f t="shared" si="58"/>
        <v>0</v>
      </c>
      <c r="O391" s="2620"/>
      <c r="P391" s="323"/>
      <c r="Q391" s="323"/>
      <c r="R391" s="323"/>
      <c r="S391" s="323"/>
      <c r="T391" s="302">
        <f t="shared" si="59"/>
        <v>0</v>
      </c>
      <c r="U391" s="322"/>
      <c r="V391" s="323"/>
      <c r="W391" s="323"/>
      <c r="X391" s="323"/>
      <c r="Y391" s="323"/>
      <c r="Z391" s="323"/>
      <c r="AA391" s="323"/>
      <c r="AB391" s="277">
        <f t="shared" si="56"/>
        <v>38431318504</v>
      </c>
    </row>
    <row r="392" spans="2:31" ht="36" customHeight="1" x14ac:dyDescent="0.2">
      <c r="B392" s="4144"/>
      <c r="C392" s="4112" t="s">
        <v>94</v>
      </c>
      <c r="D392" s="4112"/>
      <c r="E392" s="2681">
        <f>SUM(E377:E391)</f>
        <v>48875670462749</v>
      </c>
      <c r="F392" s="2681">
        <f t="shared" ref="F392:AB392" si="60">SUM(F377:F391)</f>
        <v>137242313107</v>
      </c>
      <c r="G392" s="2681">
        <f t="shared" si="60"/>
        <v>10000256000000</v>
      </c>
      <c r="H392" s="2681">
        <f t="shared" si="60"/>
        <v>339796800</v>
      </c>
      <c r="I392" s="2681">
        <f t="shared" si="60"/>
        <v>48876010259549</v>
      </c>
      <c r="J392" s="2681">
        <f t="shared" si="60"/>
        <v>271500000000</v>
      </c>
      <c r="K392" s="2681">
        <f t="shared" si="60"/>
        <v>538146000000</v>
      </c>
      <c r="L392" s="2681">
        <f t="shared" si="60"/>
        <v>0</v>
      </c>
      <c r="M392" s="2681">
        <f t="shared" si="60"/>
        <v>0</v>
      </c>
      <c r="N392" s="2681">
        <f t="shared" si="60"/>
        <v>1647610000000</v>
      </c>
      <c r="O392" s="2681">
        <f t="shared" si="60"/>
        <v>9801019000000</v>
      </c>
      <c r="P392" s="2681">
        <f t="shared" si="60"/>
        <v>-1582060020</v>
      </c>
      <c r="Q392" s="2681">
        <f t="shared" si="60"/>
        <v>0</v>
      </c>
      <c r="R392" s="2681">
        <f t="shared" si="60"/>
        <v>0</v>
      </c>
      <c r="S392" s="2681">
        <f t="shared" si="60"/>
        <v>0</v>
      </c>
      <c r="T392" s="2681">
        <f t="shared" si="60"/>
        <v>-364939000000</v>
      </c>
      <c r="U392" s="2681">
        <f t="shared" si="60"/>
        <v>214138000000</v>
      </c>
      <c r="V392" s="2681">
        <f t="shared" si="60"/>
        <v>778378980000</v>
      </c>
      <c r="W392" s="2681">
        <f t="shared" si="60"/>
        <v>-196044000000</v>
      </c>
      <c r="X392" s="2681">
        <f t="shared" si="60"/>
        <v>0</v>
      </c>
      <c r="Y392" s="2681" t="e">
        <f t="shared" si="60"/>
        <v>#N/A</v>
      </c>
      <c r="Z392" s="2681" t="e">
        <f t="shared" si="60"/>
        <v>#N/A</v>
      </c>
      <c r="AA392" s="2681">
        <f t="shared" si="60"/>
        <v>0</v>
      </c>
      <c r="AB392" s="2681">
        <f t="shared" si="60"/>
        <v>60754591179529</v>
      </c>
      <c r="AE392" s="2603">
        <f>E392+H392+N392+O392+W392+V392+U392+T392+P392</f>
        <v>60754591179529</v>
      </c>
    </row>
    <row r="393" spans="2:31" ht="17.25" customHeight="1" x14ac:dyDescent="0.2">
      <c r="B393" s="2653"/>
      <c r="C393" s="2616"/>
      <c r="D393" s="2616"/>
      <c r="E393" s="2654"/>
      <c r="F393" s="2654"/>
      <c r="G393" s="2654"/>
      <c r="H393" s="2654"/>
      <c r="I393" s="2654"/>
      <c r="J393" s="2654"/>
      <c r="K393" s="2654"/>
      <c r="L393" s="2654"/>
      <c r="M393" s="2654"/>
      <c r="N393" s="2654"/>
      <c r="O393" s="2654"/>
      <c r="P393" s="2654"/>
      <c r="Q393" s="2654"/>
      <c r="R393" s="2654"/>
      <c r="S393" s="2654"/>
      <c r="T393" s="2654"/>
      <c r="U393" s="2654"/>
      <c r="V393" s="2654"/>
      <c r="W393" s="2654"/>
      <c r="X393" s="2654"/>
      <c r="Y393" s="2654"/>
      <c r="Z393" s="2654"/>
      <c r="AA393" s="2654"/>
      <c r="AB393" s="2654"/>
    </row>
    <row r="394" spans="2:31" ht="31.15" customHeight="1" x14ac:dyDescent="0.2">
      <c r="B394" s="2653"/>
      <c r="C394" s="4141">
        <v>103</v>
      </c>
      <c r="D394" s="4141"/>
      <c r="E394" s="4141"/>
      <c r="F394" s="4141"/>
      <c r="G394" s="4141"/>
      <c r="H394" s="4141"/>
      <c r="I394" s="4141"/>
      <c r="J394" s="4141"/>
      <c r="K394" s="4141"/>
      <c r="L394" s="4141"/>
      <c r="M394" s="4141"/>
      <c r="N394" s="4141"/>
      <c r="O394" s="4141"/>
      <c r="P394" s="4141"/>
      <c r="Q394" s="4141"/>
      <c r="R394" s="4141"/>
      <c r="S394" s="4141"/>
      <c r="T394" s="4141"/>
      <c r="U394" s="4141"/>
      <c r="V394" s="4141"/>
      <c r="W394" s="4141"/>
      <c r="X394" s="4141"/>
      <c r="Y394" s="4141"/>
      <c r="Z394" s="4141"/>
      <c r="AA394" s="4141"/>
      <c r="AB394" s="4141"/>
    </row>
    <row r="395" spans="2:31" ht="22.9" customHeight="1" x14ac:dyDescent="0.2">
      <c r="B395" s="4108" t="s">
        <v>295</v>
      </c>
      <c r="C395" s="4108"/>
      <c r="D395" s="4108"/>
      <c r="E395" s="4108"/>
      <c r="F395" s="4108"/>
      <c r="G395" s="4108"/>
      <c r="H395" s="4108"/>
      <c r="I395" s="4108"/>
      <c r="J395" s="4108"/>
      <c r="K395" s="4108"/>
      <c r="L395" s="4108"/>
      <c r="M395" s="4108"/>
      <c r="N395" s="4108"/>
      <c r="O395" s="4108"/>
      <c r="P395" s="4108"/>
      <c r="Q395" s="4108"/>
      <c r="R395" s="4108"/>
      <c r="S395" s="4108"/>
      <c r="T395" s="4108"/>
      <c r="U395" s="4108"/>
      <c r="V395" s="4108"/>
      <c r="W395" s="4108"/>
      <c r="X395" s="4108"/>
      <c r="Y395" s="4108"/>
      <c r="Z395" s="4108"/>
      <c r="AA395" s="4108"/>
      <c r="AB395" s="4108"/>
      <c r="AC395" s="1894"/>
    </row>
    <row r="396" spans="2:31" ht="22.9" customHeight="1" x14ac:dyDescent="0.2">
      <c r="B396" s="4108" t="s">
        <v>45</v>
      </c>
      <c r="C396" s="4108"/>
      <c r="D396" s="4108"/>
      <c r="E396" s="4108"/>
      <c r="F396" s="4108"/>
      <c r="G396" s="4108"/>
      <c r="H396" s="4108"/>
      <c r="I396" s="4108"/>
      <c r="J396" s="4108"/>
      <c r="K396" s="4108"/>
      <c r="L396" s="4108"/>
      <c r="M396" s="4108"/>
      <c r="N396" s="4108"/>
      <c r="O396" s="4108"/>
      <c r="P396" s="4108"/>
      <c r="Q396" s="4108"/>
      <c r="R396" s="4108"/>
      <c r="S396" s="4108"/>
      <c r="T396" s="4108"/>
      <c r="U396" s="4108"/>
      <c r="V396" s="4108"/>
      <c r="W396" s="4108"/>
      <c r="X396" s="4108"/>
      <c r="Y396" s="4108"/>
      <c r="Z396" s="4108"/>
      <c r="AA396" s="4108"/>
      <c r="AB396" s="4108"/>
      <c r="AC396" s="1894"/>
    </row>
    <row r="397" spans="2:31" ht="22.9" customHeight="1" x14ac:dyDescent="0.2">
      <c r="B397" s="4108" t="s">
        <v>46</v>
      </c>
      <c r="C397" s="4108"/>
      <c r="D397" s="4108"/>
      <c r="E397" s="4108"/>
      <c r="F397" s="4108"/>
      <c r="G397" s="4108"/>
      <c r="H397" s="4108"/>
      <c r="I397" s="4108"/>
      <c r="J397" s="4108"/>
      <c r="K397" s="4108"/>
      <c r="L397" s="4108"/>
      <c r="M397" s="4108"/>
      <c r="N397" s="4108"/>
      <c r="O397" s="4108"/>
      <c r="P397" s="4108"/>
      <c r="Q397" s="4108"/>
      <c r="R397" s="4108"/>
      <c r="S397" s="4108"/>
      <c r="T397" s="4108"/>
      <c r="U397" s="4108"/>
      <c r="V397" s="4108"/>
      <c r="W397" s="4108"/>
      <c r="X397" s="4108"/>
      <c r="Y397" s="4108"/>
      <c r="Z397" s="4108"/>
      <c r="AA397" s="4108"/>
      <c r="AB397" s="4108"/>
      <c r="AC397" s="1894"/>
    </row>
    <row r="398" spans="2:31" ht="22.9" customHeight="1" x14ac:dyDescent="0.2">
      <c r="B398" s="3294" t="s">
        <v>1981</v>
      </c>
      <c r="C398" s="3294"/>
      <c r="D398" s="3294"/>
      <c r="E398" s="3294"/>
      <c r="F398" s="3294"/>
      <c r="G398" s="3294"/>
      <c r="H398" s="3294"/>
      <c r="I398" s="3294"/>
      <c r="J398" s="3294"/>
      <c r="K398" s="3294"/>
      <c r="L398" s="3294"/>
      <c r="M398" s="3294"/>
      <c r="N398" s="3294"/>
      <c r="O398" s="3294"/>
      <c r="P398" s="3294"/>
      <c r="Q398" s="3294"/>
      <c r="R398" s="3294"/>
      <c r="S398" s="3294"/>
      <c r="T398" s="3294"/>
      <c r="U398" s="3294"/>
      <c r="V398" s="3294"/>
      <c r="W398" s="3294"/>
      <c r="X398" s="3294"/>
      <c r="Y398" s="3294"/>
      <c r="Z398" s="3294"/>
      <c r="AA398" s="3294"/>
      <c r="AB398" s="3294"/>
      <c r="AC398" s="1853"/>
    </row>
    <row r="399" spans="2:31" ht="22.9" customHeight="1" x14ac:dyDescent="0.2">
      <c r="B399" s="1722"/>
      <c r="C399" s="1722"/>
      <c r="D399" s="1722"/>
      <c r="E399" s="1722"/>
      <c r="F399" s="1722"/>
      <c r="G399" s="1722"/>
      <c r="H399" s="1722"/>
      <c r="I399" s="1722"/>
      <c r="J399" s="1722"/>
      <c r="K399" s="1722"/>
      <c r="L399" s="1722"/>
      <c r="M399" s="1722"/>
      <c r="N399" s="1722"/>
      <c r="O399" s="1722"/>
      <c r="P399" s="1722"/>
      <c r="Q399" s="1722"/>
      <c r="R399" s="1722"/>
      <c r="S399" s="1722"/>
      <c r="T399" s="1722"/>
      <c r="U399" s="1722"/>
      <c r="V399" s="1722"/>
      <c r="W399" s="1722"/>
      <c r="X399" s="1722"/>
      <c r="Y399" s="1722"/>
      <c r="Z399" s="1722"/>
      <c r="AA399" s="1722"/>
      <c r="AB399" s="1722"/>
      <c r="AC399" s="1853"/>
    </row>
    <row r="400" spans="2:31" ht="22.9" customHeight="1" x14ac:dyDescent="0.2">
      <c r="B400" s="1722"/>
      <c r="C400" s="1722"/>
      <c r="D400" s="1722"/>
      <c r="E400" s="1722"/>
      <c r="F400" s="1722"/>
      <c r="G400" s="1722"/>
      <c r="H400" s="1722"/>
      <c r="I400" s="1722"/>
      <c r="J400" s="1722"/>
      <c r="K400" s="1722"/>
      <c r="L400" s="1722"/>
      <c r="M400" s="1722"/>
      <c r="N400" s="1722"/>
      <c r="O400" s="1722"/>
      <c r="P400" s="1722"/>
      <c r="Q400" s="1722"/>
      <c r="R400" s="1722"/>
      <c r="S400" s="1722"/>
      <c r="T400" s="1722"/>
      <c r="U400" s="1722"/>
      <c r="V400" s="1722"/>
      <c r="W400" s="1722"/>
      <c r="X400" s="1722"/>
      <c r="Y400" s="1722"/>
      <c r="Z400" s="1722"/>
      <c r="AA400" s="1722"/>
      <c r="AB400" s="1722"/>
      <c r="AC400" s="1853"/>
    </row>
    <row r="401" spans="2:29" ht="29.45" customHeight="1" x14ac:dyDescent="0.2">
      <c r="B401" s="4110" t="s">
        <v>1848</v>
      </c>
      <c r="C401" s="4110"/>
      <c r="D401" s="4110"/>
      <c r="E401" s="2656"/>
      <c r="F401" s="2657"/>
      <c r="G401" s="2658"/>
      <c r="H401" s="2658"/>
      <c r="I401" s="2658"/>
      <c r="J401" s="2658"/>
      <c r="K401" s="2658"/>
      <c r="L401" s="2658"/>
      <c r="M401" s="2658"/>
      <c r="N401" s="2658"/>
      <c r="O401" s="2658"/>
      <c r="P401" s="2658"/>
      <c r="Q401" s="2658"/>
      <c r="R401" s="2658"/>
      <c r="S401" s="2658"/>
      <c r="T401" s="2658"/>
      <c r="U401" s="2658"/>
      <c r="V401" s="2658"/>
      <c r="W401" s="2658"/>
      <c r="X401" s="104"/>
      <c r="Y401" s="104"/>
      <c r="Z401" s="104"/>
      <c r="AA401" s="104"/>
      <c r="AB401" s="2608" t="s">
        <v>194</v>
      </c>
      <c r="AC401" s="2689"/>
    </row>
    <row r="402" spans="2:29" ht="45.6" customHeight="1" x14ac:dyDescent="0.2">
      <c r="B402" s="4112" t="s">
        <v>419</v>
      </c>
      <c r="C402" s="4117" t="s">
        <v>196</v>
      </c>
      <c r="D402" s="4124" t="s">
        <v>197</v>
      </c>
      <c r="E402" s="4111" t="s">
        <v>1400</v>
      </c>
      <c r="F402" s="2609"/>
      <c r="G402" s="4111" t="s">
        <v>921</v>
      </c>
      <c r="H402" s="4118" t="s">
        <v>1116</v>
      </c>
      <c r="I402" s="4118" t="s">
        <v>1271</v>
      </c>
      <c r="J402" s="4135" t="s">
        <v>1272</v>
      </c>
      <c r="K402" s="4136"/>
      <c r="L402" s="4136"/>
      <c r="M402" s="4136"/>
      <c r="N402" s="4136"/>
      <c r="O402" s="4137"/>
      <c r="P402" s="4113" t="s">
        <v>423</v>
      </c>
      <c r="Q402" s="4115" t="s">
        <v>827</v>
      </c>
      <c r="R402" s="4115" t="s">
        <v>888</v>
      </c>
      <c r="S402" s="4115"/>
      <c r="T402" s="4114" t="s">
        <v>2015</v>
      </c>
      <c r="U402" s="4121" t="s">
        <v>1274</v>
      </c>
      <c r="V402" s="4121" t="s">
        <v>2016</v>
      </c>
      <c r="W402" s="4116" t="s">
        <v>1033</v>
      </c>
      <c r="X402" s="2610"/>
      <c r="Y402" s="4127" t="s">
        <v>296</v>
      </c>
      <c r="Z402" s="4127" t="s">
        <v>190</v>
      </c>
      <c r="AA402" s="4129" t="s">
        <v>313</v>
      </c>
      <c r="AB402" s="4111" t="s">
        <v>2013</v>
      </c>
      <c r="AC402" s="2689"/>
    </row>
    <row r="403" spans="2:29" ht="36" customHeight="1" x14ac:dyDescent="0.2">
      <c r="B403" s="4112"/>
      <c r="C403" s="4117"/>
      <c r="D403" s="4124"/>
      <c r="E403" s="4111"/>
      <c r="F403" s="2609"/>
      <c r="G403" s="4111"/>
      <c r="H403" s="4119"/>
      <c r="I403" s="4119"/>
      <c r="J403" s="4138"/>
      <c r="K403" s="4139"/>
      <c r="L403" s="4139"/>
      <c r="M403" s="4139"/>
      <c r="N403" s="4139"/>
      <c r="O403" s="4140"/>
      <c r="P403" s="4113"/>
      <c r="Q403" s="4115"/>
      <c r="R403" s="4109" t="s">
        <v>889</v>
      </c>
      <c r="S403" s="4109" t="s">
        <v>890</v>
      </c>
      <c r="T403" s="4114"/>
      <c r="U403" s="4122"/>
      <c r="V403" s="4122"/>
      <c r="W403" s="4116"/>
      <c r="X403" s="2611"/>
      <c r="Y403" s="4127"/>
      <c r="Z403" s="4127"/>
      <c r="AA403" s="4130"/>
      <c r="AB403" s="4111"/>
      <c r="AC403" s="2689"/>
    </row>
    <row r="404" spans="2:29" ht="64.900000000000006" customHeight="1" x14ac:dyDescent="0.2">
      <c r="B404" s="4112"/>
      <c r="C404" s="4117"/>
      <c r="D404" s="4124"/>
      <c r="E404" s="4111"/>
      <c r="F404" s="2612" t="s">
        <v>421</v>
      </c>
      <c r="G404" s="2613" t="s">
        <v>27</v>
      </c>
      <c r="H404" s="4120"/>
      <c r="I404" s="4120"/>
      <c r="J404" s="2614" t="s">
        <v>1273</v>
      </c>
      <c r="K404" s="2614" t="s">
        <v>1292</v>
      </c>
      <c r="L404" s="2612" t="s">
        <v>999</v>
      </c>
      <c r="M404" s="2612" t="s">
        <v>422</v>
      </c>
      <c r="N404" s="2612" t="s">
        <v>2014</v>
      </c>
      <c r="O404" s="2615" t="s">
        <v>1794</v>
      </c>
      <c r="P404" s="4113"/>
      <c r="Q404" s="4115"/>
      <c r="R404" s="4109"/>
      <c r="S404" s="4109"/>
      <c r="T404" s="4114"/>
      <c r="U404" s="4123"/>
      <c r="V404" s="4123"/>
      <c r="W404" s="4116"/>
      <c r="X404" s="373" t="s">
        <v>62</v>
      </c>
      <c r="Y404" s="4127"/>
      <c r="Z404" s="4127"/>
      <c r="AA404" s="4131"/>
      <c r="AB404" s="4111"/>
      <c r="AC404" s="2689"/>
    </row>
    <row r="405" spans="2:29" ht="25.9" customHeight="1" x14ac:dyDescent="0.2">
      <c r="B405" s="4125" t="s">
        <v>180</v>
      </c>
      <c r="C405" s="4126" t="s">
        <v>181</v>
      </c>
      <c r="D405" s="4126"/>
      <c r="E405" s="2681">
        <f>E392</f>
        <v>48875670462749</v>
      </c>
      <c r="F405" s="2681">
        <f t="shared" ref="F405:AB405" si="61">F392</f>
        <v>137242313107</v>
      </c>
      <c r="G405" s="2681">
        <f t="shared" si="61"/>
        <v>10000256000000</v>
      </c>
      <c r="H405" s="2681">
        <f t="shared" si="61"/>
        <v>339796800</v>
      </c>
      <c r="I405" s="2681">
        <f t="shared" si="61"/>
        <v>48876010259549</v>
      </c>
      <c r="J405" s="2681">
        <f t="shared" si="61"/>
        <v>271500000000</v>
      </c>
      <c r="K405" s="2681">
        <f t="shared" si="61"/>
        <v>538146000000</v>
      </c>
      <c r="L405" s="2681">
        <f t="shared" si="61"/>
        <v>0</v>
      </c>
      <c r="M405" s="2681">
        <f t="shared" si="61"/>
        <v>0</v>
      </c>
      <c r="N405" s="2681">
        <f t="shared" si="61"/>
        <v>1647610000000</v>
      </c>
      <c r="O405" s="2681">
        <f t="shared" si="61"/>
        <v>9801019000000</v>
      </c>
      <c r="P405" s="2681">
        <f t="shared" si="61"/>
        <v>-1582060020</v>
      </c>
      <c r="Q405" s="2681">
        <f t="shared" si="61"/>
        <v>0</v>
      </c>
      <c r="R405" s="2681">
        <f t="shared" si="61"/>
        <v>0</v>
      </c>
      <c r="S405" s="2681">
        <f t="shared" si="61"/>
        <v>0</v>
      </c>
      <c r="T405" s="2681">
        <f t="shared" si="61"/>
        <v>-364939000000</v>
      </c>
      <c r="U405" s="2681">
        <f t="shared" si="61"/>
        <v>214138000000</v>
      </c>
      <c r="V405" s="2681">
        <f t="shared" si="61"/>
        <v>778378980000</v>
      </c>
      <c r="W405" s="2681">
        <f t="shared" si="61"/>
        <v>-196044000000</v>
      </c>
      <c r="X405" s="2681">
        <f t="shared" si="61"/>
        <v>0</v>
      </c>
      <c r="Y405" s="2681" t="e">
        <f t="shared" si="61"/>
        <v>#N/A</v>
      </c>
      <c r="Z405" s="2681" t="e">
        <f t="shared" si="61"/>
        <v>#N/A</v>
      </c>
      <c r="AA405" s="2681">
        <f t="shared" si="61"/>
        <v>0</v>
      </c>
      <c r="AB405" s="2681">
        <f t="shared" si="61"/>
        <v>60754591179529</v>
      </c>
      <c r="AC405" s="2689"/>
    </row>
    <row r="406" spans="2:29" ht="28.9" customHeight="1" x14ac:dyDescent="0.4">
      <c r="B406" s="4125"/>
      <c r="C406" s="2731" t="s">
        <v>830</v>
      </c>
      <c r="D406" s="2696" t="s">
        <v>831</v>
      </c>
      <c r="E406" s="2681">
        <v>816617556</v>
      </c>
      <c r="F406" s="2727"/>
      <c r="G406" s="302"/>
      <c r="H406" s="302"/>
      <c r="I406" s="302">
        <f>E406+H406</f>
        <v>816617556</v>
      </c>
      <c r="J406" s="302"/>
      <c r="K406" s="302"/>
      <c r="L406" s="266"/>
      <c r="M406" s="266"/>
      <c r="N406" s="2620">
        <f>SUM(J406:M406)</f>
        <v>0</v>
      </c>
      <c r="O406" s="2620"/>
      <c r="P406" s="266"/>
      <c r="Q406" s="266"/>
      <c r="R406" s="266"/>
      <c r="S406" s="266"/>
      <c r="T406" s="302">
        <f>-K406</f>
        <v>0</v>
      </c>
      <c r="U406" s="302"/>
      <c r="V406" s="266"/>
      <c r="W406" s="266"/>
      <c r="X406" s="266"/>
      <c r="Y406" s="266"/>
      <c r="Z406" s="266"/>
      <c r="AA406" s="266"/>
      <c r="AB406" s="277">
        <f t="shared" ref="AB406:AB420" si="62">P406+W406+S406+R406+Q406+N406+T406+E406+V406+U406+O406+H406</f>
        <v>816617556</v>
      </c>
    </row>
    <row r="407" spans="2:29" ht="28.9" customHeight="1" x14ac:dyDescent="0.4">
      <c r="B407" s="4125"/>
      <c r="C407" s="2731" t="s">
        <v>832</v>
      </c>
      <c r="D407" s="2696" t="s">
        <v>833</v>
      </c>
      <c r="E407" s="2681">
        <v>1284009250</v>
      </c>
      <c r="F407" s="2727"/>
      <c r="G407" s="302"/>
      <c r="H407" s="302"/>
      <c r="I407" s="302">
        <f t="shared" ref="I407:I420" si="63">E407+H407</f>
        <v>1284009250</v>
      </c>
      <c r="J407" s="302"/>
      <c r="K407" s="302"/>
      <c r="L407" s="266"/>
      <c r="M407" s="266"/>
      <c r="N407" s="2620">
        <f t="shared" ref="N407:N420" si="64">SUM(J407:M407)</f>
        <v>0</v>
      </c>
      <c r="O407" s="2620"/>
      <c r="P407" s="266"/>
      <c r="Q407" s="266"/>
      <c r="R407" s="266"/>
      <c r="S407" s="266"/>
      <c r="T407" s="302">
        <f t="shared" ref="T407:T420" si="65">-K407</f>
        <v>0</v>
      </c>
      <c r="U407" s="302"/>
      <c r="V407" s="266"/>
      <c r="W407" s="266"/>
      <c r="X407" s="266"/>
      <c r="Y407" s="266"/>
      <c r="Z407" s="266"/>
      <c r="AA407" s="266"/>
      <c r="AB407" s="277">
        <f t="shared" si="62"/>
        <v>1284009250</v>
      </c>
    </row>
    <row r="408" spans="2:29" ht="28.9" customHeight="1" x14ac:dyDescent="0.4">
      <c r="B408" s="4125"/>
      <c r="C408" s="2731" t="s">
        <v>929</v>
      </c>
      <c r="D408" s="2618" t="s">
        <v>918</v>
      </c>
      <c r="E408" s="2681">
        <v>2244633333</v>
      </c>
      <c r="F408" s="2727"/>
      <c r="G408" s="302"/>
      <c r="H408" s="302"/>
      <c r="I408" s="302">
        <f t="shared" si="63"/>
        <v>2244633333</v>
      </c>
      <c r="J408" s="302"/>
      <c r="K408" s="302"/>
      <c r="L408" s="266"/>
      <c r="M408" s="266"/>
      <c r="N408" s="2620">
        <f t="shared" si="64"/>
        <v>0</v>
      </c>
      <c r="O408" s="2620"/>
      <c r="P408" s="266"/>
      <c r="Q408" s="266"/>
      <c r="R408" s="266"/>
      <c r="S408" s="266"/>
      <c r="T408" s="302">
        <f t="shared" si="65"/>
        <v>0</v>
      </c>
      <c r="U408" s="302"/>
      <c r="V408" s="266"/>
      <c r="W408" s="266"/>
      <c r="X408" s="266"/>
      <c r="Y408" s="266"/>
      <c r="Z408" s="266"/>
      <c r="AA408" s="266"/>
      <c r="AB408" s="277">
        <f t="shared" si="62"/>
        <v>2244633333</v>
      </c>
    </row>
    <row r="409" spans="2:29" ht="28.9" customHeight="1" x14ac:dyDescent="0.4">
      <c r="B409" s="4125"/>
      <c r="C409" s="2731" t="s">
        <v>834</v>
      </c>
      <c r="D409" s="2696" t="s">
        <v>757</v>
      </c>
      <c r="E409" s="2681">
        <v>8128141159</v>
      </c>
      <c r="F409" s="2732"/>
      <c r="G409" s="302"/>
      <c r="H409" s="302"/>
      <c r="I409" s="302">
        <f t="shared" si="63"/>
        <v>8128141159</v>
      </c>
      <c r="J409" s="302"/>
      <c r="K409" s="302"/>
      <c r="L409" s="266"/>
      <c r="M409" s="266"/>
      <c r="N409" s="2620">
        <f t="shared" si="64"/>
        <v>0</v>
      </c>
      <c r="O409" s="2620"/>
      <c r="P409" s="266"/>
      <c r="Q409" s="266"/>
      <c r="R409" s="266"/>
      <c r="S409" s="266"/>
      <c r="T409" s="302">
        <f t="shared" si="65"/>
        <v>0</v>
      </c>
      <c r="U409" s="302"/>
      <c r="V409" s="266"/>
      <c r="W409" s="266"/>
      <c r="X409" s="266"/>
      <c r="Y409" s="266"/>
      <c r="Z409" s="266"/>
      <c r="AA409" s="266"/>
      <c r="AB409" s="277">
        <f t="shared" si="62"/>
        <v>8128141159</v>
      </c>
    </row>
    <row r="410" spans="2:29" ht="28.9" customHeight="1" x14ac:dyDescent="0.4">
      <c r="B410" s="4125"/>
      <c r="C410" s="2731" t="s">
        <v>835</v>
      </c>
      <c r="D410" s="2696" t="s">
        <v>836</v>
      </c>
      <c r="E410" s="2681">
        <v>37946724972</v>
      </c>
      <c r="F410" s="2732"/>
      <c r="G410" s="302"/>
      <c r="H410" s="302"/>
      <c r="I410" s="302">
        <f t="shared" si="63"/>
        <v>37946724972</v>
      </c>
      <c r="J410" s="302"/>
      <c r="K410" s="302"/>
      <c r="L410" s="266"/>
      <c r="M410" s="266"/>
      <c r="N410" s="2620">
        <f t="shared" si="64"/>
        <v>0</v>
      </c>
      <c r="O410" s="2620"/>
      <c r="P410" s="266"/>
      <c r="Q410" s="266"/>
      <c r="R410" s="266"/>
      <c r="S410" s="266"/>
      <c r="T410" s="302">
        <f t="shared" si="65"/>
        <v>0</v>
      </c>
      <c r="U410" s="302"/>
      <c r="V410" s="266"/>
      <c r="W410" s="266"/>
      <c r="X410" s="266"/>
      <c r="Y410" s="266"/>
      <c r="Z410" s="266"/>
      <c r="AA410" s="266"/>
      <c r="AB410" s="277">
        <f t="shared" si="62"/>
        <v>37946724972</v>
      </c>
    </row>
    <row r="411" spans="2:29" ht="28.9" customHeight="1" x14ac:dyDescent="0.4">
      <c r="B411" s="4125"/>
      <c r="C411" s="2731" t="s">
        <v>839</v>
      </c>
      <c r="D411" s="2696" t="s">
        <v>840</v>
      </c>
      <c r="E411" s="2681">
        <v>627198330</v>
      </c>
      <c r="F411" s="2732"/>
      <c r="G411" s="302"/>
      <c r="H411" s="302"/>
      <c r="I411" s="302">
        <f t="shared" si="63"/>
        <v>627198330</v>
      </c>
      <c r="J411" s="302"/>
      <c r="K411" s="302"/>
      <c r="L411" s="266"/>
      <c r="M411" s="266"/>
      <c r="N411" s="2620">
        <f t="shared" si="64"/>
        <v>0</v>
      </c>
      <c r="O411" s="2620"/>
      <c r="P411" s="266"/>
      <c r="Q411" s="266"/>
      <c r="R411" s="266"/>
      <c r="S411" s="266"/>
      <c r="T411" s="302">
        <f t="shared" si="65"/>
        <v>0</v>
      </c>
      <c r="U411" s="302"/>
      <c r="V411" s="266"/>
      <c r="W411" s="266"/>
      <c r="X411" s="266"/>
      <c r="Y411" s="266"/>
      <c r="Z411" s="266"/>
      <c r="AA411" s="266"/>
      <c r="AB411" s="277">
        <f t="shared" si="62"/>
        <v>627198330</v>
      </c>
    </row>
    <row r="412" spans="2:29" ht="28.9" customHeight="1" x14ac:dyDescent="0.4">
      <c r="B412" s="4125"/>
      <c r="C412" s="2731" t="s">
        <v>841</v>
      </c>
      <c r="D412" s="2696" t="s">
        <v>842</v>
      </c>
      <c r="E412" s="2681">
        <v>11331224274</v>
      </c>
      <c r="F412" s="2732"/>
      <c r="G412" s="302"/>
      <c r="H412" s="302"/>
      <c r="I412" s="302">
        <f t="shared" si="63"/>
        <v>11331224274</v>
      </c>
      <c r="J412" s="302"/>
      <c r="K412" s="302"/>
      <c r="L412" s="266"/>
      <c r="M412" s="266"/>
      <c r="N412" s="2620">
        <f t="shared" si="64"/>
        <v>0</v>
      </c>
      <c r="O412" s="2620"/>
      <c r="P412" s="266"/>
      <c r="Q412" s="266"/>
      <c r="R412" s="266"/>
      <c r="S412" s="266"/>
      <c r="T412" s="302">
        <f t="shared" si="65"/>
        <v>0</v>
      </c>
      <c r="U412" s="302"/>
      <c r="V412" s="266"/>
      <c r="W412" s="266"/>
      <c r="X412" s="266"/>
      <c r="Y412" s="266"/>
      <c r="Z412" s="266"/>
      <c r="AA412" s="266"/>
      <c r="AB412" s="277">
        <f t="shared" si="62"/>
        <v>11331224274</v>
      </c>
    </row>
    <row r="413" spans="2:29" ht="28.9" customHeight="1" x14ac:dyDescent="0.4">
      <c r="B413" s="4125"/>
      <c r="C413" s="2731" t="s">
        <v>225</v>
      </c>
      <c r="D413" s="2696" t="s">
        <v>226</v>
      </c>
      <c r="E413" s="2681">
        <v>1989585169</v>
      </c>
      <c r="F413" s="2732"/>
      <c r="G413" s="302"/>
      <c r="H413" s="302"/>
      <c r="I413" s="302">
        <f t="shared" si="63"/>
        <v>1989585169</v>
      </c>
      <c r="J413" s="302"/>
      <c r="K413" s="302"/>
      <c r="L413" s="266"/>
      <c r="M413" s="266"/>
      <c r="N413" s="2620">
        <f t="shared" si="64"/>
        <v>0</v>
      </c>
      <c r="O413" s="2620"/>
      <c r="P413" s="266"/>
      <c r="Q413" s="266"/>
      <c r="R413" s="351"/>
      <c r="S413" s="266"/>
      <c r="T413" s="302">
        <f t="shared" si="65"/>
        <v>0</v>
      </c>
      <c r="U413" s="302"/>
      <c r="V413" s="266"/>
      <c r="W413" s="266"/>
      <c r="X413" s="266"/>
      <c r="Y413" s="266"/>
      <c r="Z413" s="266"/>
      <c r="AA413" s="266"/>
      <c r="AB413" s="277">
        <f t="shared" si="62"/>
        <v>1989585169</v>
      </c>
    </row>
    <row r="414" spans="2:29" ht="28.9" customHeight="1" x14ac:dyDescent="0.4">
      <c r="B414" s="4125"/>
      <c r="C414" s="2731" t="s">
        <v>272</v>
      </c>
      <c r="D414" s="2696" t="s">
        <v>273</v>
      </c>
      <c r="E414" s="2681">
        <v>4087830000</v>
      </c>
      <c r="F414" s="2732"/>
      <c r="G414" s="302"/>
      <c r="H414" s="302"/>
      <c r="I414" s="302">
        <f t="shared" si="63"/>
        <v>4087830000</v>
      </c>
      <c r="J414" s="302"/>
      <c r="K414" s="302"/>
      <c r="L414" s="266"/>
      <c r="M414" s="266"/>
      <c r="N414" s="2620">
        <f t="shared" si="64"/>
        <v>0</v>
      </c>
      <c r="O414" s="2620"/>
      <c r="P414" s="266"/>
      <c r="Q414" s="266"/>
      <c r="R414" s="351"/>
      <c r="S414" s="266"/>
      <c r="T414" s="302">
        <f t="shared" si="65"/>
        <v>0</v>
      </c>
      <c r="U414" s="302"/>
      <c r="V414" s="266"/>
      <c r="W414" s="266"/>
      <c r="X414" s="266"/>
      <c r="Y414" s="266"/>
      <c r="Z414" s="266"/>
      <c r="AA414" s="266"/>
      <c r="AB414" s="277">
        <f t="shared" si="62"/>
        <v>4087830000</v>
      </c>
    </row>
    <row r="415" spans="2:29" ht="28.9" customHeight="1" x14ac:dyDescent="0.4">
      <c r="B415" s="4125"/>
      <c r="C415" s="2731" t="s">
        <v>238</v>
      </c>
      <c r="D415" s="2696" t="s">
        <v>239</v>
      </c>
      <c r="E415" s="2681">
        <v>1992508395</v>
      </c>
      <c r="F415" s="2732"/>
      <c r="G415" s="302"/>
      <c r="H415" s="302"/>
      <c r="I415" s="302">
        <f t="shared" si="63"/>
        <v>1992508395</v>
      </c>
      <c r="J415" s="302"/>
      <c r="K415" s="302"/>
      <c r="L415" s="266"/>
      <c r="M415" s="266"/>
      <c r="N415" s="2620">
        <f t="shared" si="64"/>
        <v>0</v>
      </c>
      <c r="O415" s="2620"/>
      <c r="P415" s="266"/>
      <c r="Q415" s="266"/>
      <c r="R415" s="351"/>
      <c r="S415" s="266"/>
      <c r="T415" s="302">
        <f t="shared" si="65"/>
        <v>0</v>
      </c>
      <c r="U415" s="302"/>
      <c r="V415" s="266"/>
      <c r="W415" s="266"/>
      <c r="X415" s="266"/>
      <c r="Y415" s="266"/>
      <c r="Z415" s="266"/>
      <c r="AA415" s="266"/>
      <c r="AB415" s="277">
        <f t="shared" si="62"/>
        <v>1992508395</v>
      </c>
    </row>
    <row r="416" spans="2:29" ht="28.9" customHeight="1" x14ac:dyDescent="0.4">
      <c r="B416" s="4125"/>
      <c r="C416" s="2731" t="s">
        <v>240</v>
      </c>
      <c r="D416" s="2696" t="s">
        <v>241</v>
      </c>
      <c r="E416" s="2681">
        <v>1643584631</v>
      </c>
      <c r="F416" s="2732"/>
      <c r="G416" s="302"/>
      <c r="H416" s="302"/>
      <c r="I416" s="302">
        <f t="shared" si="63"/>
        <v>1643584631</v>
      </c>
      <c r="J416" s="302"/>
      <c r="K416" s="302"/>
      <c r="L416" s="266"/>
      <c r="M416" s="266"/>
      <c r="N416" s="2620">
        <f t="shared" si="64"/>
        <v>0</v>
      </c>
      <c r="O416" s="2620"/>
      <c r="P416" s="266"/>
      <c r="Q416" s="266"/>
      <c r="R416" s="351"/>
      <c r="S416" s="266"/>
      <c r="T416" s="302">
        <f t="shared" si="65"/>
        <v>0</v>
      </c>
      <c r="U416" s="302"/>
      <c r="V416" s="266"/>
      <c r="W416" s="266"/>
      <c r="X416" s="266"/>
      <c r="Y416" s="266"/>
      <c r="Z416" s="266"/>
      <c r="AA416" s="266"/>
      <c r="AB416" s="277">
        <f t="shared" si="62"/>
        <v>1643584631</v>
      </c>
    </row>
    <row r="417" spans="2:32" ht="28.9" customHeight="1" x14ac:dyDescent="0.4">
      <c r="B417" s="4125"/>
      <c r="C417" s="2731" t="s">
        <v>843</v>
      </c>
      <c r="D417" s="2696" t="s">
        <v>844</v>
      </c>
      <c r="E417" s="2681">
        <v>17577963742</v>
      </c>
      <c r="F417" s="2732"/>
      <c r="G417" s="302"/>
      <c r="H417" s="302"/>
      <c r="I417" s="302">
        <f t="shared" si="63"/>
        <v>17577963742</v>
      </c>
      <c r="J417" s="302"/>
      <c r="K417" s="302"/>
      <c r="L417" s="266"/>
      <c r="M417" s="266"/>
      <c r="N417" s="2620">
        <f t="shared" si="64"/>
        <v>0</v>
      </c>
      <c r="O417" s="2620"/>
      <c r="P417" s="266"/>
      <c r="Q417" s="266"/>
      <c r="R417" s="351"/>
      <c r="S417" s="266"/>
      <c r="T417" s="302">
        <f t="shared" si="65"/>
        <v>0</v>
      </c>
      <c r="U417" s="302"/>
      <c r="V417" s="266"/>
      <c r="W417" s="266"/>
      <c r="X417" s="266"/>
      <c r="Y417" s="266"/>
      <c r="Z417" s="266"/>
      <c r="AA417" s="266"/>
      <c r="AB417" s="277">
        <f t="shared" si="62"/>
        <v>17577963742</v>
      </c>
    </row>
    <row r="418" spans="2:32" ht="28.9" customHeight="1" x14ac:dyDescent="0.4">
      <c r="B418" s="4125"/>
      <c r="C418" s="2731" t="s">
        <v>845</v>
      </c>
      <c r="D418" s="2696" t="s">
        <v>846</v>
      </c>
      <c r="E418" s="2681">
        <v>1490102571</v>
      </c>
      <c r="F418" s="2732"/>
      <c r="G418" s="302"/>
      <c r="H418" s="302"/>
      <c r="I418" s="302">
        <f t="shared" si="63"/>
        <v>1490102571</v>
      </c>
      <c r="J418" s="302"/>
      <c r="K418" s="302"/>
      <c r="L418" s="266"/>
      <c r="M418" s="266"/>
      <c r="N418" s="2620">
        <f t="shared" si="64"/>
        <v>0</v>
      </c>
      <c r="O418" s="2620"/>
      <c r="P418" s="266"/>
      <c r="Q418" s="266"/>
      <c r="R418" s="266"/>
      <c r="S418" s="266"/>
      <c r="T418" s="302">
        <f t="shared" si="65"/>
        <v>0</v>
      </c>
      <c r="U418" s="302"/>
      <c r="V418" s="266"/>
      <c r="W418" s="266"/>
      <c r="X418" s="266"/>
      <c r="Y418" s="266"/>
      <c r="Z418" s="266"/>
      <c r="AA418" s="266"/>
      <c r="AB418" s="277">
        <f t="shared" si="62"/>
        <v>1490102571</v>
      </c>
    </row>
    <row r="419" spans="2:32" ht="28.9" customHeight="1" x14ac:dyDescent="0.4">
      <c r="B419" s="4125"/>
      <c r="C419" s="2731" t="s">
        <v>242</v>
      </c>
      <c r="D419" s="2696" t="s">
        <v>243</v>
      </c>
      <c r="E419" s="2681">
        <v>9622701400</v>
      </c>
      <c r="F419" s="2732"/>
      <c r="G419" s="302"/>
      <c r="H419" s="302"/>
      <c r="I419" s="302">
        <f t="shared" si="63"/>
        <v>9622701400</v>
      </c>
      <c r="J419" s="302"/>
      <c r="K419" s="302"/>
      <c r="L419" s="266"/>
      <c r="M419" s="266"/>
      <c r="N419" s="2620">
        <f t="shared" si="64"/>
        <v>0</v>
      </c>
      <c r="O419" s="2620"/>
      <c r="P419" s="266"/>
      <c r="Q419" s="266"/>
      <c r="R419" s="351"/>
      <c r="S419" s="266"/>
      <c r="T419" s="302">
        <f t="shared" si="65"/>
        <v>0</v>
      </c>
      <c r="U419" s="302"/>
      <c r="V419" s="266"/>
      <c r="W419" s="266"/>
      <c r="X419" s="266"/>
      <c r="Y419" s="266"/>
      <c r="Z419" s="266"/>
      <c r="AA419" s="266"/>
      <c r="AB419" s="277">
        <f t="shared" si="62"/>
        <v>9622701400</v>
      </c>
      <c r="AE419" s="2603">
        <v>9622701400</v>
      </c>
      <c r="AF419" s="2603">
        <f>AE419-E419</f>
        <v>0</v>
      </c>
    </row>
    <row r="420" spans="2:32" ht="28.9" customHeight="1" x14ac:dyDescent="0.4">
      <c r="B420" s="4125"/>
      <c r="C420" s="2731" t="s">
        <v>278</v>
      </c>
      <c r="D420" s="2696" t="s">
        <v>279</v>
      </c>
      <c r="E420" s="2681">
        <v>1711754895</v>
      </c>
      <c r="F420" s="2732"/>
      <c r="G420" s="302"/>
      <c r="H420" s="302"/>
      <c r="I420" s="302">
        <f t="shared" si="63"/>
        <v>1711754895</v>
      </c>
      <c r="J420" s="302"/>
      <c r="K420" s="302"/>
      <c r="L420" s="266"/>
      <c r="M420" s="266"/>
      <c r="N420" s="2620">
        <f t="shared" si="64"/>
        <v>0</v>
      </c>
      <c r="O420" s="2620"/>
      <c r="P420" s="266"/>
      <c r="Q420" s="266"/>
      <c r="R420" s="351"/>
      <c r="S420" s="266"/>
      <c r="T420" s="302">
        <f t="shared" si="65"/>
        <v>0</v>
      </c>
      <c r="U420" s="302"/>
      <c r="V420" s="266"/>
      <c r="W420" s="266"/>
      <c r="X420" s="266"/>
      <c r="Y420" s="266"/>
      <c r="Z420" s="266"/>
      <c r="AA420" s="266"/>
      <c r="AB420" s="277">
        <f t="shared" si="62"/>
        <v>1711754895</v>
      </c>
    </row>
    <row r="421" spans="2:32" ht="28.9" customHeight="1" x14ac:dyDescent="0.2">
      <c r="B421" s="4112" t="s">
        <v>94</v>
      </c>
      <c r="C421" s="4112"/>
      <c r="D421" s="4112"/>
      <c r="E421" s="2681">
        <f>SUM(E405:E420)</f>
        <v>48978165042426</v>
      </c>
      <c r="F421" s="2681">
        <f t="shared" ref="F421:AB421" si="66">SUM(F405:F420)</f>
        <v>137242313107</v>
      </c>
      <c r="G421" s="2681">
        <f t="shared" si="66"/>
        <v>10000256000000</v>
      </c>
      <c r="H421" s="2681">
        <f t="shared" si="66"/>
        <v>339796800</v>
      </c>
      <c r="I421" s="2681">
        <f t="shared" si="66"/>
        <v>48978504839226</v>
      </c>
      <c r="J421" s="2681">
        <f t="shared" si="66"/>
        <v>271500000000</v>
      </c>
      <c r="K421" s="2681">
        <f t="shared" si="66"/>
        <v>538146000000</v>
      </c>
      <c r="L421" s="2681">
        <f t="shared" si="66"/>
        <v>0</v>
      </c>
      <c r="M421" s="2681">
        <f t="shared" si="66"/>
        <v>0</v>
      </c>
      <c r="N421" s="2681">
        <f t="shared" si="66"/>
        <v>1647610000000</v>
      </c>
      <c r="O421" s="2681">
        <f t="shared" si="66"/>
        <v>9801019000000</v>
      </c>
      <c r="P421" s="2681">
        <f t="shared" si="66"/>
        <v>-1582060020</v>
      </c>
      <c r="Q421" s="2681">
        <f t="shared" si="66"/>
        <v>0</v>
      </c>
      <c r="R421" s="2681">
        <f t="shared" si="66"/>
        <v>0</v>
      </c>
      <c r="S421" s="2681">
        <f t="shared" si="66"/>
        <v>0</v>
      </c>
      <c r="T421" s="2681">
        <f t="shared" si="66"/>
        <v>-364939000000</v>
      </c>
      <c r="U421" s="2681">
        <f t="shared" si="66"/>
        <v>214138000000</v>
      </c>
      <c r="V421" s="2681">
        <f t="shared" si="66"/>
        <v>778378980000</v>
      </c>
      <c r="W421" s="2681">
        <f t="shared" si="66"/>
        <v>-196044000000</v>
      </c>
      <c r="X421" s="2681">
        <f t="shared" si="66"/>
        <v>0</v>
      </c>
      <c r="Y421" s="2681" t="e">
        <f t="shared" si="66"/>
        <v>#N/A</v>
      </c>
      <c r="Z421" s="2681" t="e">
        <f t="shared" si="66"/>
        <v>#N/A</v>
      </c>
      <c r="AA421" s="2681">
        <f t="shared" si="66"/>
        <v>0</v>
      </c>
      <c r="AB421" s="2681">
        <f t="shared" si="66"/>
        <v>60857085759206</v>
      </c>
      <c r="AD421" s="2603">
        <f>W421+V421+U421+T421+P421+O421+N421+I421</f>
        <v>60857085759206</v>
      </c>
    </row>
    <row r="422" spans="2:32" ht="15.75" customHeight="1" x14ac:dyDescent="0.2">
      <c r="B422" s="2616"/>
      <c r="C422" s="2616"/>
      <c r="D422" s="2616"/>
      <c r="E422" s="2654"/>
      <c r="F422" s="2654"/>
      <c r="G422" s="2654"/>
      <c r="H422" s="2654"/>
      <c r="I422" s="2654"/>
      <c r="J422" s="2654"/>
      <c r="K422" s="2654"/>
      <c r="L422" s="2654"/>
      <c r="M422" s="2654"/>
      <c r="N422" s="2654"/>
      <c r="O422" s="2654"/>
      <c r="P422" s="2654"/>
      <c r="Q422" s="2654"/>
      <c r="R422" s="2654"/>
      <c r="S422" s="2654"/>
      <c r="T422" s="2654"/>
      <c r="U422" s="2654"/>
      <c r="V422" s="2654"/>
      <c r="W422" s="2654"/>
      <c r="X422" s="2654"/>
      <c r="Y422" s="2654"/>
      <c r="Z422" s="2654"/>
      <c r="AA422" s="2654"/>
      <c r="AB422" s="2654"/>
    </row>
    <row r="423" spans="2:32" ht="48" customHeight="1" x14ac:dyDescent="0.2">
      <c r="B423" s="2616"/>
      <c r="C423" s="2616"/>
      <c r="D423" s="2616"/>
      <c r="E423" s="2654"/>
      <c r="F423" s="2654"/>
      <c r="G423" s="2654"/>
      <c r="H423" s="2654"/>
      <c r="I423" s="2654"/>
      <c r="J423" s="2654"/>
      <c r="K423" s="2654"/>
      <c r="L423" s="2654"/>
      <c r="M423" s="2654"/>
      <c r="N423" s="2654"/>
      <c r="O423" s="2654"/>
      <c r="P423" s="2654"/>
      <c r="Q423" s="2654"/>
      <c r="R423" s="2654"/>
      <c r="S423" s="2654"/>
      <c r="T423" s="2654"/>
      <c r="U423" s="2654"/>
      <c r="V423" s="2654"/>
      <c r="W423" s="2654"/>
      <c r="X423" s="2654"/>
      <c r="Y423" s="2654"/>
      <c r="Z423" s="2654"/>
      <c r="AA423" s="2654"/>
      <c r="AB423" s="2654"/>
    </row>
    <row r="424" spans="2:32" ht="31.9" customHeight="1" x14ac:dyDescent="0.2">
      <c r="B424" s="4107" t="s">
        <v>2281</v>
      </c>
      <c r="C424" s="4107"/>
      <c r="D424" s="4107"/>
      <c r="E424" s="4107"/>
      <c r="F424" s="4107"/>
      <c r="G424" s="4107"/>
      <c r="H424" s="4107"/>
      <c r="I424" s="4107"/>
      <c r="J424" s="4107"/>
      <c r="K424" s="4107"/>
      <c r="L424" s="4107"/>
      <c r="M424" s="4107"/>
      <c r="N424" s="4107"/>
      <c r="O424" s="4107"/>
      <c r="P424" s="4107"/>
      <c r="Q424" s="4107"/>
      <c r="R424" s="4107"/>
      <c r="S424" s="4107"/>
      <c r="T424" s="4107"/>
      <c r="U424" s="4107"/>
      <c r="V424" s="4107"/>
      <c r="W424" s="4107"/>
      <c r="X424" s="4107"/>
      <c r="Y424" s="4107"/>
      <c r="Z424" s="4107"/>
      <c r="AA424" s="4107"/>
      <c r="AB424" s="4107"/>
    </row>
    <row r="425" spans="2:32" ht="25.9" customHeight="1" x14ac:dyDescent="0.2">
      <c r="B425" s="4108" t="s">
        <v>295</v>
      </c>
      <c r="C425" s="4108"/>
      <c r="D425" s="4108"/>
      <c r="E425" s="4108"/>
      <c r="F425" s="4108"/>
      <c r="G425" s="4108"/>
      <c r="H425" s="4108"/>
      <c r="I425" s="4108"/>
      <c r="J425" s="4108"/>
      <c r="K425" s="4108"/>
      <c r="L425" s="4108"/>
      <c r="M425" s="4108"/>
      <c r="N425" s="4108"/>
      <c r="O425" s="4108"/>
      <c r="P425" s="4108"/>
      <c r="Q425" s="4108"/>
      <c r="R425" s="4108"/>
      <c r="S425" s="4108"/>
      <c r="T425" s="4108"/>
      <c r="U425" s="4108"/>
      <c r="V425" s="4108"/>
      <c r="W425" s="4108"/>
      <c r="X425" s="4108"/>
      <c r="Y425" s="4108"/>
      <c r="Z425" s="4108"/>
      <c r="AA425" s="4108"/>
      <c r="AB425" s="4108"/>
    </row>
    <row r="426" spans="2:32" ht="25.9" customHeight="1" x14ac:dyDescent="0.2">
      <c r="B426" s="4108" t="s">
        <v>45</v>
      </c>
      <c r="C426" s="4108"/>
      <c r="D426" s="4108"/>
      <c r="E426" s="4108"/>
      <c r="F426" s="4108"/>
      <c r="G426" s="4108"/>
      <c r="H426" s="4108"/>
      <c r="I426" s="4108"/>
      <c r="J426" s="4108"/>
      <c r="K426" s="4108"/>
      <c r="L426" s="4108"/>
      <c r="M426" s="4108"/>
      <c r="N426" s="4108"/>
      <c r="O426" s="4108"/>
      <c r="P426" s="4108"/>
      <c r="Q426" s="4108"/>
      <c r="R426" s="4108"/>
      <c r="S426" s="4108"/>
      <c r="T426" s="4108"/>
      <c r="U426" s="4108"/>
      <c r="V426" s="4108"/>
      <c r="W426" s="4108"/>
      <c r="X426" s="4108"/>
      <c r="Y426" s="4108"/>
      <c r="Z426" s="4108"/>
      <c r="AA426" s="4108"/>
      <c r="AB426" s="4108"/>
    </row>
    <row r="427" spans="2:32" ht="25.9" customHeight="1" x14ac:dyDescent="0.2">
      <c r="B427" s="4108" t="s">
        <v>46</v>
      </c>
      <c r="C427" s="4108"/>
      <c r="D427" s="4108"/>
      <c r="E427" s="4108"/>
      <c r="F427" s="4108"/>
      <c r="G427" s="4108"/>
      <c r="H427" s="4108"/>
      <c r="I427" s="4108"/>
      <c r="J427" s="4108"/>
      <c r="K427" s="4108"/>
      <c r="L427" s="4108"/>
      <c r="M427" s="4108"/>
      <c r="N427" s="4108"/>
      <c r="O427" s="4108"/>
      <c r="P427" s="4108"/>
      <c r="Q427" s="4108"/>
      <c r="R427" s="4108"/>
      <c r="S427" s="4108"/>
      <c r="T427" s="4108"/>
      <c r="U427" s="4108"/>
      <c r="V427" s="4108"/>
      <c r="W427" s="4108"/>
      <c r="X427" s="4108"/>
      <c r="Y427" s="4108"/>
      <c r="Z427" s="4108"/>
      <c r="AA427" s="4108"/>
      <c r="AB427" s="4108"/>
    </row>
    <row r="428" spans="2:32" ht="25.9" customHeight="1" x14ac:dyDescent="0.2">
      <c r="B428" s="3294" t="s">
        <v>1981</v>
      </c>
      <c r="C428" s="3294"/>
      <c r="D428" s="3294"/>
      <c r="E428" s="3294"/>
      <c r="F428" s="3294"/>
      <c r="G428" s="3294"/>
      <c r="H428" s="3294"/>
      <c r="I428" s="3294"/>
      <c r="J428" s="3294"/>
      <c r="K428" s="3294"/>
      <c r="L428" s="3294"/>
      <c r="M428" s="3294"/>
      <c r="N428" s="3294"/>
      <c r="O428" s="3294"/>
      <c r="P428" s="3294"/>
      <c r="Q428" s="3294"/>
      <c r="R428" s="3294"/>
      <c r="S428" s="3294"/>
      <c r="T428" s="3294"/>
      <c r="U428" s="3294"/>
      <c r="V428" s="3294"/>
      <c r="W428" s="3294"/>
      <c r="X428" s="3294"/>
      <c r="Y428" s="3294"/>
      <c r="Z428" s="3294"/>
      <c r="AA428" s="3294"/>
      <c r="AB428" s="3294"/>
    </row>
    <row r="429" spans="2:32" ht="58.9" customHeight="1" x14ac:dyDescent="0.2">
      <c r="B429" s="1722"/>
      <c r="C429" s="1722"/>
      <c r="D429" s="1722"/>
      <c r="E429" s="1722"/>
      <c r="F429" s="1722"/>
      <c r="G429" s="1722"/>
      <c r="H429" s="1722"/>
      <c r="I429" s="1722"/>
      <c r="J429" s="1722"/>
      <c r="K429" s="1722"/>
      <c r="L429" s="1722"/>
      <c r="M429" s="1722"/>
      <c r="N429" s="1722"/>
      <c r="O429" s="1722"/>
      <c r="P429" s="1722"/>
      <c r="Q429" s="1722"/>
      <c r="R429" s="1722"/>
      <c r="S429" s="1722"/>
      <c r="T429" s="1722"/>
      <c r="U429" s="1722"/>
      <c r="V429" s="1722"/>
      <c r="W429" s="1722"/>
      <c r="X429" s="1722"/>
      <c r="Y429" s="1722"/>
      <c r="Z429" s="1722"/>
      <c r="AA429" s="1722"/>
      <c r="AB429" s="1722"/>
    </row>
    <row r="430" spans="2:32" ht="25.9" customHeight="1" x14ac:dyDescent="0.2">
      <c r="B430" s="4110" t="s">
        <v>1848</v>
      </c>
      <c r="C430" s="4110"/>
      <c r="D430" s="4110"/>
      <c r="E430" s="2656"/>
      <c r="F430" s="2657"/>
      <c r="G430" s="2658"/>
      <c r="H430" s="2658"/>
      <c r="I430" s="2658"/>
      <c r="J430" s="2658"/>
      <c r="K430" s="2658"/>
      <c r="L430" s="2658"/>
      <c r="M430" s="2658"/>
      <c r="N430" s="2658"/>
      <c r="O430" s="2658"/>
      <c r="P430" s="2658"/>
      <c r="Q430" s="2658"/>
      <c r="R430" s="2658"/>
      <c r="S430" s="2658"/>
      <c r="T430" s="2658"/>
      <c r="U430" s="2658"/>
      <c r="V430" s="2658"/>
      <c r="W430" s="2658"/>
      <c r="X430" s="104"/>
      <c r="Y430" s="104"/>
      <c r="Z430" s="104"/>
      <c r="AA430" s="104"/>
      <c r="AB430" s="2608" t="s">
        <v>194</v>
      </c>
    </row>
    <row r="431" spans="2:32" ht="35.450000000000003" customHeight="1" x14ac:dyDescent="0.2">
      <c r="B431" s="4112" t="s">
        <v>419</v>
      </c>
      <c r="C431" s="4117" t="s">
        <v>196</v>
      </c>
      <c r="D431" s="4124" t="s">
        <v>197</v>
      </c>
      <c r="E431" s="4111" t="s">
        <v>1400</v>
      </c>
      <c r="F431" s="2609"/>
      <c r="G431" s="4111" t="s">
        <v>921</v>
      </c>
      <c r="H431" s="4118" t="s">
        <v>1116</v>
      </c>
      <c r="I431" s="4118" t="s">
        <v>1271</v>
      </c>
      <c r="J431" s="4135" t="s">
        <v>1272</v>
      </c>
      <c r="K431" s="4136"/>
      <c r="L431" s="4136"/>
      <c r="M431" s="4136"/>
      <c r="N431" s="4136"/>
      <c r="O431" s="4137"/>
      <c r="P431" s="4113" t="s">
        <v>423</v>
      </c>
      <c r="Q431" s="4115" t="s">
        <v>827</v>
      </c>
      <c r="R431" s="4115" t="s">
        <v>888</v>
      </c>
      <c r="S431" s="4115"/>
      <c r="T431" s="4114" t="s">
        <v>2015</v>
      </c>
      <c r="U431" s="4121" t="s">
        <v>1274</v>
      </c>
      <c r="V431" s="4121" t="s">
        <v>2016</v>
      </c>
      <c r="W431" s="4116" t="s">
        <v>1033</v>
      </c>
      <c r="X431" s="2610"/>
      <c r="Y431" s="4127" t="s">
        <v>296</v>
      </c>
      <c r="Z431" s="4127" t="s">
        <v>190</v>
      </c>
      <c r="AA431" s="4129" t="s">
        <v>313</v>
      </c>
      <c r="AB431" s="4111" t="s">
        <v>2013</v>
      </c>
    </row>
    <row r="432" spans="2:32" ht="25.9" customHeight="1" x14ac:dyDescent="0.2">
      <c r="B432" s="4112"/>
      <c r="C432" s="4117"/>
      <c r="D432" s="4124"/>
      <c r="E432" s="4111"/>
      <c r="F432" s="2609"/>
      <c r="G432" s="4111"/>
      <c r="H432" s="4119"/>
      <c r="I432" s="4119"/>
      <c r="J432" s="4138"/>
      <c r="K432" s="4139"/>
      <c r="L432" s="4139"/>
      <c r="M432" s="4139"/>
      <c r="N432" s="4139"/>
      <c r="O432" s="4140"/>
      <c r="P432" s="4113"/>
      <c r="Q432" s="4115"/>
      <c r="R432" s="4109" t="s">
        <v>889</v>
      </c>
      <c r="S432" s="4109" t="s">
        <v>890</v>
      </c>
      <c r="T432" s="4114"/>
      <c r="U432" s="4122"/>
      <c r="V432" s="4122"/>
      <c r="W432" s="4116"/>
      <c r="X432" s="2611"/>
      <c r="Y432" s="4127"/>
      <c r="Z432" s="4127"/>
      <c r="AA432" s="4130"/>
      <c r="AB432" s="4111"/>
    </row>
    <row r="433" spans="2:30" ht="63.6" customHeight="1" x14ac:dyDescent="0.2">
      <c r="B433" s="4112"/>
      <c r="C433" s="4117"/>
      <c r="D433" s="4124"/>
      <c r="E433" s="4111"/>
      <c r="F433" s="2612" t="s">
        <v>421</v>
      </c>
      <c r="G433" s="2613" t="s">
        <v>27</v>
      </c>
      <c r="H433" s="4120"/>
      <c r="I433" s="4120"/>
      <c r="J433" s="2614" t="s">
        <v>1273</v>
      </c>
      <c r="K433" s="2614" t="s">
        <v>1292</v>
      </c>
      <c r="L433" s="2612" t="s">
        <v>999</v>
      </c>
      <c r="M433" s="2612" t="s">
        <v>422</v>
      </c>
      <c r="N433" s="2612" t="s">
        <v>2014</v>
      </c>
      <c r="O433" s="2615" t="s">
        <v>1794</v>
      </c>
      <c r="P433" s="4113"/>
      <c r="Q433" s="4115"/>
      <c r="R433" s="4109"/>
      <c r="S433" s="4109"/>
      <c r="T433" s="4114"/>
      <c r="U433" s="4123"/>
      <c r="V433" s="4123"/>
      <c r="W433" s="4116"/>
      <c r="X433" s="373" t="s">
        <v>62</v>
      </c>
      <c r="Y433" s="4127"/>
      <c r="Z433" s="4127"/>
      <c r="AA433" s="4131"/>
      <c r="AB433" s="4111"/>
    </row>
    <row r="434" spans="2:30" ht="30.6" customHeight="1" x14ac:dyDescent="0.2">
      <c r="B434" s="4125" t="s">
        <v>180</v>
      </c>
      <c r="C434" s="4133" t="s">
        <v>181</v>
      </c>
      <c r="D434" s="4134"/>
      <c r="E434" s="2733">
        <f>E421</f>
        <v>48978165042426</v>
      </c>
      <c r="F434" s="2733">
        <f t="shared" ref="F434:AB434" si="67">F421</f>
        <v>137242313107</v>
      </c>
      <c r="G434" s="2733">
        <f t="shared" si="67"/>
        <v>10000256000000</v>
      </c>
      <c r="H434" s="2733">
        <f t="shared" si="67"/>
        <v>339796800</v>
      </c>
      <c r="I434" s="2733">
        <f t="shared" si="67"/>
        <v>48978504839226</v>
      </c>
      <c r="J434" s="2733">
        <f t="shared" si="67"/>
        <v>271500000000</v>
      </c>
      <c r="K434" s="2733">
        <f t="shared" si="67"/>
        <v>538146000000</v>
      </c>
      <c r="L434" s="2733">
        <f t="shared" si="67"/>
        <v>0</v>
      </c>
      <c r="M434" s="2733">
        <f t="shared" si="67"/>
        <v>0</v>
      </c>
      <c r="N434" s="2733">
        <f t="shared" si="67"/>
        <v>1647610000000</v>
      </c>
      <c r="O434" s="2733">
        <f t="shared" si="67"/>
        <v>9801019000000</v>
      </c>
      <c r="P434" s="2733">
        <f t="shared" si="67"/>
        <v>-1582060020</v>
      </c>
      <c r="Q434" s="2733">
        <f t="shared" si="67"/>
        <v>0</v>
      </c>
      <c r="R434" s="2733">
        <f t="shared" si="67"/>
        <v>0</v>
      </c>
      <c r="S434" s="2733">
        <f t="shared" si="67"/>
        <v>0</v>
      </c>
      <c r="T434" s="2733">
        <f t="shared" si="67"/>
        <v>-364939000000</v>
      </c>
      <c r="U434" s="2733">
        <f t="shared" si="67"/>
        <v>214138000000</v>
      </c>
      <c r="V434" s="2733">
        <f t="shared" si="67"/>
        <v>778378980000</v>
      </c>
      <c r="W434" s="2733">
        <f t="shared" si="67"/>
        <v>-196044000000</v>
      </c>
      <c r="X434" s="2733">
        <f t="shared" si="67"/>
        <v>0</v>
      </c>
      <c r="Y434" s="2733" t="e">
        <f t="shared" si="67"/>
        <v>#N/A</v>
      </c>
      <c r="Z434" s="2733" t="e">
        <f t="shared" si="67"/>
        <v>#N/A</v>
      </c>
      <c r="AA434" s="2733">
        <f t="shared" si="67"/>
        <v>0</v>
      </c>
      <c r="AB434" s="2733">
        <f t="shared" si="67"/>
        <v>60857085759206</v>
      </c>
    </row>
    <row r="435" spans="2:30" ht="30.6" customHeight="1" x14ac:dyDescent="0.4">
      <c r="B435" s="4125"/>
      <c r="C435" s="2734" t="s">
        <v>849</v>
      </c>
      <c r="D435" s="2696" t="s">
        <v>850</v>
      </c>
      <c r="E435" s="2733">
        <v>69272280</v>
      </c>
      <c r="F435" s="2732"/>
      <c r="G435" s="302"/>
      <c r="H435" s="302"/>
      <c r="I435" s="302">
        <f>E435+H435</f>
        <v>69272280</v>
      </c>
      <c r="J435" s="302"/>
      <c r="K435" s="302"/>
      <c r="L435" s="266"/>
      <c r="M435" s="266"/>
      <c r="N435" s="266">
        <f>SUM(J435:M435)</f>
        <v>0</v>
      </c>
      <c r="O435" s="266"/>
      <c r="P435" s="266"/>
      <c r="Q435" s="266"/>
      <c r="R435" s="351"/>
      <c r="S435" s="266"/>
      <c r="T435" s="302">
        <f>-K435</f>
        <v>0</v>
      </c>
      <c r="U435" s="302"/>
      <c r="V435" s="266"/>
      <c r="W435" s="266"/>
      <c r="X435" s="266"/>
      <c r="Y435" s="266"/>
      <c r="Z435" s="266"/>
      <c r="AA435" s="266"/>
      <c r="AB435" s="266">
        <f t="shared" ref="AB435:AB450" si="68">P435+W435+S435+R435+Q435+N435+T435+E435+V435+U435+O435+H435+M435</f>
        <v>69272280</v>
      </c>
    </row>
    <row r="436" spans="2:30" ht="30.6" customHeight="1" x14ac:dyDescent="0.4">
      <c r="B436" s="4125"/>
      <c r="C436" s="2734" t="s">
        <v>851</v>
      </c>
      <c r="D436" s="2696" t="s">
        <v>852</v>
      </c>
      <c r="E436" s="2733">
        <v>573754333</v>
      </c>
      <c r="F436" s="2732"/>
      <c r="G436" s="302"/>
      <c r="H436" s="302"/>
      <c r="I436" s="302">
        <f t="shared" ref="I436:I450" si="69">E436+H436</f>
        <v>573754333</v>
      </c>
      <c r="J436" s="302"/>
      <c r="K436" s="302"/>
      <c r="L436" s="266"/>
      <c r="M436" s="266"/>
      <c r="N436" s="266">
        <f t="shared" ref="N436:N450" si="70">SUM(J436:M436)</f>
        <v>0</v>
      </c>
      <c r="O436" s="266"/>
      <c r="P436" s="266"/>
      <c r="Q436" s="266"/>
      <c r="R436" s="351"/>
      <c r="S436" s="266"/>
      <c r="T436" s="302">
        <f t="shared" ref="T436:T450" si="71">-K436</f>
        <v>0</v>
      </c>
      <c r="U436" s="302"/>
      <c r="V436" s="266"/>
      <c r="W436" s="266"/>
      <c r="X436" s="266"/>
      <c r="Y436" s="266"/>
      <c r="Z436" s="266"/>
      <c r="AA436" s="266"/>
      <c r="AB436" s="266">
        <f t="shared" si="68"/>
        <v>573754333</v>
      </c>
    </row>
    <row r="437" spans="2:30" ht="30.6" customHeight="1" x14ac:dyDescent="0.4">
      <c r="B437" s="4125"/>
      <c r="C437" s="2734" t="s">
        <v>283</v>
      </c>
      <c r="D437" s="2696" t="s">
        <v>284</v>
      </c>
      <c r="E437" s="2733">
        <v>6271695050</v>
      </c>
      <c r="F437" s="2732"/>
      <c r="G437" s="302"/>
      <c r="H437" s="302"/>
      <c r="I437" s="302">
        <f t="shared" si="69"/>
        <v>6271695050</v>
      </c>
      <c r="J437" s="302"/>
      <c r="K437" s="302"/>
      <c r="L437" s="266"/>
      <c r="M437" s="266"/>
      <c r="N437" s="266">
        <f t="shared" si="70"/>
        <v>0</v>
      </c>
      <c r="O437" s="266"/>
      <c r="P437" s="266"/>
      <c r="Q437" s="266"/>
      <c r="R437" s="351"/>
      <c r="S437" s="266"/>
      <c r="T437" s="302">
        <f t="shared" si="71"/>
        <v>0</v>
      </c>
      <c r="U437" s="302"/>
      <c r="V437" s="266"/>
      <c r="W437" s="266"/>
      <c r="X437" s="266"/>
      <c r="Y437" s="266"/>
      <c r="Z437" s="266"/>
      <c r="AA437" s="266"/>
      <c r="AB437" s="266">
        <f t="shared" si="68"/>
        <v>6271695050</v>
      </c>
    </row>
    <row r="438" spans="2:30" ht="30.6" customHeight="1" x14ac:dyDescent="0.4">
      <c r="B438" s="4125"/>
      <c r="C438" s="2734" t="s">
        <v>857</v>
      </c>
      <c r="D438" s="2696" t="s">
        <v>858</v>
      </c>
      <c r="E438" s="2733">
        <v>1300814800</v>
      </c>
      <c r="F438" s="2732"/>
      <c r="G438" s="302"/>
      <c r="H438" s="302"/>
      <c r="I438" s="302">
        <f t="shared" si="69"/>
        <v>1300814800</v>
      </c>
      <c r="J438" s="302"/>
      <c r="K438" s="302"/>
      <c r="L438" s="266"/>
      <c r="M438" s="266"/>
      <c r="N438" s="266">
        <f t="shared" si="70"/>
        <v>0</v>
      </c>
      <c r="O438" s="266"/>
      <c r="P438" s="266"/>
      <c r="Q438" s="266"/>
      <c r="R438" s="351"/>
      <c r="S438" s="266"/>
      <c r="T438" s="302">
        <f t="shared" si="71"/>
        <v>0</v>
      </c>
      <c r="U438" s="302"/>
      <c r="V438" s="266"/>
      <c r="W438" s="266"/>
      <c r="X438" s="266"/>
      <c r="Y438" s="266"/>
      <c r="Z438" s="266"/>
      <c r="AA438" s="266"/>
      <c r="AB438" s="266">
        <f t="shared" si="68"/>
        <v>1300814800</v>
      </c>
    </row>
    <row r="439" spans="2:30" ht="30.6" customHeight="1" x14ac:dyDescent="0.4">
      <c r="B439" s="4125"/>
      <c r="C439" s="2734" t="s">
        <v>837</v>
      </c>
      <c r="D439" s="2696" t="s">
        <v>838</v>
      </c>
      <c r="E439" s="2733">
        <v>8422214000</v>
      </c>
      <c r="F439" s="2732"/>
      <c r="G439" s="302"/>
      <c r="H439" s="302"/>
      <c r="I439" s="302">
        <f t="shared" si="69"/>
        <v>8422214000</v>
      </c>
      <c r="J439" s="302"/>
      <c r="K439" s="302"/>
      <c r="L439" s="266"/>
      <c r="M439" s="266"/>
      <c r="N439" s="266">
        <f t="shared" si="70"/>
        <v>0</v>
      </c>
      <c r="O439" s="266"/>
      <c r="P439" s="266"/>
      <c r="Q439" s="266"/>
      <c r="R439" s="351"/>
      <c r="S439" s="266"/>
      <c r="T439" s="302">
        <f t="shared" si="71"/>
        <v>0</v>
      </c>
      <c r="U439" s="302"/>
      <c r="V439" s="266"/>
      <c r="W439" s="266"/>
      <c r="X439" s="266"/>
      <c r="Y439" s="266"/>
      <c r="Z439" s="266"/>
      <c r="AA439" s="266"/>
      <c r="AB439" s="266">
        <f t="shared" si="68"/>
        <v>8422214000</v>
      </c>
    </row>
    <row r="440" spans="2:30" ht="30.6" customHeight="1" x14ac:dyDescent="0.4">
      <c r="B440" s="4125"/>
      <c r="C440" s="2734" t="s">
        <v>859</v>
      </c>
      <c r="D440" s="2696" t="s">
        <v>860</v>
      </c>
      <c r="E440" s="2733">
        <v>1711770730</v>
      </c>
      <c r="F440" s="2732"/>
      <c r="G440" s="302"/>
      <c r="H440" s="302"/>
      <c r="I440" s="302">
        <f t="shared" si="69"/>
        <v>1711770730</v>
      </c>
      <c r="J440" s="302"/>
      <c r="K440" s="302"/>
      <c r="L440" s="266"/>
      <c r="M440" s="266"/>
      <c r="N440" s="266">
        <f t="shared" si="70"/>
        <v>0</v>
      </c>
      <c r="O440" s="266"/>
      <c r="P440" s="266"/>
      <c r="Q440" s="266"/>
      <c r="R440" s="351"/>
      <c r="S440" s="266"/>
      <c r="T440" s="302">
        <f t="shared" si="71"/>
        <v>0</v>
      </c>
      <c r="U440" s="302"/>
      <c r="V440" s="266"/>
      <c r="W440" s="266"/>
      <c r="X440" s="266"/>
      <c r="Y440" s="266"/>
      <c r="Z440" s="266"/>
      <c r="AA440" s="266"/>
      <c r="AB440" s="266">
        <f t="shared" si="68"/>
        <v>1711770730</v>
      </c>
    </row>
    <row r="441" spans="2:30" ht="30.6" customHeight="1" x14ac:dyDescent="0.4">
      <c r="B441" s="4125"/>
      <c r="C441" s="2734">
        <v>40202125</v>
      </c>
      <c r="D441" s="2696" t="s">
        <v>252</v>
      </c>
      <c r="E441" s="2735">
        <v>2170000000</v>
      </c>
      <c r="F441" s="2732"/>
      <c r="G441" s="302"/>
      <c r="H441" s="302"/>
      <c r="I441" s="302">
        <f t="shared" si="69"/>
        <v>2170000000</v>
      </c>
      <c r="J441" s="302"/>
      <c r="K441" s="302"/>
      <c r="L441" s="266"/>
      <c r="M441" s="266"/>
      <c r="N441" s="266">
        <f t="shared" si="70"/>
        <v>0</v>
      </c>
      <c r="O441" s="266"/>
      <c r="P441" s="266"/>
      <c r="Q441" s="266"/>
      <c r="R441" s="351"/>
      <c r="S441" s="266"/>
      <c r="T441" s="302">
        <f t="shared" si="71"/>
        <v>0</v>
      </c>
      <c r="U441" s="302"/>
      <c r="V441" s="266"/>
      <c r="W441" s="266"/>
      <c r="X441" s="266"/>
      <c r="Y441" s="266"/>
      <c r="Z441" s="266"/>
      <c r="AA441" s="266"/>
      <c r="AB441" s="266">
        <f t="shared" si="68"/>
        <v>2170000000</v>
      </c>
      <c r="AD441" s="2603">
        <v>2170000000</v>
      </c>
    </row>
    <row r="442" spans="2:30" ht="30.6" customHeight="1" x14ac:dyDescent="0.4">
      <c r="B442" s="4125"/>
      <c r="C442" s="2734" t="s">
        <v>861</v>
      </c>
      <c r="D442" s="2696" t="s">
        <v>862</v>
      </c>
      <c r="E442" s="2733">
        <v>1031835499</v>
      </c>
      <c r="F442" s="2732"/>
      <c r="G442" s="302"/>
      <c r="H442" s="302"/>
      <c r="I442" s="302">
        <f t="shared" si="69"/>
        <v>1031835499</v>
      </c>
      <c r="J442" s="302"/>
      <c r="K442" s="302"/>
      <c r="L442" s="266"/>
      <c r="M442" s="266"/>
      <c r="N442" s="266">
        <f t="shared" si="70"/>
        <v>0</v>
      </c>
      <c r="O442" s="266"/>
      <c r="P442" s="266"/>
      <c r="Q442" s="266"/>
      <c r="R442" s="351"/>
      <c r="S442" s="266"/>
      <c r="T442" s="302">
        <f t="shared" si="71"/>
        <v>0</v>
      </c>
      <c r="U442" s="302"/>
      <c r="V442" s="266"/>
      <c r="W442" s="266"/>
      <c r="X442" s="266"/>
      <c r="Y442" s="266"/>
      <c r="Z442" s="266"/>
      <c r="AA442" s="266"/>
      <c r="AB442" s="266">
        <f t="shared" si="68"/>
        <v>1031835499</v>
      </c>
    </row>
    <row r="443" spans="2:30" ht="30.6" customHeight="1" x14ac:dyDescent="0.4">
      <c r="B443" s="4125"/>
      <c r="C443" s="2734" t="s">
        <v>863</v>
      </c>
      <c r="D443" s="2696" t="s">
        <v>864</v>
      </c>
      <c r="E443" s="2733">
        <v>102358615</v>
      </c>
      <c r="F443" s="2732"/>
      <c r="G443" s="302"/>
      <c r="H443" s="302"/>
      <c r="I443" s="302">
        <f t="shared" si="69"/>
        <v>102358615</v>
      </c>
      <c r="J443" s="302"/>
      <c r="K443" s="302"/>
      <c r="L443" s="266"/>
      <c r="M443" s="266"/>
      <c r="N443" s="266">
        <f t="shared" si="70"/>
        <v>0</v>
      </c>
      <c r="O443" s="266"/>
      <c r="P443" s="266"/>
      <c r="Q443" s="266"/>
      <c r="R443" s="351"/>
      <c r="S443" s="266"/>
      <c r="T443" s="302">
        <f t="shared" si="71"/>
        <v>0</v>
      </c>
      <c r="U443" s="302"/>
      <c r="V443" s="266"/>
      <c r="W443" s="266"/>
      <c r="X443" s="266"/>
      <c r="Y443" s="266"/>
      <c r="Z443" s="266"/>
      <c r="AA443" s="266"/>
      <c r="AB443" s="266">
        <f t="shared" si="68"/>
        <v>102358615</v>
      </c>
    </row>
    <row r="444" spans="2:30" ht="30.6" customHeight="1" x14ac:dyDescent="0.4">
      <c r="B444" s="4125"/>
      <c r="C444" s="2734">
        <v>310023030</v>
      </c>
      <c r="D444" s="2696" t="s">
        <v>865</v>
      </c>
      <c r="E444" s="2733">
        <v>298316492</v>
      </c>
      <c r="F444" s="2732"/>
      <c r="G444" s="302"/>
      <c r="H444" s="302"/>
      <c r="I444" s="302">
        <f t="shared" si="69"/>
        <v>298316492</v>
      </c>
      <c r="J444" s="302"/>
      <c r="K444" s="302"/>
      <c r="L444" s="266"/>
      <c r="M444" s="266"/>
      <c r="N444" s="266">
        <f t="shared" si="70"/>
        <v>0</v>
      </c>
      <c r="O444" s="266"/>
      <c r="P444" s="266"/>
      <c r="Q444" s="266"/>
      <c r="R444" s="351"/>
      <c r="S444" s="266"/>
      <c r="T444" s="302">
        <f t="shared" si="71"/>
        <v>0</v>
      </c>
      <c r="U444" s="302"/>
      <c r="V444" s="266"/>
      <c r="W444" s="266"/>
      <c r="X444" s="266"/>
      <c r="Y444" s="266"/>
      <c r="Z444" s="266"/>
      <c r="AA444" s="266"/>
      <c r="AB444" s="266">
        <f t="shared" si="68"/>
        <v>298316492</v>
      </c>
    </row>
    <row r="445" spans="2:30" ht="30.6" customHeight="1" x14ac:dyDescent="0.4">
      <c r="B445" s="4125"/>
      <c r="C445" s="2734" t="s">
        <v>250</v>
      </c>
      <c r="D445" s="2696" t="s">
        <v>873</v>
      </c>
      <c r="E445" s="2733">
        <v>1500000000</v>
      </c>
      <c r="F445" s="2732"/>
      <c r="G445" s="302"/>
      <c r="H445" s="302"/>
      <c r="I445" s="302">
        <f t="shared" si="69"/>
        <v>1500000000</v>
      </c>
      <c r="J445" s="302"/>
      <c r="K445" s="302"/>
      <c r="L445" s="266"/>
      <c r="M445" s="266"/>
      <c r="N445" s="266">
        <f t="shared" si="70"/>
        <v>0</v>
      </c>
      <c r="O445" s="266"/>
      <c r="P445" s="266"/>
      <c r="Q445" s="266"/>
      <c r="R445" s="351"/>
      <c r="S445" s="266"/>
      <c r="T445" s="302">
        <f t="shared" si="71"/>
        <v>0</v>
      </c>
      <c r="U445" s="302"/>
      <c r="V445" s="266"/>
      <c r="W445" s="266"/>
      <c r="X445" s="266"/>
      <c r="Y445" s="266"/>
      <c r="Z445" s="266"/>
      <c r="AA445" s="266"/>
      <c r="AB445" s="266">
        <f t="shared" si="68"/>
        <v>1500000000</v>
      </c>
    </row>
    <row r="446" spans="2:30" ht="30.6" customHeight="1" x14ac:dyDescent="0.4">
      <c r="B446" s="4125"/>
      <c r="C446" s="2734" t="s">
        <v>876</v>
      </c>
      <c r="D446" s="2696" t="s">
        <v>877</v>
      </c>
      <c r="E446" s="2733">
        <v>3000000000</v>
      </c>
      <c r="F446" s="2732"/>
      <c r="G446" s="302"/>
      <c r="H446" s="302"/>
      <c r="I446" s="302">
        <f t="shared" si="69"/>
        <v>3000000000</v>
      </c>
      <c r="J446" s="302"/>
      <c r="K446" s="302"/>
      <c r="L446" s="266"/>
      <c r="M446" s="266"/>
      <c r="N446" s="266">
        <f t="shared" si="70"/>
        <v>0</v>
      </c>
      <c r="O446" s="266"/>
      <c r="P446" s="266"/>
      <c r="Q446" s="266"/>
      <c r="R446" s="351"/>
      <c r="S446" s="266"/>
      <c r="T446" s="302">
        <f t="shared" si="71"/>
        <v>0</v>
      </c>
      <c r="U446" s="302"/>
      <c r="V446" s="266"/>
      <c r="W446" s="266"/>
      <c r="X446" s="266"/>
      <c r="Y446" s="266"/>
      <c r="Z446" s="266"/>
      <c r="AA446" s="266"/>
      <c r="AB446" s="266">
        <f t="shared" si="68"/>
        <v>3000000000</v>
      </c>
    </row>
    <row r="447" spans="2:30" ht="30.6" customHeight="1" x14ac:dyDescent="0.4">
      <c r="B447" s="4125"/>
      <c r="C447" s="2734" t="s">
        <v>878</v>
      </c>
      <c r="D447" s="2696" t="s">
        <v>923</v>
      </c>
      <c r="E447" s="2733">
        <v>3619000000</v>
      </c>
      <c r="F447" s="2732"/>
      <c r="G447" s="302"/>
      <c r="H447" s="302"/>
      <c r="I447" s="302">
        <f t="shared" si="69"/>
        <v>3619000000</v>
      </c>
      <c r="J447" s="302"/>
      <c r="K447" s="302"/>
      <c r="L447" s="266"/>
      <c r="M447" s="266"/>
      <c r="N447" s="266">
        <f t="shared" si="70"/>
        <v>0</v>
      </c>
      <c r="O447" s="266"/>
      <c r="P447" s="266"/>
      <c r="Q447" s="266"/>
      <c r="R447" s="351"/>
      <c r="S447" s="266"/>
      <c r="T447" s="302">
        <f t="shared" si="71"/>
        <v>0</v>
      </c>
      <c r="U447" s="302"/>
      <c r="V447" s="266"/>
      <c r="W447" s="266"/>
      <c r="X447" s="266"/>
      <c r="Y447" s="266"/>
      <c r="Z447" s="266"/>
      <c r="AA447" s="266"/>
      <c r="AB447" s="266">
        <f t="shared" si="68"/>
        <v>3619000000</v>
      </c>
    </row>
    <row r="448" spans="2:30" ht="30.6" customHeight="1" x14ac:dyDescent="0.4">
      <c r="B448" s="4125"/>
      <c r="C448" s="2734" t="s">
        <v>885</v>
      </c>
      <c r="D448" s="2696" t="s">
        <v>880</v>
      </c>
      <c r="E448" s="2733">
        <v>788660000</v>
      </c>
      <c r="F448" s="2732"/>
      <c r="G448" s="302"/>
      <c r="H448" s="302"/>
      <c r="I448" s="302">
        <f t="shared" si="69"/>
        <v>788660000</v>
      </c>
      <c r="J448" s="302"/>
      <c r="K448" s="302"/>
      <c r="L448" s="266"/>
      <c r="M448" s="266"/>
      <c r="N448" s="266">
        <f t="shared" si="70"/>
        <v>0</v>
      </c>
      <c r="O448" s="266"/>
      <c r="P448" s="266"/>
      <c r="Q448" s="266"/>
      <c r="R448" s="351"/>
      <c r="S448" s="266"/>
      <c r="T448" s="302">
        <f t="shared" si="71"/>
        <v>0</v>
      </c>
      <c r="U448" s="302"/>
      <c r="V448" s="266"/>
      <c r="W448" s="266"/>
      <c r="X448" s="266"/>
      <c r="Y448" s="266"/>
      <c r="Z448" s="266"/>
      <c r="AA448" s="266"/>
      <c r="AB448" s="266">
        <f t="shared" si="68"/>
        <v>788660000</v>
      </c>
    </row>
    <row r="449" spans="2:30" ht="30.6" customHeight="1" x14ac:dyDescent="0.4">
      <c r="B449" s="4125"/>
      <c r="C449" s="2734" t="s">
        <v>886</v>
      </c>
      <c r="D449" s="2696" t="s">
        <v>881</v>
      </c>
      <c r="E449" s="2733">
        <v>598740000</v>
      </c>
      <c r="F449" s="2732"/>
      <c r="G449" s="302"/>
      <c r="H449" s="302"/>
      <c r="I449" s="302">
        <f t="shared" si="69"/>
        <v>598740000</v>
      </c>
      <c r="J449" s="302"/>
      <c r="K449" s="302"/>
      <c r="L449" s="266"/>
      <c r="M449" s="266"/>
      <c r="N449" s="266">
        <f t="shared" si="70"/>
        <v>0</v>
      </c>
      <c r="O449" s="266"/>
      <c r="P449" s="266"/>
      <c r="Q449" s="266"/>
      <c r="R449" s="351"/>
      <c r="S449" s="266"/>
      <c r="T449" s="302">
        <f t="shared" si="71"/>
        <v>0</v>
      </c>
      <c r="U449" s="302"/>
      <c r="V449" s="266"/>
      <c r="W449" s="266"/>
      <c r="X449" s="266"/>
      <c r="Y449" s="266"/>
      <c r="Z449" s="266"/>
      <c r="AA449" s="266"/>
      <c r="AB449" s="266">
        <f t="shared" si="68"/>
        <v>598740000</v>
      </c>
    </row>
    <row r="450" spans="2:30" ht="30.6" customHeight="1" x14ac:dyDescent="0.4">
      <c r="B450" s="4125"/>
      <c r="C450" s="2734" t="s">
        <v>257</v>
      </c>
      <c r="D450" s="2696" t="s">
        <v>882</v>
      </c>
      <c r="E450" s="2733">
        <v>585757576</v>
      </c>
      <c r="F450" s="2732"/>
      <c r="G450" s="302"/>
      <c r="H450" s="302"/>
      <c r="I450" s="302">
        <f t="shared" si="69"/>
        <v>585757576</v>
      </c>
      <c r="J450" s="302"/>
      <c r="K450" s="302"/>
      <c r="L450" s="266"/>
      <c r="M450" s="266"/>
      <c r="N450" s="266">
        <f t="shared" si="70"/>
        <v>0</v>
      </c>
      <c r="O450" s="266"/>
      <c r="P450" s="266"/>
      <c r="Q450" s="266"/>
      <c r="R450" s="351"/>
      <c r="S450" s="266"/>
      <c r="T450" s="302">
        <f t="shared" si="71"/>
        <v>0</v>
      </c>
      <c r="U450" s="302"/>
      <c r="V450" s="266"/>
      <c r="W450" s="266"/>
      <c r="X450" s="266"/>
      <c r="Y450" s="266"/>
      <c r="Z450" s="266"/>
      <c r="AA450" s="266"/>
      <c r="AB450" s="266">
        <f t="shared" si="68"/>
        <v>585757576</v>
      </c>
    </row>
    <row r="451" spans="2:30" ht="30.6" customHeight="1" x14ac:dyDescent="0.2">
      <c r="B451" s="4125"/>
      <c r="C451" s="4112" t="s">
        <v>94</v>
      </c>
      <c r="D451" s="4112"/>
      <c r="E451" s="2733">
        <f>SUM(E434:E450)+1000000</f>
        <v>49010210231801</v>
      </c>
      <c r="F451" s="2733">
        <f t="shared" ref="F451:AA451" si="72">SUM(F434:F450)</f>
        <v>137242313107</v>
      </c>
      <c r="G451" s="2733">
        <f t="shared" si="72"/>
        <v>10000256000000</v>
      </c>
      <c r="H451" s="2733">
        <f t="shared" si="72"/>
        <v>339796800</v>
      </c>
      <c r="I451" s="2733">
        <f>SUM(I434:I450)+1000000</f>
        <v>49010550028601</v>
      </c>
      <c r="J451" s="2733">
        <f t="shared" si="72"/>
        <v>271500000000</v>
      </c>
      <c r="K451" s="2733">
        <f t="shared" si="72"/>
        <v>538146000000</v>
      </c>
      <c r="L451" s="2733">
        <f t="shared" si="72"/>
        <v>0</v>
      </c>
      <c r="M451" s="2733">
        <f t="shared" si="72"/>
        <v>0</v>
      </c>
      <c r="N451" s="2733">
        <f t="shared" si="72"/>
        <v>1647610000000</v>
      </c>
      <c r="O451" s="2733">
        <f t="shared" si="72"/>
        <v>9801019000000</v>
      </c>
      <c r="P451" s="2733">
        <f t="shared" si="72"/>
        <v>-1582060020</v>
      </c>
      <c r="Q451" s="2733">
        <f t="shared" si="72"/>
        <v>0</v>
      </c>
      <c r="R451" s="2733">
        <f t="shared" si="72"/>
        <v>0</v>
      </c>
      <c r="S451" s="2733">
        <f t="shared" si="72"/>
        <v>0</v>
      </c>
      <c r="T451" s="2733">
        <f t="shared" si="72"/>
        <v>-364939000000</v>
      </c>
      <c r="U451" s="2733">
        <f t="shared" si="72"/>
        <v>214138000000</v>
      </c>
      <c r="V451" s="2733">
        <f t="shared" si="72"/>
        <v>778378980000</v>
      </c>
      <c r="W451" s="2733">
        <f t="shared" si="72"/>
        <v>-196044000000</v>
      </c>
      <c r="X451" s="2733">
        <f t="shared" si="72"/>
        <v>0</v>
      </c>
      <c r="Y451" s="2733" t="e">
        <f t="shared" si="72"/>
        <v>#N/A</v>
      </c>
      <c r="Z451" s="2733" t="e">
        <f t="shared" si="72"/>
        <v>#N/A</v>
      </c>
      <c r="AA451" s="2733">
        <f t="shared" si="72"/>
        <v>0</v>
      </c>
      <c r="AB451" s="2733">
        <f>SUM(AB434:AB450)+1000000</f>
        <v>60889130948581</v>
      </c>
      <c r="AC451" s="2654">
        <f>SUM(AC347:AC436)</f>
        <v>0</v>
      </c>
      <c r="AD451" s="2603">
        <f>W451+V451+U451+T451+P451+O451+N451+I451</f>
        <v>60889130948581</v>
      </c>
    </row>
    <row r="452" spans="2:30" ht="28.5" customHeight="1" x14ac:dyDescent="0.2">
      <c r="B452" s="2653"/>
      <c r="C452" s="2616"/>
      <c r="D452" s="2616"/>
      <c r="E452" s="2654"/>
      <c r="F452" s="2654"/>
      <c r="G452" s="2654"/>
      <c r="H452" s="2654"/>
      <c r="I452" s="2654"/>
      <c r="J452" s="2736"/>
      <c r="K452" s="2736"/>
      <c r="L452" s="2736"/>
      <c r="M452" s="2736"/>
      <c r="N452" s="2736"/>
      <c r="O452" s="2736"/>
      <c r="P452" s="2736"/>
      <c r="Q452" s="2736"/>
      <c r="R452" s="2736"/>
      <c r="S452" s="2736"/>
      <c r="T452" s="2736"/>
      <c r="U452" s="2736"/>
      <c r="V452" s="2736"/>
      <c r="W452" s="2736"/>
      <c r="X452" s="2736"/>
      <c r="Y452" s="2736"/>
      <c r="Z452" s="2736"/>
      <c r="AA452" s="2654"/>
      <c r="AB452" s="2654"/>
      <c r="AC452" s="2654"/>
    </row>
    <row r="453" spans="2:30" ht="25.9" customHeight="1" x14ac:dyDescent="0.2">
      <c r="B453" s="2653"/>
      <c r="C453" s="4107" t="s">
        <v>2282</v>
      </c>
      <c r="D453" s="4107"/>
      <c r="E453" s="4107"/>
      <c r="F453" s="4107"/>
      <c r="G453" s="4107"/>
      <c r="H453" s="4107"/>
      <c r="I453" s="4107"/>
      <c r="J453" s="4107"/>
      <c r="K453" s="4107"/>
      <c r="L453" s="4107"/>
      <c r="M453" s="4107"/>
      <c r="N453" s="4107"/>
      <c r="O453" s="4107"/>
      <c r="P453" s="4107"/>
      <c r="Q453" s="4107"/>
      <c r="R453" s="4107"/>
      <c r="S453" s="4107"/>
      <c r="T453" s="4107"/>
      <c r="U453" s="4107"/>
      <c r="V453" s="4107"/>
      <c r="W453" s="4107"/>
      <c r="X453" s="4107"/>
      <c r="Y453" s="4107"/>
      <c r="Z453" s="4107"/>
      <c r="AA453" s="4107"/>
      <c r="AB453" s="4107"/>
      <c r="AC453" s="2668"/>
    </row>
    <row r="454" spans="2:30" ht="24.6" customHeight="1" x14ac:dyDescent="0.2">
      <c r="B454" s="4108" t="s">
        <v>295</v>
      </c>
      <c r="C454" s="4108"/>
      <c r="D454" s="4108"/>
      <c r="E454" s="4108"/>
      <c r="F454" s="4108"/>
      <c r="G454" s="4108"/>
      <c r="H454" s="4108"/>
      <c r="I454" s="4108"/>
      <c r="J454" s="4108"/>
      <c r="K454" s="4108"/>
      <c r="L454" s="4108"/>
      <c r="M454" s="4108"/>
      <c r="N454" s="4108"/>
      <c r="O454" s="4108"/>
      <c r="P454" s="4108"/>
      <c r="Q454" s="4108"/>
      <c r="R454" s="4108"/>
      <c r="S454" s="4108"/>
      <c r="T454" s="4108"/>
      <c r="U454" s="4108"/>
      <c r="V454" s="4108"/>
      <c r="W454" s="4108"/>
      <c r="X454" s="4108"/>
      <c r="Y454" s="4108"/>
      <c r="Z454" s="4108"/>
      <c r="AA454" s="4108"/>
      <c r="AB454" s="4108"/>
      <c r="AC454" s="1894"/>
    </row>
    <row r="455" spans="2:30" ht="24.6" customHeight="1" x14ac:dyDescent="0.2">
      <c r="B455" s="4108" t="s">
        <v>45</v>
      </c>
      <c r="C455" s="4108"/>
      <c r="D455" s="4108"/>
      <c r="E455" s="4108"/>
      <c r="F455" s="4108"/>
      <c r="G455" s="4108"/>
      <c r="H455" s="4108"/>
      <c r="I455" s="4108"/>
      <c r="J455" s="4108"/>
      <c r="K455" s="4108"/>
      <c r="L455" s="4108"/>
      <c r="M455" s="4108"/>
      <c r="N455" s="4108"/>
      <c r="O455" s="4108"/>
      <c r="P455" s="4108"/>
      <c r="Q455" s="4108"/>
      <c r="R455" s="4108"/>
      <c r="S455" s="4108"/>
      <c r="T455" s="4108"/>
      <c r="U455" s="4108"/>
      <c r="V455" s="4108"/>
      <c r="W455" s="4108"/>
      <c r="X455" s="4108"/>
      <c r="Y455" s="4108"/>
      <c r="Z455" s="4108"/>
      <c r="AA455" s="4108"/>
      <c r="AB455" s="4108"/>
      <c r="AC455" s="1894"/>
    </row>
    <row r="456" spans="2:30" ht="24.6" customHeight="1" x14ac:dyDescent="0.2">
      <c r="B456" s="4108" t="s">
        <v>46</v>
      </c>
      <c r="C456" s="4108"/>
      <c r="D456" s="4108"/>
      <c r="E456" s="4108"/>
      <c r="F456" s="4108"/>
      <c r="G456" s="4108"/>
      <c r="H456" s="4108"/>
      <c r="I456" s="4108"/>
      <c r="J456" s="4108"/>
      <c r="K456" s="4108"/>
      <c r="L456" s="4108"/>
      <c r="M456" s="4108"/>
      <c r="N456" s="4108"/>
      <c r="O456" s="4108"/>
      <c r="P456" s="4108"/>
      <c r="Q456" s="4108"/>
      <c r="R456" s="4108"/>
      <c r="S456" s="4108"/>
      <c r="T456" s="4108"/>
      <c r="U456" s="4108"/>
      <c r="V456" s="4108"/>
      <c r="W456" s="4108"/>
      <c r="X456" s="4108"/>
      <c r="Y456" s="4108"/>
      <c r="Z456" s="4108"/>
      <c r="AA456" s="4108"/>
      <c r="AB456" s="4108"/>
      <c r="AC456" s="1894"/>
    </row>
    <row r="457" spans="2:30" ht="24.6" customHeight="1" x14ac:dyDescent="0.2">
      <c r="B457" s="3294" t="s">
        <v>1981</v>
      </c>
      <c r="C457" s="3294"/>
      <c r="D457" s="3294"/>
      <c r="E457" s="3294"/>
      <c r="F457" s="3294"/>
      <c r="G457" s="3294"/>
      <c r="H457" s="3294"/>
      <c r="I457" s="3294"/>
      <c r="J457" s="3294"/>
      <c r="K457" s="3294"/>
      <c r="L457" s="3294"/>
      <c r="M457" s="3294"/>
      <c r="N457" s="3294"/>
      <c r="O457" s="3294"/>
      <c r="P457" s="3294"/>
      <c r="Q457" s="3294"/>
      <c r="R457" s="3294"/>
      <c r="S457" s="3294"/>
      <c r="T457" s="3294"/>
      <c r="U457" s="3294"/>
      <c r="V457" s="3294"/>
      <c r="W457" s="3294"/>
      <c r="X457" s="3294"/>
      <c r="Y457" s="3294"/>
      <c r="Z457" s="3294"/>
      <c r="AA457" s="3294"/>
      <c r="AB457" s="3294"/>
      <c r="AC457" s="1853"/>
    </row>
    <row r="458" spans="2:30" ht="38.450000000000003" customHeight="1" x14ac:dyDescent="0.2">
      <c r="B458" s="1722"/>
      <c r="C458" s="1722"/>
      <c r="D458" s="1722"/>
      <c r="E458" s="1722"/>
      <c r="F458" s="1722"/>
      <c r="G458" s="1722"/>
      <c r="H458" s="1722"/>
      <c r="I458" s="1722"/>
      <c r="J458" s="1722"/>
      <c r="K458" s="1722"/>
      <c r="L458" s="1722"/>
      <c r="M458" s="1722"/>
      <c r="N458" s="1722"/>
      <c r="O458" s="1722"/>
      <c r="P458" s="1722"/>
      <c r="Q458" s="1722"/>
      <c r="R458" s="1722"/>
      <c r="S458" s="1722"/>
      <c r="T458" s="1722"/>
      <c r="U458" s="1722"/>
      <c r="V458" s="1722"/>
      <c r="W458" s="1722"/>
      <c r="X458" s="1722"/>
      <c r="Y458" s="1722"/>
      <c r="Z458" s="1722"/>
      <c r="AA458" s="1722"/>
      <c r="AB458" s="1722"/>
      <c r="AC458" s="1853"/>
    </row>
    <row r="459" spans="2:30" ht="38.450000000000003" customHeight="1" x14ac:dyDescent="0.2">
      <c r="B459" s="1722"/>
      <c r="C459" s="1722"/>
      <c r="D459" s="1722"/>
      <c r="E459" s="1722"/>
      <c r="F459" s="1722"/>
      <c r="G459" s="1722"/>
      <c r="H459" s="1722"/>
      <c r="I459" s="1722"/>
      <c r="J459" s="1722"/>
      <c r="K459" s="1722"/>
      <c r="L459" s="1722"/>
      <c r="M459" s="1722"/>
      <c r="N459" s="1722"/>
      <c r="O459" s="1722"/>
      <c r="P459" s="1722"/>
      <c r="Q459" s="1722"/>
      <c r="R459" s="1722"/>
      <c r="S459" s="1722"/>
      <c r="T459" s="1722"/>
      <c r="U459" s="1722"/>
      <c r="V459" s="1722"/>
      <c r="W459" s="1722"/>
      <c r="X459" s="1722"/>
      <c r="Y459" s="1722"/>
      <c r="Z459" s="1722"/>
      <c r="AA459" s="1722"/>
      <c r="AB459" s="1722"/>
      <c r="AC459" s="1853"/>
    </row>
    <row r="460" spans="2:30" ht="25.9" customHeight="1" x14ac:dyDescent="0.2">
      <c r="B460" s="4110" t="s">
        <v>1848</v>
      </c>
      <c r="C460" s="4110"/>
      <c r="D460" s="4110"/>
      <c r="E460" s="2656"/>
      <c r="F460" s="2657"/>
      <c r="G460" s="2658"/>
      <c r="H460" s="2658"/>
      <c r="I460" s="2658"/>
      <c r="J460" s="2658"/>
      <c r="K460" s="2658"/>
      <c r="L460" s="2658"/>
      <c r="M460" s="2658"/>
      <c r="N460" s="2658"/>
      <c r="O460" s="2658"/>
      <c r="P460" s="2658"/>
      <c r="Q460" s="2658"/>
      <c r="R460" s="2658"/>
      <c r="S460" s="2658"/>
      <c r="T460" s="2658"/>
      <c r="U460" s="2658"/>
      <c r="V460" s="2658"/>
      <c r="W460" s="2658"/>
      <c r="X460" s="104"/>
      <c r="Y460" s="104"/>
      <c r="Z460" s="104"/>
      <c r="AA460" s="104"/>
      <c r="AB460" s="2608" t="s">
        <v>194</v>
      </c>
    </row>
    <row r="461" spans="2:30" ht="23.25" customHeight="1" x14ac:dyDescent="0.2">
      <c r="B461" s="4112" t="s">
        <v>419</v>
      </c>
      <c r="C461" s="4117" t="s">
        <v>196</v>
      </c>
      <c r="D461" s="4124" t="s">
        <v>197</v>
      </c>
      <c r="E461" s="4111" t="s">
        <v>1400</v>
      </c>
      <c r="F461" s="2609"/>
      <c r="G461" s="4111" t="s">
        <v>921</v>
      </c>
      <c r="H461" s="4118" t="s">
        <v>1116</v>
      </c>
      <c r="I461" s="4118" t="s">
        <v>1271</v>
      </c>
      <c r="J461" s="4135" t="s">
        <v>1272</v>
      </c>
      <c r="K461" s="4136"/>
      <c r="L461" s="4136"/>
      <c r="M461" s="4136"/>
      <c r="N461" s="4136"/>
      <c r="O461" s="4137"/>
      <c r="P461" s="4113" t="s">
        <v>423</v>
      </c>
      <c r="Q461" s="4115" t="s">
        <v>827</v>
      </c>
      <c r="R461" s="4115" t="s">
        <v>888</v>
      </c>
      <c r="S461" s="4115"/>
      <c r="T461" s="4114" t="s">
        <v>2015</v>
      </c>
      <c r="U461" s="4121" t="s">
        <v>1274</v>
      </c>
      <c r="V461" s="4121" t="s">
        <v>2016</v>
      </c>
      <c r="W461" s="4116" t="s">
        <v>1033</v>
      </c>
      <c r="X461" s="2610"/>
      <c r="Y461" s="4127" t="s">
        <v>296</v>
      </c>
      <c r="Z461" s="4127" t="s">
        <v>190</v>
      </c>
      <c r="AA461" s="4129" t="s">
        <v>313</v>
      </c>
      <c r="AB461" s="4111" t="s">
        <v>2013</v>
      </c>
    </row>
    <row r="462" spans="2:30" ht="43.15" customHeight="1" x14ac:dyDescent="0.2">
      <c r="B462" s="4112"/>
      <c r="C462" s="4117"/>
      <c r="D462" s="4124"/>
      <c r="E462" s="4111"/>
      <c r="F462" s="2609"/>
      <c r="G462" s="4111"/>
      <c r="H462" s="4119"/>
      <c r="I462" s="4119"/>
      <c r="J462" s="4138"/>
      <c r="K462" s="4139"/>
      <c r="L462" s="4139"/>
      <c r="M462" s="4139"/>
      <c r="N462" s="4139"/>
      <c r="O462" s="4140"/>
      <c r="P462" s="4113"/>
      <c r="Q462" s="4115"/>
      <c r="R462" s="4109" t="s">
        <v>889</v>
      </c>
      <c r="S462" s="4109" t="s">
        <v>890</v>
      </c>
      <c r="T462" s="4114"/>
      <c r="U462" s="4122"/>
      <c r="V462" s="4122"/>
      <c r="W462" s="4116"/>
      <c r="X462" s="2611"/>
      <c r="Y462" s="4127"/>
      <c r="Z462" s="4127"/>
      <c r="AA462" s="4130"/>
      <c r="AB462" s="4111"/>
    </row>
    <row r="463" spans="2:30" ht="82.15" customHeight="1" x14ac:dyDescent="0.2">
      <c r="B463" s="4112"/>
      <c r="C463" s="4117"/>
      <c r="D463" s="4124"/>
      <c r="E463" s="4111"/>
      <c r="F463" s="2612" t="s">
        <v>421</v>
      </c>
      <c r="G463" s="2613" t="s">
        <v>27</v>
      </c>
      <c r="H463" s="4120"/>
      <c r="I463" s="4120"/>
      <c r="J463" s="2614" t="s">
        <v>1273</v>
      </c>
      <c r="K463" s="2614" t="s">
        <v>1292</v>
      </c>
      <c r="L463" s="2612" t="s">
        <v>999</v>
      </c>
      <c r="M463" s="2612" t="s">
        <v>422</v>
      </c>
      <c r="N463" s="2612" t="s">
        <v>2014</v>
      </c>
      <c r="O463" s="2615" t="s">
        <v>1794</v>
      </c>
      <c r="P463" s="4113"/>
      <c r="Q463" s="4115"/>
      <c r="R463" s="4109"/>
      <c r="S463" s="4109"/>
      <c r="T463" s="4114"/>
      <c r="U463" s="4123"/>
      <c r="V463" s="4123"/>
      <c r="W463" s="4116"/>
      <c r="X463" s="373" t="s">
        <v>62</v>
      </c>
      <c r="Y463" s="4127"/>
      <c r="Z463" s="4127"/>
      <c r="AA463" s="4131"/>
      <c r="AB463" s="4111"/>
    </row>
    <row r="464" spans="2:30" ht="28.9" customHeight="1" x14ac:dyDescent="0.2">
      <c r="B464" s="4125" t="s">
        <v>180</v>
      </c>
      <c r="C464" s="4126" t="s">
        <v>181</v>
      </c>
      <c r="D464" s="4126"/>
      <c r="E464" s="2623">
        <f>E451</f>
        <v>49010210231801</v>
      </c>
      <c r="F464" s="2623">
        <f t="shared" ref="F464:AA464" si="73">F451</f>
        <v>137242313107</v>
      </c>
      <c r="G464" s="2623">
        <f t="shared" si="73"/>
        <v>10000256000000</v>
      </c>
      <c r="H464" s="2623">
        <f t="shared" si="73"/>
        <v>339796800</v>
      </c>
      <c r="I464" s="2623">
        <f t="shared" si="73"/>
        <v>49010550028601</v>
      </c>
      <c r="J464" s="2623">
        <f t="shared" si="73"/>
        <v>271500000000</v>
      </c>
      <c r="K464" s="2623">
        <f t="shared" si="73"/>
        <v>538146000000</v>
      </c>
      <c r="L464" s="2623">
        <f t="shared" si="73"/>
        <v>0</v>
      </c>
      <c r="M464" s="2623">
        <f t="shared" si="73"/>
        <v>0</v>
      </c>
      <c r="N464" s="2623">
        <f t="shared" si="73"/>
        <v>1647610000000</v>
      </c>
      <c r="O464" s="2623">
        <f t="shared" si="73"/>
        <v>9801019000000</v>
      </c>
      <c r="P464" s="2623">
        <f t="shared" si="73"/>
        <v>-1582060020</v>
      </c>
      <c r="Q464" s="2623">
        <f t="shared" si="73"/>
        <v>0</v>
      </c>
      <c r="R464" s="2623">
        <f t="shared" si="73"/>
        <v>0</v>
      </c>
      <c r="S464" s="2623">
        <f t="shared" si="73"/>
        <v>0</v>
      </c>
      <c r="T464" s="2623">
        <f t="shared" si="73"/>
        <v>-364939000000</v>
      </c>
      <c r="U464" s="2623">
        <f t="shared" si="73"/>
        <v>214138000000</v>
      </c>
      <c r="V464" s="2623">
        <f t="shared" si="73"/>
        <v>778378980000</v>
      </c>
      <c r="W464" s="2623">
        <f t="shared" si="73"/>
        <v>-196044000000</v>
      </c>
      <c r="X464" s="2623">
        <f t="shared" si="73"/>
        <v>0</v>
      </c>
      <c r="Y464" s="2623" t="e">
        <f t="shared" si="73"/>
        <v>#N/A</v>
      </c>
      <c r="Z464" s="2623" t="e">
        <f t="shared" si="73"/>
        <v>#N/A</v>
      </c>
      <c r="AA464" s="2623">
        <f t="shared" si="73"/>
        <v>0</v>
      </c>
      <c r="AB464" s="2623">
        <f>AB451</f>
        <v>60889130948581</v>
      </c>
    </row>
    <row r="465" spans="2:30" ht="45" customHeight="1" x14ac:dyDescent="0.45">
      <c r="B465" s="4125"/>
      <c r="C465" s="2737" t="s">
        <v>847</v>
      </c>
      <c r="D465" s="2696" t="s">
        <v>848</v>
      </c>
      <c r="E465" s="2623">
        <v>352045600</v>
      </c>
      <c r="F465" s="2732"/>
      <c r="G465" s="302"/>
      <c r="H465" s="302"/>
      <c r="I465" s="302">
        <f t="shared" ref="I465:I474" si="74">E465+H465</f>
        <v>352045600</v>
      </c>
      <c r="J465" s="302"/>
      <c r="K465" s="302"/>
      <c r="L465" s="266"/>
      <c r="M465" s="266"/>
      <c r="N465" s="266"/>
      <c r="O465" s="266"/>
      <c r="P465" s="266"/>
      <c r="Q465" s="266"/>
      <c r="R465" s="2738"/>
      <c r="S465" s="351"/>
      <c r="T465" s="302"/>
      <c r="U465" s="302"/>
      <c r="V465" s="351"/>
      <c r="W465" s="351"/>
      <c r="X465" s="266"/>
      <c r="Y465" s="266"/>
      <c r="Z465" s="266"/>
      <c r="AA465" s="266"/>
      <c r="AB465" s="266">
        <f t="shared" ref="AB465:AB471" si="75">P465+W465+S465+R465+Q465+N465+T465+E465+V465+U465+O465+H465+M465</f>
        <v>352045600</v>
      </c>
    </row>
    <row r="466" spans="2:30" ht="28.9" customHeight="1" x14ac:dyDescent="0.45">
      <c r="B466" s="4125"/>
      <c r="C466" s="2737" t="s">
        <v>853</v>
      </c>
      <c r="D466" s="2696" t="s">
        <v>854</v>
      </c>
      <c r="E466" s="2623">
        <v>1399083800</v>
      </c>
      <c r="F466" s="2732"/>
      <c r="G466" s="302"/>
      <c r="H466" s="302"/>
      <c r="I466" s="302">
        <f t="shared" si="74"/>
        <v>1399083800</v>
      </c>
      <c r="J466" s="302"/>
      <c r="K466" s="302"/>
      <c r="L466" s="266"/>
      <c r="M466" s="266"/>
      <c r="N466" s="266"/>
      <c r="O466" s="266"/>
      <c r="P466" s="266"/>
      <c r="Q466" s="266"/>
      <c r="R466" s="2739"/>
      <c r="S466" s="351"/>
      <c r="T466" s="302"/>
      <c r="U466" s="302"/>
      <c r="V466" s="351"/>
      <c r="W466" s="351"/>
      <c r="X466" s="266"/>
      <c r="Y466" s="266"/>
      <c r="Z466" s="266"/>
      <c r="AA466" s="266"/>
      <c r="AB466" s="266">
        <f t="shared" si="75"/>
        <v>1399083800</v>
      </c>
    </row>
    <row r="467" spans="2:30" ht="28.9" customHeight="1" x14ac:dyDescent="0.45">
      <c r="B467" s="4125"/>
      <c r="C467" s="2737" t="s">
        <v>855</v>
      </c>
      <c r="D467" s="2696" t="s">
        <v>856</v>
      </c>
      <c r="E467" s="2623">
        <v>1479230267</v>
      </c>
      <c r="F467" s="2732"/>
      <c r="G467" s="302"/>
      <c r="H467" s="302"/>
      <c r="I467" s="302">
        <f t="shared" si="74"/>
        <v>1479230267</v>
      </c>
      <c r="J467" s="302"/>
      <c r="K467" s="302"/>
      <c r="L467" s="266"/>
      <c r="M467" s="266"/>
      <c r="N467" s="266"/>
      <c r="O467" s="266"/>
      <c r="P467" s="266"/>
      <c r="Q467" s="266"/>
      <c r="R467" s="2739"/>
      <c r="S467" s="351"/>
      <c r="T467" s="302"/>
      <c r="U467" s="302"/>
      <c r="V467" s="351"/>
      <c r="W467" s="351"/>
      <c r="X467" s="266"/>
      <c r="Y467" s="266"/>
      <c r="Z467" s="266"/>
      <c r="AA467" s="266"/>
      <c r="AB467" s="266">
        <f t="shared" si="75"/>
        <v>1479230267</v>
      </c>
    </row>
    <row r="468" spans="2:30" ht="28.9" customHeight="1" x14ac:dyDescent="0.45">
      <c r="B468" s="4125"/>
      <c r="C468" s="2737" t="s">
        <v>870</v>
      </c>
      <c r="D468" s="2696" t="s">
        <v>871</v>
      </c>
      <c r="E468" s="2623">
        <v>500000000</v>
      </c>
      <c r="F468" s="2732"/>
      <c r="G468" s="302"/>
      <c r="H468" s="302"/>
      <c r="I468" s="302">
        <f t="shared" si="74"/>
        <v>500000000</v>
      </c>
      <c r="J468" s="302"/>
      <c r="K468" s="302"/>
      <c r="L468" s="266"/>
      <c r="M468" s="266"/>
      <c r="N468" s="266"/>
      <c r="O468" s="266"/>
      <c r="P468" s="266"/>
      <c r="Q468" s="266"/>
      <c r="R468" s="351"/>
      <c r="S468" s="266"/>
      <c r="T468" s="302"/>
      <c r="U468" s="302"/>
      <c r="V468" s="266"/>
      <c r="W468" s="266"/>
      <c r="X468" s="266"/>
      <c r="Y468" s="266"/>
      <c r="Z468" s="266"/>
      <c r="AA468" s="266"/>
      <c r="AB468" s="266">
        <f t="shared" si="75"/>
        <v>500000000</v>
      </c>
    </row>
    <row r="469" spans="2:30" ht="28.9" customHeight="1" x14ac:dyDescent="0.45">
      <c r="B469" s="4125"/>
      <c r="C469" s="2737" t="s">
        <v>874</v>
      </c>
      <c r="D469" s="2696" t="s">
        <v>875</v>
      </c>
      <c r="E469" s="2623">
        <v>2000000000</v>
      </c>
      <c r="F469" s="2732"/>
      <c r="G469" s="302"/>
      <c r="H469" s="302"/>
      <c r="I469" s="302">
        <f t="shared" si="74"/>
        <v>2000000000</v>
      </c>
      <c r="J469" s="302"/>
      <c r="K469" s="302"/>
      <c r="L469" s="266"/>
      <c r="M469" s="266"/>
      <c r="N469" s="266"/>
      <c r="O469" s="266"/>
      <c r="P469" s="266"/>
      <c r="Q469" s="266"/>
      <c r="R469" s="351"/>
      <c r="S469" s="266"/>
      <c r="T469" s="302"/>
      <c r="U469" s="302"/>
      <c r="V469" s="266"/>
      <c r="W469" s="266"/>
      <c r="X469" s="266"/>
      <c r="Y469" s="266"/>
      <c r="Z469" s="266"/>
      <c r="AA469" s="266"/>
      <c r="AB469" s="266">
        <f t="shared" si="75"/>
        <v>2000000000</v>
      </c>
      <c r="AD469" s="2735">
        <f>SUM(R565:S565)</f>
        <v>0</v>
      </c>
    </row>
    <row r="470" spans="2:30" ht="28.9" customHeight="1" x14ac:dyDescent="0.45">
      <c r="B470" s="4125"/>
      <c r="C470" s="2740" t="s">
        <v>1080</v>
      </c>
      <c r="D470" s="2741" t="s">
        <v>1081</v>
      </c>
      <c r="E470" s="2705">
        <v>247816387028</v>
      </c>
      <c r="F470" s="2732"/>
      <c r="G470" s="302"/>
      <c r="H470" s="302"/>
      <c r="I470" s="302">
        <f t="shared" si="74"/>
        <v>247816387028</v>
      </c>
      <c r="J470" s="2623"/>
      <c r="K470" s="2623">
        <v>7144000000</v>
      </c>
      <c r="L470" s="266"/>
      <c r="M470" s="266"/>
      <c r="N470" s="266">
        <f>'يادداشت 1-13وجوهدريافتي ازخزانه'!Q86-'يادداشت 1-13وجوهدريافتي ازخزانه'!M86</f>
        <v>0</v>
      </c>
      <c r="O470" s="266">
        <f>'يادداشت 1-13وجوهدريافتي ازخزانه'!V86</f>
        <v>0</v>
      </c>
      <c r="P470" s="266"/>
      <c r="Q470" s="266"/>
      <c r="R470" s="351"/>
      <c r="S470" s="266"/>
      <c r="T470" s="302"/>
      <c r="U470" s="302"/>
      <c r="V470" s="266">
        <f>-'حفظ قدرت خرید'!L54</f>
        <v>6833000000</v>
      </c>
      <c r="W470" s="266">
        <f>-'ياد 15  سايرهزينه '!P37</f>
        <v>-255000000</v>
      </c>
      <c r="X470" s="266"/>
      <c r="Y470" s="266"/>
      <c r="Z470" s="266"/>
      <c r="AA470" s="266"/>
      <c r="AB470" s="266">
        <f t="shared" si="75"/>
        <v>254394387028</v>
      </c>
      <c r="AD470" s="2735"/>
    </row>
    <row r="471" spans="2:30" ht="28.9" customHeight="1" x14ac:dyDescent="0.2">
      <c r="B471" s="4125"/>
      <c r="C471" s="2632" t="s">
        <v>1083</v>
      </c>
      <c r="D471" s="2742" t="s">
        <v>1082</v>
      </c>
      <c r="E471" s="2705">
        <v>394739000000</v>
      </c>
      <c r="F471" s="2732"/>
      <c r="G471" s="302"/>
      <c r="H471" s="302"/>
      <c r="I471" s="302">
        <f t="shared" si="74"/>
        <v>394739000000</v>
      </c>
      <c r="J471" s="2623"/>
      <c r="K471" s="2623">
        <v>1127000000</v>
      </c>
      <c r="L471" s="266"/>
      <c r="M471" s="266"/>
      <c r="N471" s="266">
        <f>'يادداشت 1-13وجوهدريافتي ازخزانه'!Q29-'يادداشت 1-13وجوهدريافتي ازخزانه'!M29</f>
        <v>6594000000</v>
      </c>
      <c r="O471" s="266">
        <f>'يادداشت 1-13وجوهدريافتي ازخزانه'!V29</f>
        <v>0</v>
      </c>
      <c r="P471" s="266"/>
      <c r="Q471" s="266"/>
      <c r="R471" s="351"/>
      <c r="S471" s="266"/>
      <c r="T471" s="302">
        <f>-'حفظ قدرت خرید'!P56-'حفظ قدرت خرید'!V56</f>
        <v>-1731000000</v>
      </c>
      <c r="U471" s="302">
        <f>-'حفظ قدرت خرید'!V56</f>
        <v>906000000</v>
      </c>
      <c r="V471" s="266">
        <f>-'حفظ قدرت خرید'!L56</f>
        <v>508000000</v>
      </c>
      <c r="W471" s="266"/>
      <c r="X471" s="266"/>
      <c r="Y471" s="266"/>
      <c r="Z471" s="266"/>
      <c r="AA471" s="266"/>
      <c r="AB471" s="266">
        <f t="shared" si="75"/>
        <v>401016000000</v>
      </c>
      <c r="AD471" s="2735"/>
    </row>
    <row r="472" spans="2:30" ht="28.9" customHeight="1" x14ac:dyDescent="0.45">
      <c r="B472" s="4125"/>
      <c r="C472" s="2743" t="s">
        <v>1078</v>
      </c>
      <c r="D472" s="2744" t="s">
        <v>1077</v>
      </c>
      <c r="E472" s="2705">
        <v>276564829781</v>
      </c>
      <c r="F472" s="2732"/>
      <c r="G472" s="302"/>
      <c r="H472" s="302"/>
      <c r="I472" s="302">
        <f t="shared" si="74"/>
        <v>276564829781</v>
      </c>
      <c r="J472" s="2623"/>
      <c r="K472" s="2623">
        <v>13853000000</v>
      </c>
      <c r="L472" s="266"/>
      <c r="M472" s="266"/>
      <c r="N472" s="266">
        <f>'يادداشت 1-13وجوهدريافتي ازخزانه'!Q30-'يادداشت 1-13وجوهدريافتي ازخزانه'!M30</f>
        <v>33464000000</v>
      </c>
      <c r="O472" s="266"/>
      <c r="P472" s="266"/>
      <c r="Q472" s="266"/>
      <c r="R472" s="351"/>
      <c r="S472" s="266"/>
      <c r="T472" s="302">
        <f>-'حفظ قدرت خرید'!P55-'حفظ قدرت خرید'!V55</f>
        <v>-8785000000</v>
      </c>
      <c r="U472" s="302">
        <f>-'حفظ قدرت خرید'!V55</f>
        <v>6536000000</v>
      </c>
      <c r="V472" s="266">
        <f>-'حفظ قدرت خرید'!L55</f>
        <v>19515000000</v>
      </c>
      <c r="W472" s="266">
        <f>-'ياد 15  سايرهزينه '!P38</f>
        <v>-2068000000</v>
      </c>
      <c r="X472" s="266"/>
      <c r="Y472" s="266"/>
      <c r="Z472" s="266"/>
      <c r="AA472" s="266"/>
      <c r="AB472" s="266">
        <f t="shared" ref="AB472:AB481" si="76">P472+W472+S472+R472+Q472+N472+T472+E472+V472+U472+O472+H472+M472</f>
        <v>325226829781</v>
      </c>
      <c r="AD472" s="2735"/>
    </row>
    <row r="473" spans="2:30" ht="28.9" customHeight="1" x14ac:dyDescent="0.45">
      <c r="B473" s="4125"/>
      <c r="C473" s="2737" t="s">
        <v>810</v>
      </c>
      <c r="D473" s="2696" t="s">
        <v>1085</v>
      </c>
      <c r="E473" s="2705">
        <v>37354000000</v>
      </c>
      <c r="F473" s="2732"/>
      <c r="G473" s="322"/>
      <c r="H473" s="302"/>
      <c r="I473" s="302">
        <f t="shared" si="74"/>
        <v>37354000000</v>
      </c>
      <c r="J473" s="2623"/>
      <c r="K473" s="2623"/>
      <c r="L473" s="266"/>
      <c r="M473" s="266"/>
      <c r="N473" s="266"/>
      <c r="O473" s="266"/>
      <c r="P473" s="266"/>
      <c r="Q473" s="266"/>
      <c r="R473" s="351"/>
      <c r="S473" s="266"/>
      <c r="T473" s="302"/>
      <c r="U473" s="302"/>
      <c r="V473" s="266">
        <f>-'حفظ قدرت خرید'!L57</f>
        <v>0</v>
      </c>
      <c r="W473" s="266"/>
      <c r="X473" s="266"/>
      <c r="Y473" s="266"/>
      <c r="Z473" s="266"/>
      <c r="AA473" s="266"/>
      <c r="AB473" s="266">
        <f t="shared" si="76"/>
        <v>37354000000</v>
      </c>
      <c r="AD473" s="2735"/>
    </row>
    <row r="474" spans="2:30" ht="28.9" customHeight="1" x14ac:dyDescent="0.45">
      <c r="B474" s="4125"/>
      <c r="C474" s="2743" t="s">
        <v>292</v>
      </c>
      <c r="D474" s="2745" t="s">
        <v>1079</v>
      </c>
      <c r="E474" s="2702">
        <v>10442872630</v>
      </c>
      <c r="F474" s="2732"/>
      <c r="G474" s="322"/>
      <c r="H474" s="302">
        <v>5465994680</v>
      </c>
      <c r="I474" s="302">
        <f t="shared" si="74"/>
        <v>15908867310</v>
      </c>
      <c r="J474" s="2623"/>
      <c r="K474" s="2623"/>
      <c r="L474" s="266"/>
      <c r="M474" s="266"/>
      <c r="N474" s="266"/>
      <c r="O474" s="266">
        <f>'يادداشت 1-13وجوهدريافتي ازخزانه'!V85</f>
        <v>0</v>
      </c>
      <c r="P474" s="266"/>
      <c r="Q474" s="266"/>
      <c r="R474" s="351"/>
      <c r="S474" s="266"/>
      <c r="T474" s="302"/>
      <c r="U474" s="302"/>
      <c r="V474" s="266"/>
      <c r="W474" s="266">
        <f>-'ياد 15  سايرهزينه '!P11</f>
        <v>0</v>
      </c>
      <c r="X474" s="266"/>
      <c r="Y474" s="266"/>
      <c r="Z474" s="266"/>
      <c r="AA474" s="266"/>
      <c r="AB474" s="266">
        <f t="shared" si="76"/>
        <v>15908867310</v>
      </c>
      <c r="AD474" s="2735"/>
    </row>
    <row r="475" spans="2:30" ht="28.9" customHeight="1" x14ac:dyDescent="0.2">
      <c r="B475" s="4125"/>
      <c r="C475" s="2746" t="s">
        <v>1402</v>
      </c>
      <c r="D475" s="2747" t="s">
        <v>1403</v>
      </c>
      <c r="E475" s="2705">
        <v>10000000000</v>
      </c>
      <c r="F475" s="2732"/>
      <c r="G475" s="302"/>
      <c r="H475" s="302"/>
      <c r="I475" s="302">
        <f t="shared" ref="I475:I481" si="77">E475+H475</f>
        <v>10000000000</v>
      </c>
      <c r="J475" s="2623"/>
      <c r="K475" s="2623"/>
      <c r="L475" s="266"/>
      <c r="M475" s="266"/>
      <c r="N475" s="266"/>
      <c r="O475" s="266">
        <f>'يادداشت 1-13وجوهدريافتي ازخزانه'!AB89</f>
        <v>0</v>
      </c>
      <c r="P475" s="266"/>
      <c r="Q475" s="266"/>
      <c r="R475" s="351"/>
      <c r="S475" s="266"/>
      <c r="T475" s="302"/>
      <c r="U475" s="302"/>
      <c r="V475" s="266"/>
      <c r="W475" s="266"/>
      <c r="X475" s="266"/>
      <c r="Y475" s="266"/>
      <c r="Z475" s="266"/>
      <c r="AA475" s="266"/>
      <c r="AB475" s="266">
        <f t="shared" si="76"/>
        <v>10000000000</v>
      </c>
      <c r="AD475" s="2735"/>
    </row>
    <row r="476" spans="2:30" ht="28.9" customHeight="1" x14ac:dyDescent="0.45">
      <c r="B476" s="4125"/>
      <c r="C476" s="2748" t="s">
        <v>2068</v>
      </c>
      <c r="D476" s="2749" t="s">
        <v>2070</v>
      </c>
      <c r="E476" s="2705"/>
      <c r="F476" s="2732"/>
      <c r="G476" s="302"/>
      <c r="H476" s="302"/>
      <c r="I476" s="302">
        <f t="shared" si="77"/>
        <v>0</v>
      </c>
      <c r="J476" s="2623"/>
      <c r="K476" s="2623"/>
      <c r="L476" s="266"/>
      <c r="M476" s="266"/>
      <c r="N476" s="266"/>
      <c r="O476" s="266">
        <v>70000000000</v>
      </c>
      <c r="P476" s="266"/>
      <c r="Q476" s="266"/>
      <c r="R476" s="351"/>
      <c r="S476" s="266"/>
      <c r="T476" s="302"/>
      <c r="U476" s="302"/>
      <c r="V476" s="266"/>
      <c r="W476" s="266"/>
      <c r="X476" s="266"/>
      <c r="Y476" s="266"/>
      <c r="Z476" s="266"/>
      <c r="AA476" s="266"/>
      <c r="AB476" s="266">
        <f t="shared" si="76"/>
        <v>70000000000</v>
      </c>
      <c r="AD476" s="2735"/>
    </row>
    <row r="477" spans="2:30" ht="28.9" customHeight="1" x14ac:dyDescent="0.45">
      <c r="B477" s="4125"/>
      <c r="C477" s="2750" t="s">
        <v>2069</v>
      </c>
      <c r="D477" s="2750" t="s">
        <v>2047</v>
      </c>
      <c r="E477" s="2705"/>
      <c r="F477" s="2732"/>
      <c r="G477" s="302"/>
      <c r="H477" s="302"/>
      <c r="I477" s="302">
        <f t="shared" si="77"/>
        <v>0</v>
      </c>
      <c r="J477" s="2623"/>
      <c r="K477" s="2623"/>
      <c r="L477" s="266"/>
      <c r="M477" s="266"/>
      <c r="N477" s="266"/>
      <c r="O477" s="266">
        <v>20000000000</v>
      </c>
      <c r="P477" s="266"/>
      <c r="Q477" s="266"/>
      <c r="R477" s="351"/>
      <c r="S477" s="266"/>
      <c r="T477" s="302"/>
      <c r="U477" s="302"/>
      <c r="V477" s="266"/>
      <c r="W477" s="266"/>
      <c r="X477" s="266"/>
      <c r="Y477" s="266"/>
      <c r="Z477" s="266"/>
      <c r="AA477" s="266"/>
      <c r="AB477" s="266">
        <f t="shared" si="76"/>
        <v>20000000000</v>
      </c>
      <c r="AD477" s="2735"/>
    </row>
    <row r="478" spans="2:30" ht="28.9" customHeight="1" x14ac:dyDescent="0.45">
      <c r="B478" s="4125"/>
      <c r="C478" s="2750" t="s">
        <v>2071</v>
      </c>
      <c r="D478" s="2750" t="s">
        <v>2048</v>
      </c>
      <c r="E478" s="2705"/>
      <c r="F478" s="2732"/>
      <c r="G478" s="302"/>
      <c r="H478" s="302"/>
      <c r="I478" s="302">
        <f t="shared" si="77"/>
        <v>0</v>
      </c>
      <c r="J478" s="2623"/>
      <c r="K478" s="2623"/>
      <c r="L478" s="266"/>
      <c r="M478" s="266"/>
      <c r="N478" s="266"/>
      <c r="O478" s="266">
        <v>19433000000</v>
      </c>
      <c r="P478" s="266"/>
      <c r="Q478" s="266"/>
      <c r="R478" s="351"/>
      <c r="S478" s="266"/>
      <c r="T478" s="302"/>
      <c r="U478" s="302"/>
      <c r="V478" s="266"/>
      <c r="W478" s="266"/>
      <c r="X478" s="266"/>
      <c r="Y478" s="266"/>
      <c r="Z478" s="266"/>
      <c r="AA478" s="266"/>
      <c r="AB478" s="266">
        <f t="shared" si="76"/>
        <v>19433000000</v>
      </c>
      <c r="AD478" s="2735"/>
    </row>
    <row r="479" spans="2:30" ht="28.9" customHeight="1" x14ac:dyDescent="0.45">
      <c r="B479" s="4125"/>
      <c r="C479" s="2750" t="s">
        <v>2049</v>
      </c>
      <c r="D479" s="2750" t="s">
        <v>2025</v>
      </c>
      <c r="E479" s="2705"/>
      <c r="F479" s="2732"/>
      <c r="G479" s="302"/>
      <c r="H479" s="302"/>
      <c r="I479" s="302">
        <f t="shared" si="77"/>
        <v>0</v>
      </c>
      <c r="J479" s="2623"/>
      <c r="K479" s="2623"/>
      <c r="L479" s="266"/>
      <c r="M479" s="266"/>
      <c r="N479" s="266"/>
      <c r="O479" s="266">
        <v>1136000000000</v>
      </c>
      <c r="P479" s="266"/>
      <c r="Q479" s="266"/>
      <c r="R479" s="351"/>
      <c r="S479" s="266"/>
      <c r="T479" s="302"/>
      <c r="U479" s="302"/>
      <c r="V479" s="266"/>
      <c r="W479" s="266"/>
      <c r="X479" s="266"/>
      <c r="Y479" s="266"/>
      <c r="Z479" s="266"/>
      <c r="AA479" s="266"/>
      <c r="AB479" s="266">
        <f t="shared" si="76"/>
        <v>1136000000000</v>
      </c>
      <c r="AD479" s="2735"/>
    </row>
    <row r="480" spans="2:30" ht="28.9" customHeight="1" x14ac:dyDescent="0.45">
      <c r="B480" s="4125"/>
      <c r="C480" s="2750" t="s">
        <v>2053</v>
      </c>
      <c r="D480" s="2750" t="s">
        <v>2031</v>
      </c>
      <c r="E480" s="2705"/>
      <c r="F480" s="2732"/>
      <c r="G480" s="302"/>
      <c r="H480" s="302"/>
      <c r="I480" s="302">
        <f t="shared" si="77"/>
        <v>0</v>
      </c>
      <c r="J480" s="2623"/>
      <c r="K480" s="2623"/>
      <c r="L480" s="266"/>
      <c r="M480" s="266"/>
      <c r="N480" s="266"/>
      <c r="O480" s="266">
        <v>314700000000</v>
      </c>
      <c r="P480" s="266"/>
      <c r="Q480" s="266"/>
      <c r="R480" s="351"/>
      <c r="S480" s="266"/>
      <c r="T480" s="302"/>
      <c r="U480" s="302"/>
      <c r="V480" s="266"/>
      <c r="W480" s="266"/>
      <c r="X480" s="266"/>
      <c r="Y480" s="266"/>
      <c r="Z480" s="266"/>
      <c r="AA480" s="266"/>
      <c r="AB480" s="266">
        <f t="shared" si="76"/>
        <v>314700000000</v>
      </c>
      <c r="AD480" s="2735"/>
    </row>
    <row r="481" spans="1:30" ht="28.9" customHeight="1" x14ac:dyDescent="0.2">
      <c r="B481" s="4125"/>
      <c r="C481" s="2751" t="s">
        <v>2058</v>
      </c>
      <c r="D481" s="2752" t="s">
        <v>598</v>
      </c>
      <c r="E481" s="2705"/>
      <c r="F481" s="2732"/>
      <c r="G481" s="302"/>
      <c r="H481" s="302"/>
      <c r="I481" s="302">
        <f t="shared" si="77"/>
        <v>0</v>
      </c>
      <c r="J481" s="2623"/>
      <c r="K481" s="2623"/>
      <c r="L481" s="266"/>
      <c r="M481" s="266"/>
      <c r="N481" s="266"/>
      <c r="O481" s="266">
        <v>236042000000</v>
      </c>
      <c r="P481" s="266"/>
      <c r="Q481" s="266"/>
      <c r="R481" s="351"/>
      <c r="S481" s="266"/>
      <c r="T481" s="302"/>
      <c r="U481" s="302"/>
      <c r="V481" s="266"/>
      <c r="W481" s="266"/>
      <c r="X481" s="266"/>
      <c r="Y481" s="266"/>
      <c r="Z481" s="266"/>
      <c r="AA481" s="266"/>
      <c r="AB481" s="266">
        <f t="shared" si="76"/>
        <v>236042000000</v>
      </c>
      <c r="AD481" s="2735"/>
    </row>
    <row r="482" spans="1:30" ht="28.9" customHeight="1" x14ac:dyDescent="0.2">
      <c r="B482" s="4125"/>
      <c r="C482" s="4112" t="s">
        <v>94</v>
      </c>
      <c r="D482" s="4112"/>
      <c r="E482" s="2623">
        <f>SUM(E464:E481)+1000000</f>
        <v>49992858680907</v>
      </c>
      <c r="F482" s="2623">
        <f t="shared" ref="F482:AA482" si="78">SUM(F464:F481)</f>
        <v>137242313107</v>
      </c>
      <c r="G482" s="2623">
        <f t="shared" si="78"/>
        <v>10000256000000</v>
      </c>
      <c r="H482" s="2623">
        <f t="shared" si="78"/>
        <v>5805791480</v>
      </c>
      <c r="I482" s="2623">
        <f>SUM(I464:I481)+1000000</f>
        <v>49998664472387</v>
      </c>
      <c r="J482" s="2623">
        <f t="shared" si="78"/>
        <v>271500000000</v>
      </c>
      <c r="K482" s="2623">
        <f t="shared" si="78"/>
        <v>560270000000</v>
      </c>
      <c r="L482" s="2623">
        <f t="shared" si="78"/>
        <v>0</v>
      </c>
      <c r="M482" s="2623">
        <f t="shared" si="78"/>
        <v>0</v>
      </c>
      <c r="N482" s="2623">
        <f t="shared" si="78"/>
        <v>1687668000000</v>
      </c>
      <c r="O482" s="2623">
        <f t="shared" si="78"/>
        <v>11597194000000</v>
      </c>
      <c r="P482" s="2623">
        <f t="shared" si="78"/>
        <v>-1582060020</v>
      </c>
      <c r="Q482" s="2623">
        <f t="shared" si="78"/>
        <v>0</v>
      </c>
      <c r="R482" s="2623">
        <f t="shared" si="78"/>
        <v>0</v>
      </c>
      <c r="S482" s="2623">
        <f t="shared" si="78"/>
        <v>0</v>
      </c>
      <c r="T482" s="2623">
        <f t="shared" si="78"/>
        <v>-375455000000</v>
      </c>
      <c r="U482" s="2623">
        <f t="shared" si="78"/>
        <v>221580000000</v>
      </c>
      <c r="V482" s="2623">
        <f t="shared" si="78"/>
        <v>805234980000</v>
      </c>
      <c r="W482" s="2623">
        <f t="shared" si="78"/>
        <v>-198367000000</v>
      </c>
      <c r="X482" s="2623">
        <f t="shared" si="78"/>
        <v>0</v>
      </c>
      <c r="Y482" s="2623" t="e">
        <f t="shared" si="78"/>
        <v>#N/A</v>
      </c>
      <c r="Z482" s="2623" t="e">
        <f t="shared" si="78"/>
        <v>#N/A</v>
      </c>
      <c r="AA482" s="2623">
        <f t="shared" si="78"/>
        <v>0</v>
      </c>
      <c r="AB482" s="2623">
        <f>SUM(AB464:AB481)+1000000</f>
        <v>63734937392367</v>
      </c>
      <c r="AD482" s="2735">
        <f>W482+V482+U482+T482+P482+O482+N482+I482</f>
        <v>63734937392367</v>
      </c>
    </row>
    <row r="483" spans="1:30" s="2753" customFormat="1" ht="28.9" customHeight="1" x14ac:dyDescent="0.2">
      <c r="B483" s="2754"/>
      <c r="C483" s="2755"/>
      <c r="D483" s="2756"/>
      <c r="E483" s="2757"/>
      <c r="F483" s="2758"/>
      <c r="G483" s="1662"/>
      <c r="H483" s="1662"/>
      <c r="I483" s="1662"/>
      <c r="J483" s="2759"/>
      <c r="K483" s="2759"/>
      <c r="L483" s="502"/>
      <c r="M483" s="502"/>
      <c r="N483" s="502"/>
      <c r="O483" s="502"/>
      <c r="P483" s="502"/>
      <c r="Q483" s="502"/>
      <c r="R483" s="1663"/>
      <c r="S483" s="502"/>
      <c r="T483" s="1662"/>
      <c r="U483" s="1662"/>
      <c r="V483" s="502"/>
      <c r="W483" s="502"/>
      <c r="X483" s="502"/>
      <c r="Y483" s="502"/>
      <c r="Z483" s="502"/>
      <c r="AA483" s="502"/>
      <c r="AB483" s="502"/>
      <c r="AD483" s="2757"/>
    </row>
    <row r="484" spans="1:30" s="2753" customFormat="1" ht="28.9" customHeight="1" x14ac:dyDescent="0.2">
      <c r="A484" s="4153">
        <v>106000000</v>
      </c>
      <c r="B484" s="4153"/>
      <c r="C484" s="4153"/>
      <c r="D484" s="4153"/>
      <c r="E484" s="4153"/>
      <c r="F484" s="4153"/>
      <c r="G484" s="4153"/>
      <c r="H484" s="4153"/>
      <c r="I484" s="4153"/>
      <c r="J484" s="4153"/>
      <c r="K484" s="4153"/>
      <c r="L484" s="4153"/>
      <c r="M484" s="4153"/>
      <c r="N484" s="4153"/>
      <c r="O484" s="4153"/>
      <c r="P484" s="4153"/>
      <c r="Q484" s="4153"/>
      <c r="R484" s="4153"/>
      <c r="S484" s="4153"/>
      <c r="T484" s="4153"/>
      <c r="U484" s="4153"/>
      <c r="V484" s="4153"/>
      <c r="W484" s="4153"/>
      <c r="X484" s="4153"/>
      <c r="Y484" s="4153"/>
      <c r="Z484" s="4153"/>
      <c r="AA484" s="4153"/>
      <c r="AB484" s="4153"/>
      <c r="AD484" s="2757"/>
    </row>
    <row r="485" spans="1:30" s="2753" customFormat="1" ht="24.6" customHeight="1" x14ac:dyDescent="0.2">
      <c r="A485" s="2603"/>
      <c r="B485" s="4108" t="s">
        <v>295</v>
      </c>
      <c r="C485" s="4108"/>
      <c r="D485" s="4108"/>
      <c r="E485" s="4108"/>
      <c r="F485" s="4108"/>
      <c r="G485" s="4108"/>
      <c r="H485" s="4108"/>
      <c r="I485" s="4108"/>
      <c r="J485" s="4108"/>
      <c r="K485" s="4108"/>
      <c r="L485" s="4108"/>
      <c r="M485" s="4108"/>
      <c r="N485" s="4108"/>
      <c r="O485" s="4108"/>
      <c r="P485" s="4108"/>
      <c r="Q485" s="4108"/>
      <c r="R485" s="4108"/>
      <c r="S485" s="4108"/>
      <c r="T485" s="4108"/>
      <c r="U485" s="4108"/>
      <c r="V485" s="4108"/>
      <c r="W485" s="4108"/>
      <c r="X485" s="4108"/>
      <c r="Y485" s="4108"/>
      <c r="Z485" s="4108"/>
      <c r="AA485" s="4108"/>
      <c r="AB485" s="4108"/>
      <c r="AD485" s="2757"/>
    </row>
    <row r="486" spans="1:30" s="2753" customFormat="1" ht="24.6" customHeight="1" x14ac:dyDescent="0.2">
      <c r="A486" s="2603"/>
      <c r="B486" s="4108" t="s">
        <v>45</v>
      </c>
      <c r="C486" s="4108"/>
      <c r="D486" s="4108"/>
      <c r="E486" s="4108"/>
      <c r="F486" s="4108"/>
      <c r="G486" s="4108"/>
      <c r="H486" s="4108"/>
      <c r="I486" s="4108"/>
      <c r="J486" s="4108"/>
      <c r="K486" s="4108"/>
      <c r="L486" s="4108"/>
      <c r="M486" s="4108"/>
      <c r="N486" s="4108"/>
      <c r="O486" s="4108"/>
      <c r="P486" s="4108"/>
      <c r="Q486" s="4108"/>
      <c r="R486" s="4108"/>
      <c r="S486" s="4108"/>
      <c r="T486" s="4108"/>
      <c r="U486" s="4108"/>
      <c r="V486" s="4108"/>
      <c r="W486" s="4108"/>
      <c r="X486" s="4108"/>
      <c r="Y486" s="4108"/>
      <c r="Z486" s="4108"/>
      <c r="AA486" s="4108"/>
      <c r="AB486" s="4108"/>
      <c r="AD486" s="2757"/>
    </row>
    <row r="487" spans="1:30" s="2753" customFormat="1" ht="24.6" customHeight="1" x14ac:dyDescent="0.2">
      <c r="A487" s="2603"/>
      <c r="B487" s="4108" t="s">
        <v>46</v>
      </c>
      <c r="C487" s="4108"/>
      <c r="D487" s="4108"/>
      <c r="E487" s="4108"/>
      <c r="F487" s="4108"/>
      <c r="G487" s="4108"/>
      <c r="H487" s="4108"/>
      <c r="I487" s="4108"/>
      <c r="J487" s="4108"/>
      <c r="K487" s="4108"/>
      <c r="L487" s="4108"/>
      <c r="M487" s="4108"/>
      <c r="N487" s="4108"/>
      <c r="O487" s="4108"/>
      <c r="P487" s="4108"/>
      <c r="Q487" s="4108"/>
      <c r="R487" s="4108"/>
      <c r="S487" s="4108"/>
      <c r="T487" s="4108"/>
      <c r="U487" s="4108"/>
      <c r="V487" s="4108"/>
      <c r="W487" s="4108"/>
      <c r="X487" s="4108"/>
      <c r="Y487" s="4108"/>
      <c r="Z487" s="4108"/>
      <c r="AA487" s="4108"/>
      <c r="AB487" s="4108"/>
      <c r="AD487" s="2757"/>
    </row>
    <row r="488" spans="1:30" s="2753" customFormat="1" ht="24.6" customHeight="1" x14ac:dyDescent="0.2">
      <c r="A488" s="2603"/>
      <c r="B488" s="3294" t="s">
        <v>1981</v>
      </c>
      <c r="C488" s="3294"/>
      <c r="D488" s="3294"/>
      <c r="E488" s="3294"/>
      <c r="F488" s="3294"/>
      <c r="G488" s="3294"/>
      <c r="H488" s="3294"/>
      <c r="I488" s="3294"/>
      <c r="J488" s="3294"/>
      <c r="K488" s="3294"/>
      <c r="L488" s="3294"/>
      <c r="M488" s="3294"/>
      <c r="N488" s="3294"/>
      <c r="O488" s="3294"/>
      <c r="P488" s="3294"/>
      <c r="Q488" s="3294"/>
      <c r="R488" s="3294"/>
      <c r="S488" s="3294"/>
      <c r="T488" s="3294"/>
      <c r="U488" s="3294"/>
      <c r="V488" s="3294"/>
      <c r="W488" s="3294"/>
      <c r="X488" s="3294"/>
      <c r="Y488" s="3294"/>
      <c r="Z488" s="3294"/>
      <c r="AA488" s="3294"/>
      <c r="AB488" s="3294"/>
      <c r="AD488" s="2757"/>
    </row>
    <row r="489" spans="1:30" s="2753" customFormat="1" ht="28.9" customHeight="1" x14ac:dyDescent="0.2">
      <c r="A489" s="2603"/>
      <c r="B489" s="1722"/>
      <c r="C489" s="1722"/>
      <c r="D489" s="1722"/>
      <c r="E489" s="1722"/>
      <c r="F489" s="1722"/>
      <c r="G489" s="1722"/>
      <c r="H489" s="1722"/>
      <c r="I489" s="1722"/>
      <c r="J489" s="1722"/>
      <c r="K489" s="1722"/>
      <c r="L489" s="1722"/>
      <c r="M489" s="1722"/>
      <c r="N489" s="1722"/>
      <c r="O489" s="1722"/>
      <c r="P489" s="1722"/>
      <c r="Q489" s="1722"/>
      <c r="R489" s="1722"/>
      <c r="S489" s="1722"/>
      <c r="T489" s="1722"/>
      <c r="U489" s="1722"/>
      <c r="V489" s="1722"/>
      <c r="W489" s="1722"/>
      <c r="X489" s="1722"/>
      <c r="Y489" s="1722"/>
      <c r="Z489" s="1722"/>
      <c r="AA489" s="1722"/>
      <c r="AB489" s="1722"/>
      <c r="AD489" s="2757"/>
    </row>
    <row r="490" spans="1:30" s="2753" customFormat="1" ht="28.9" customHeight="1" x14ac:dyDescent="0.2">
      <c r="A490" s="2603"/>
      <c r="B490" s="4110" t="s">
        <v>1848</v>
      </c>
      <c r="C490" s="4110"/>
      <c r="D490" s="4110"/>
      <c r="E490" s="2656"/>
      <c r="F490" s="2657"/>
      <c r="G490" s="2658"/>
      <c r="H490" s="2658"/>
      <c r="I490" s="2658"/>
      <c r="J490" s="2658"/>
      <c r="K490" s="2658"/>
      <c r="L490" s="2658"/>
      <c r="M490" s="2658"/>
      <c r="N490" s="2658"/>
      <c r="O490" s="2658"/>
      <c r="P490" s="2658"/>
      <c r="Q490" s="2658"/>
      <c r="R490" s="2658"/>
      <c r="S490" s="2658"/>
      <c r="T490" s="2658"/>
      <c r="U490" s="2658"/>
      <c r="V490" s="2658"/>
      <c r="W490" s="2658"/>
      <c r="X490" s="104"/>
      <c r="Y490" s="104"/>
      <c r="Z490" s="104"/>
      <c r="AA490" s="104"/>
      <c r="AB490" s="2608" t="s">
        <v>194</v>
      </c>
      <c r="AD490" s="2757"/>
    </row>
    <row r="491" spans="1:30" s="2753" customFormat="1" ht="28.9" customHeight="1" x14ac:dyDescent="0.2">
      <c r="A491" s="2603"/>
      <c r="B491" s="4112" t="s">
        <v>419</v>
      </c>
      <c r="C491" s="4117" t="s">
        <v>196</v>
      </c>
      <c r="D491" s="4124" t="s">
        <v>197</v>
      </c>
      <c r="E491" s="4111" t="s">
        <v>1400</v>
      </c>
      <c r="F491" s="2609"/>
      <c r="G491" s="4111" t="s">
        <v>921</v>
      </c>
      <c r="H491" s="4118" t="s">
        <v>1116</v>
      </c>
      <c r="I491" s="4118" t="s">
        <v>1271</v>
      </c>
      <c r="J491" s="4135" t="s">
        <v>1272</v>
      </c>
      <c r="K491" s="4136"/>
      <c r="L491" s="4136"/>
      <c r="M491" s="4136"/>
      <c r="N491" s="4136"/>
      <c r="O491" s="4137"/>
      <c r="P491" s="4113" t="s">
        <v>423</v>
      </c>
      <c r="Q491" s="4115" t="s">
        <v>827</v>
      </c>
      <c r="R491" s="4115" t="s">
        <v>888</v>
      </c>
      <c r="S491" s="4115"/>
      <c r="T491" s="4114" t="s">
        <v>2015</v>
      </c>
      <c r="U491" s="4121" t="s">
        <v>1274</v>
      </c>
      <c r="V491" s="4121" t="s">
        <v>2016</v>
      </c>
      <c r="W491" s="4116" t="s">
        <v>1033</v>
      </c>
      <c r="X491" s="2610"/>
      <c r="Y491" s="4127" t="s">
        <v>296</v>
      </c>
      <c r="Z491" s="4127" t="s">
        <v>190</v>
      </c>
      <c r="AA491" s="4129" t="s">
        <v>313</v>
      </c>
      <c r="AB491" s="4111" t="s">
        <v>2013</v>
      </c>
      <c r="AD491" s="2757"/>
    </row>
    <row r="492" spans="1:30" s="2753" customFormat="1" ht="28.9" customHeight="1" x14ac:dyDescent="0.2">
      <c r="A492" s="2603"/>
      <c r="B492" s="4112"/>
      <c r="C492" s="4117"/>
      <c r="D492" s="4124"/>
      <c r="E492" s="4111"/>
      <c r="F492" s="2609"/>
      <c r="G492" s="4111"/>
      <c r="H492" s="4119"/>
      <c r="I492" s="4119"/>
      <c r="J492" s="4138"/>
      <c r="K492" s="4139"/>
      <c r="L492" s="4139"/>
      <c r="M492" s="4139"/>
      <c r="N492" s="4139"/>
      <c r="O492" s="4140"/>
      <c r="P492" s="4113"/>
      <c r="Q492" s="4115"/>
      <c r="R492" s="4109" t="s">
        <v>889</v>
      </c>
      <c r="S492" s="4109" t="s">
        <v>890</v>
      </c>
      <c r="T492" s="4114"/>
      <c r="U492" s="4122"/>
      <c r="V492" s="4122"/>
      <c r="W492" s="4116"/>
      <c r="X492" s="2611"/>
      <c r="Y492" s="4127"/>
      <c r="Z492" s="4127"/>
      <c r="AA492" s="4130"/>
      <c r="AB492" s="4111"/>
      <c r="AD492" s="2757"/>
    </row>
    <row r="493" spans="1:30" s="2753" customFormat="1" ht="65.45" customHeight="1" x14ac:dyDescent="0.2">
      <c r="A493" s="2603"/>
      <c r="B493" s="4112"/>
      <c r="C493" s="4117"/>
      <c r="D493" s="4124"/>
      <c r="E493" s="4111"/>
      <c r="F493" s="2612" t="s">
        <v>421</v>
      </c>
      <c r="G493" s="2613" t="s">
        <v>27</v>
      </c>
      <c r="H493" s="4120"/>
      <c r="I493" s="4120"/>
      <c r="J493" s="2614" t="s">
        <v>1273</v>
      </c>
      <c r="K493" s="2614" t="s">
        <v>1292</v>
      </c>
      <c r="L493" s="2612" t="s">
        <v>999</v>
      </c>
      <c r="M493" s="2612" t="s">
        <v>422</v>
      </c>
      <c r="N493" s="2612" t="s">
        <v>2014</v>
      </c>
      <c r="O493" s="2615" t="s">
        <v>1794</v>
      </c>
      <c r="P493" s="4113"/>
      <c r="Q493" s="4115"/>
      <c r="R493" s="4109"/>
      <c r="S493" s="4109"/>
      <c r="T493" s="4114"/>
      <c r="U493" s="4123"/>
      <c r="V493" s="4123"/>
      <c r="W493" s="4116"/>
      <c r="X493" s="373" t="s">
        <v>62</v>
      </c>
      <c r="Y493" s="4127"/>
      <c r="Z493" s="4127"/>
      <c r="AA493" s="4131"/>
      <c r="AB493" s="4111"/>
      <c r="AD493" s="2757"/>
    </row>
    <row r="494" spans="1:30" s="2753" customFormat="1" ht="28.9" customHeight="1" x14ac:dyDescent="0.2">
      <c r="B494" s="4125" t="s">
        <v>420</v>
      </c>
      <c r="C494" s="4126" t="s">
        <v>181</v>
      </c>
      <c r="D494" s="4126"/>
      <c r="E494" s="2623">
        <f>E482</f>
        <v>49992858680907</v>
      </c>
      <c r="F494" s="2623">
        <f t="shared" ref="F494:AB494" si="79">F482</f>
        <v>137242313107</v>
      </c>
      <c r="G494" s="2623">
        <f t="shared" si="79"/>
        <v>10000256000000</v>
      </c>
      <c r="H494" s="2623">
        <f t="shared" si="79"/>
        <v>5805791480</v>
      </c>
      <c r="I494" s="2623">
        <f t="shared" si="79"/>
        <v>49998664472387</v>
      </c>
      <c r="J494" s="2623">
        <f t="shared" si="79"/>
        <v>271500000000</v>
      </c>
      <c r="K494" s="2623">
        <f t="shared" si="79"/>
        <v>560270000000</v>
      </c>
      <c r="L494" s="2623">
        <f t="shared" si="79"/>
        <v>0</v>
      </c>
      <c r="M494" s="2623">
        <f t="shared" si="79"/>
        <v>0</v>
      </c>
      <c r="N494" s="2623">
        <f t="shared" si="79"/>
        <v>1687668000000</v>
      </c>
      <c r="O494" s="2623">
        <f t="shared" si="79"/>
        <v>11597194000000</v>
      </c>
      <c r="P494" s="2623">
        <f t="shared" si="79"/>
        <v>-1582060020</v>
      </c>
      <c r="Q494" s="2623">
        <f t="shared" si="79"/>
        <v>0</v>
      </c>
      <c r="R494" s="2623">
        <f t="shared" si="79"/>
        <v>0</v>
      </c>
      <c r="S494" s="2623">
        <f t="shared" si="79"/>
        <v>0</v>
      </c>
      <c r="T494" s="2623">
        <f t="shared" si="79"/>
        <v>-375455000000</v>
      </c>
      <c r="U494" s="2623">
        <f t="shared" si="79"/>
        <v>221580000000</v>
      </c>
      <c r="V494" s="2623">
        <f t="shared" si="79"/>
        <v>805234980000</v>
      </c>
      <c r="W494" s="2623">
        <f t="shared" si="79"/>
        <v>-198367000000</v>
      </c>
      <c r="X494" s="2623">
        <f t="shared" si="79"/>
        <v>0</v>
      </c>
      <c r="Y494" s="2623" t="e">
        <f t="shared" si="79"/>
        <v>#N/A</v>
      </c>
      <c r="Z494" s="2623" t="e">
        <f t="shared" si="79"/>
        <v>#N/A</v>
      </c>
      <c r="AA494" s="2623">
        <f t="shared" si="79"/>
        <v>0</v>
      </c>
      <c r="AB494" s="2623">
        <f t="shared" si="79"/>
        <v>63734937392367</v>
      </c>
      <c r="AD494" s="2757"/>
    </row>
    <row r="495" spans="1:30" ht="27" customHeight="1" x14ac:dyDescent="0.45">
      <c r="B495" s="4125"/>
      <c r="C495" s="2760" t="s">
        <v>2051</v>
      </c>
      <c r="D495" s="2760" t="s">
        <v>2029</v>
      </c>
      <c r="E495" s="2761"/>
      <c r="F495" s="2762"/>
      <c r="G495" s="1659"/>
      <c r="H495" s="1659"/>
      <c r="I495" s="1659">
        <f>E495+H495</f>
        <v>0</v>
      </c>
      <c r="J495" s="2675"/>
      <c r="K495" s="2675"/>
      <c r="L495" s="1660"/>
      <c r="M495" s="1660"/>
      <c r="N495" s="1660"/>
      <c r="O495" s="1660">
        <v>562975000000</v>
      </c>
      <c r="P495" s="1660"/>
      <c r="Q495" s="1660"/>
      <c r="R495" s="1661"/>
      <c r="S495" s="1660"/>
      <c r="T495" s="1659"/>
      <c r="U495" s="1659"/>
      <c r="V495" s="1660"/>
      <c r="W495" s="1660"/>
      <c r="X495" s="1660"/>
      <c r="Y495" s="1660"/>
      <c r="Z495" s="1660"/>
      <c r="AA495" s="1660"/>
      <c r="AB495" s="1660">
        <f>P495+W495+S495+R495+Q495+N495+T495+E495+V495+U495+O495+H495+M495</f>
        <v>562975000000</v>
      </c>
      <c r="AD495" s="2735"/>
    </row>
    <row r="496" spans="1:30" ht="27" customHeight="1" x14ac:dyDescent="0.2">
      <c r="B496" s="4125"/>
      <c r="C496" s="2751" t="s">
        <v>2050</v>
      </c>
      <c r="D496" s="2752" t="s">
        <v>620</v>
      </c>
      <c r="E496" s="2705"/>
      <c r="F496" s="2732"/>
      <c r="G496" s="302"/>
      <c r="H496" s="302"/>
      <c r="I496" s="1659">
        <f t="shared" ref="I496:I510" si="80">E496+H496</f>
        <v>0</v>
      </c>
      <c r="J496" s="2623"/>
      <c r="K496" s="2623"/>
      <c r="L496" s="266"/>
      <c r="M496" s="266"/>
      <c r="N496" s="266"/>
      <c r="O496" s="266">
        <v>670714000000</v>
      </c>
      <c r="P496" s="266"/>
      <c r="Q496" s="266"/>
      <c r="R496" s="351"/>
      <c r="S496" s="266"/>
      <c r="T496" s="302"/>
      <c r="U496" s="302"/>
      <c r="V496" s="266"/>
      <c r="W496" s="266"/>
      <c r="X496" s="266"/>
      <c r="Y496" s="266"/>
      <c r="Z496" s="266"/>
      <c r="AA496" s="266"/>
      <c r="AB496" s="1660">
        <f t="shared" ref="AB496:AB510" si="81">P496+W496+S496+R496+Q496+N496+T496+E496+V496+U496+O496+H496+M496</f>
        <v>670714000000</v>
      </c>
      <c r="AD496" s="2735"/>
    </row>
    <row r="497" spans="2:33" ht="27" customHeight="1" x14ac:dyDescent="0.45">
      <c r="B497" s="4125"/>
      <c r="C497" s="2750" t="s">
        <v>2055</v>
      </c>
      <c r="D497" s="2750" t="s">
        <v>2033</v>
      </c>
      <c r="E497" s="2705"/>
      <c r="F497" s="2732"/>
      <c r="G497" s="302"/>
      <c r="H497" s="302"/>
      <c r="I497" s="1659">
        <f t="shared" si="80"/>
        <v>0</v>
      </c>
      <c r="J497" s="2623"/>
      <c r="K497" s="2623"/>
      <c r="L497" s="266"/>
      <c r="M497" s="266"/>
      <c r="N497" s="266"/>
      <c r="O497" s="266">
        <v>315548000000</v>
      </c>
      <c r="P497" s="266"/>
      <c r="Q497" s="266"/>
      <c r="R497" s="351"/>
      <c r="S497" s="266"/>
      <c r="T497" s="302"/>
      <c r="U497" s="302"/>
      <c r="V497" s="266"/>
      <c r="W497" s="266"/>
      <c r="X497" s="266"/>
      <c r="Y497" s="266"/>
      <c r="Z497" s="266"/>
      <c r="AA497" s="266"/>
      <c r="AB497" s="1660">
        <f t="shared" si="81"/>
        <v>315548000000</v>
      </c>
      <c r="AD497" s="2735"/>
    </row>
    <row r="498" spans="2:33" ht="27" customHeight="1" x14ac:dyDescent="0.45">
      <c r="B498" s="4125"/>
      <c r="C498" s="2750" t="s">
        <v>2064</v>
      </c>
      <c r="D498" s="2750" t="s">
        <v>2042</v>
      </c>
      <c r="E498" s="2705"/>
      <c r="F498" s="2732"/>
      <c r="G498" s="302"/>
      <c r="H498" s="302"/>
      <c r="I498" s="1659">
        <f t="shared" si="80"/>
        <v>0</v>
      </c>
      <c r="J498" s="2623"/>
      <c r="K498" s="2623"/>
      <c r="L498" s="266"/>
      <c r="M498" s="266"/>
      <c r="N498" s="266"/>
      <c r="O498" s="266">
        <v>50000000000</v>
      </c>
      <c r="P498" s="266"/>
      <c r="Q498" s="266"/>
      <c r="R498" s="351"/>
      <c r="S498" s="266"/>
      <c r="T498" s="302"/>
      <c r="U498" s="302"/>
      <c r="V498" s="266"/>
      <c r="W498" s="266"/>
      <c r="X498" s="266"/>
      <c r="Y498" s="266"/>
      <c r="Z498" s="266"/>
      <c r="AA498" s="266"/>
      <c r="AB498" s="1660">
        <f t="shared" si="81"/>
        <v>50000000000</v>
      </c>
      <c r="AD498" s="2735"/>
    </row>
    <row r="499" spans="2:33" ht="27" customHeight="1" x14ac:dyDescent="0.45">
      <c r="B499" s="4125"/>
      <c r="C499" s="2750" t="s">
        <v>2056</v>
      </c>
      <c r="D499" s="2750" t="s">
        <v>2072</v>
      </c>
      <c r="E499" s="2705"/>
      <c r="F499" s="2732"/>
      <c r="G499" s="302"/>
      <c r="H499" s="302"/>
      <c r="I499" s="1659">
        <f t="shared" si="80"/>
        <v>0</v>
      </c>
      <c r="J499" s="2623"/>
      <c r="K499" s="2623"/>
      <c r="L499" s="266"/>
      <c r="M499" s="266"/>
      <c r="N499" s="266"/>
      <c r="O499" s="266">
        <v>534000000000</v>
      </c>
      <c r="P499" s="266"/>
      <c r="Q499" s="266"/>
      <c r="R499" s="351"/>
      <c r="S499" s="266"/>
      <c r="T499" s="302"/>
      <c r="U499" s="302"/>
      <c r="V499" s="266"/>
      <c r="W499" s="266"/>
      <c r="X499" s="266"/>
      <c r="Y499" s="266"/>
      <c r="Z499" s="266"/>
      <c r="AA499" s="266"/>
      <c r="AB499" s="1660">
        <f t="shared" si="81"/>
        <v>534000000000</v>
      </c>
      <c r="AD499" s="2735"/>
    </row>
    <row r="500" spans="2:33" ht="27" customHeight="1" x14ac:dyDescent="0.2">
      <c r="B500" s="4125"/>
      <c r="C500" s="2763" t="s">
        <v>2061</v>
      </c>
      <c r="D500" s="2764" t="s">
        <v>600</v>
      </c>
      <c r="E500" s="2705"/>
      <c r="F500" s="2732"/>
      <c r="G500" s="302"/>
      <c r="H500" s="302"/>
      <c r="I500" s="1659">
        <f t="shared" si="80"/>
        <v>0</v>
      </c>
      <c r="J500" s="2623"/>
      <c r="K500" s="2623"/>
      <c r="L500" s="266"/>
      <c r="M500" s="266"/>
      <c r="N500" s="266"/>
      <c r="O500" s="266">
        <v>151930000000</v>
      </c>
      <c r="P500" s="266"/>
      <c r="Q500" s="266"/>
      <c r="R500" s="351"/>
      <c r="S500" s="266"/>
      <c r="T500" s="302"/>
      <c r="U500" s="302"/>
      <c r="V500" s="266"/>
      <c r="W500" s="266"/>
      <c r="X500" s="266"/>
      <c r="Y500" s="266"/>
      <c r="Z500" s="266"/>
      <c r="AA500" s="266"/>
      <c r="AB500" s="1660">
        <f t="shared" si="81"/>
        <v>151930000000</v>
      </c>
      <c r="AD500" s="2735"/>
    </row>
    <row r="501" spans="2:33" ht="27" customHeight="1" x14ac:dyDescent="0.2">
      <c r="B501" s="4125"/>
      <c r="C501" s="2751" t="s">
        <v>2052</v>
      </c>
      <c r="D501" s="2752" t="s">
        <v>601</v>
      </c>
      <c r="E501" s="2705"/>
      <c r="F501" s="2732"/>
      <c r="G501" s="302"/>
      <c r="H501" s="302"/>
      <c r="I501" s="1659">
        <f t="shared" si="80"/>
        <v>0</v>
      </c>
      <c r="J501" s="2623"/>
      <c r="K501" s="2623"/>
      <c r="L501" s="266"/>
      <c r="M501" s="266"/>
      <c r="N501" s="266"/>
      <c r="O501" s="266">
        <v>418200000000</v>
      </c>
      <c r="P501" s="266"/>
      <c r="Q501" s="266"/>
      <c r="R501" s="351"/>
      <c r="S501" s="266"/>
      <c r="T501" s="302"/>
      <c r="U501" s="302"/>
      <c r="V501" s="266"/>
      <c r="W501" s="266"/>
      <c r="X501" s="266"/>
      <c r="Y501" s="266"/>
      <c r="Z501" s="266"/>
      <c r="AA501" s="266"/>
      <c r="AB501" s="1660">
        <f t="shared" si="81"/>
        <v>418200000000</v>
      </c>
      <c r="AD501" s="2735"/>
    </row>
    <row r="502" spans="2:33" ht="27" customHeight="1" x14ac:dyDescent="0.45">
      <c r="B502" s="4125"/>
      <c r="C502" s="2765" t="s">
        <v>2057</v>
      </c>
      <c r="D502" s="2766" t="s">
        <v>2034</v>
      </c>
      <c r="E502" s="2705"/>
      <c r="F502" s="2732"/>
      <c r="G502" s="302"/>
      <c r="H502" s="302"/>
      <c r="I502" s="1659">
        <f t="shared" si="80"/>
        <v>0</v>
      </c>
      <c r="J502" s="2623"/>
      <c r="K502" s="2623"/>
      <c r="L502" s="266"/>
      <c r="M502" s="266"/>
      <c r="N502" s="266"/>
      <c r="O502" s="266">
        <v>313500000000</v>
      </c>
      <c r="P502" s="266"/>
      <c r="Q502" s="266"/>
      <c r="R502" s="351"/>
      <c r="S502" s="266"/>
      <c r="T502" s="302"/>
      <c r="U502" s="302"/>
      <c r="V502" s="266"/>
      <c r="W502" s="266"/>
      <c r="X502" s="266"/>
      <c r="Y502" s="266"/>
      <c r="Z502" s="266"/>
      <c r="AA502" s="266"/>
      <c r="AB502" s="1660">
        <f t="shared" si="81"/>
        <v>313500000000</v>
      </c>
      <c r="AD502" s="2735"/>
    </row>
    <row r="503" spans="2:33" ht="27" customHeight="1" x14ac:dyDescent="0.2">
      <c r="B503" s="4125"/>
      <c r="C503" s="2751" t="s">
        <v>2054</v>
      </c>
      <c r="D503" s="2752" t="s">
        <v>602</v>
      </c>
      <c r="E503" s="2705"/>
      <c r="F503" s="2732"/>
      <c r="G503" s="302"/>
      <c r="H503" s="302"/>
      <c r="I503" s="1659">
        <f t="shared" si="80"/>
        <v>0</v>
      </c>
      <c r="J503" s="2623"/>
      <c r="K503" s="2623"/>
      <c r="L503" s="266"/>
      <c r="M503" s="266"/>
      <c r="N503" s="266"/>
      <c r="O503" s="266">
        <v>285661000000</v>
      </c>
      <c r="P503" s="266"/>
      <c r="Q503" s="266"/>
      <c r="R503" s="351"/>
      <c r="S503" s="266"/>
      <c r="T503" s="302"/>
      <c r="U503" s="302"/>
      <c r="V503" s="266"/>
      <c r="W503" s="266"/>
      <c r="X503" s="266"/>
      <c r="Y503" s="266"/>
      <c r="Z503" s="266"/>
      <c r="AA503" s="266"/>
      <c r="AB503" s="1660">
        <f t="shared" si="81"/>
        <v>285661000000</v>
      </c>
      <c r="AD503" s="2735"/>
    </row>
    <row r="504" spans="2:33" ht="27" customHeight="1" x14ac:dyDescent="0.45">
      <c r="B504" s="4125"/>
      <c r="C504" s="2750" t="s">
        <v>2063</v>
      </c>
      <c r="D504" s="2750" t="s">
        <v>2039</v>
      </c>
      <c r="E504" s="2705"/>
      <c r="F504" s="2732"/>
      <c r="G504" s="302"/>
      <c r="H504" s="302"/>
      <c r="I504" s="1659">
        <f t="shared" si="80"/>
        <v>0</v>
      </c>
      <c r="J504" s="2623"/>
      <c r="K504" s="2623"/>
      <c r="L504" s="266"/>
      <c r="M504" s="266"/>
      <c r="N504" s="266"/>
      <c r="O504" s="266">
        <v>100000000000</v>
      </c>
      <c r="P504" s="266"/>
      <c r="Q504" s="266"/>
      <c r="R504" s="351"/>
      <c r="S504" s="266"/>
      <c r="T504" s="302"/>
      <c r="U504" s="302"/>
      <c r="V504" s="266"/>
      <c r="W504" s="266"/>
      <c r="X504" s="266"/>
      <c r="Y504" s="266"/>
      <c r="Z504" s="266"/>
      <c r="AA504" s="266"/>
      <c r="AB504" s="1660">
        <f t="shared" si="81"/>
        <v>100000000000</v>
      </c>
      <c r="AD504" s="2735"/>
    </row>
    <row r="505" spans="2:33" ht="27" customHeight="1" x14ac:dyDescent="0.45">
      <c r="B505" s="4125"/>
      <c r="C505" s="2750" t="s">
        <v>2066</v>
      </c>
      <c r="D505" s="2750" t="s">
        <v>2044</v>
      </c>
      <c r="E505" s="2705"/>
      <c r="F505" s="2732"/>
      <c r="G505" s="302"/>
      <c r="H505" s="302"/>
      <c r="I505" s="1659">
        <f t="shared" si="80"/>
        <v>0</v>
      </c>
      <c r="J505" s="2623"/>
      <c r="K505" s="2623"/>
      <c r="L505" s="266"/>
      <c r="M505" s="266"/>
      <c r="N505" s="266"/>
      <c r="O505" s="266">
        <v>35000000000</v>
      </c>
      <c r="P505" s="266"/>
      <c r="Q505" s="266"/>
      <c r="R505" s="351"/>
      <c r="S505" s="266"/>
      <c r="T505" s="302"/>
      <c r="U505" s="302"/>
      <c r="V505" s="266"/>
      <c r="W505" s="266"/>
      <c r="X505" s="266"/>
      <c r="Y505" s="266"/>
      <c r="Z505" s="266"/>
      <c r="AA505" s="266"/>
      <c r="AB505" s="1660">
        <f t="shared" si="81"/>
        <v>35000000000</v>
      </c>
      <c r="AD505" s="2735"/>
    </row>
    <row r="506" spans="2:33" ht="27" customHeight="1" x14ac:dyDescent="0.45">
      <c r="B506" s="4125"/>
      <c r="C506" s="2750" t="s">
        <v>2059</v>
      </c>
      <c r="D506" s="2750" t="s">
        <v>2036</v>
      </c>
      <c r="E506" s="2705"/>
      <c r="F506" s="2732"/>
      <c r="G506" s="302"/>
      <c r="H506" s="302"/>
      <c r="I506" s="1659">
        <f t="shared" si="80"/>
        <v>0</v>
      </c>
      <c r="J506" s="2623"/>
      <c r="K506" s="2623"/>
      <c r="L506" s="266"/>
      <c r="M506" s="266"/>
      <c r="N506" s="266"/>
      <c r="O506" s="266">
        <v>346100000000</v>
      </c>
      <c r="P506" s="266"/>
      <c r="Q506" s="266"/>
      <c r="R506" s="351"/>
      <c r="S506" s="266"/>
      <c r="T506" s="302"/>
      <c r="U506" s="302"/>
      <c r="V506" s="266"/>
      <c r="W506" s="266"/>
      <c r="X506" s="266"/>
      <c r="Y506" s="266"/>
      <c r="Z506" s="266"/>
      <c r="AA506" s="266"/>
      <c r="AB506" s="1660">
        <f t="shared" si="81"/>
        <v>346100000000</v>
      </c>
      <c r="AD506" s="2735"/>
    </row>
    <row r="507" spans="2:33" ht="27" customHeight="1" x14ac:dyDescent="0.45">
      <c r="B507" s="4125"/>
      <c r="C507" s="2750" t="s">
        <v>2065</v>
      </c>
      <c r="D507" s="2750" t="s">
        <v>2043</v>
      </c>
      <c r="E507" s="2705"/>
      <c r="F507" s="2732"/>
      <c r="G507" s="302"/>
      <c r="H507" s="302">
        <v>-5805791480</v>
      </c>
      <c r="I507" s="1659">
        <f t="shared" si="80"/>
        <v>-5805791480</v>
      </c>
      <c r="J507" s="2623"/>
      <c r="K507" s="2623"/>
      <c r="L507" s="266"/>
      <c r="M507" s="266"/>
      <c r="N507" s="266"/>
      <c r="O507" s="266">
        <v>100000000000</v>
      </c>
      <c r="P507" s="266"/>
      <c r="Q507" s="266"/>
      <c r="R507" s="351"/>
      <c r="S507" s="266"/>
      <c r="T507" s="302"/>
      <c r="U507" s="302"/>
      <c r="V507" s="266"/>
      <c r="W507" s="266"/>
      <c r="X507" s="266"/>
      <c r="Y507" s="266"/>
      <c r="Z507" s="266"/>
      <c r="AA507" s="266"/>
      <c r="AB507" s="1660">
        <f t="shared" si="81"/>
        <v>94194208520</v>
      </c>
      <c r="AD507" s="2735"/>
    </row>
    <row r="508" spans="2:33" ht="27" customHeight="1" x14ac:dyDescent="0.45">
      <c r="B508" s="4125"/>
      <c r="C508" s="2750" t="s">
        <v>2060</v>
      </c>
      <c r="D508" s="2750" t="s">
        <v>2037</v>
      </c>
      <c r="E508" s="2705"/>
      <c r="F508" s="2732"/>
      <c r="G508" s="302"/>
      <c r="H508" s="302"/>
      <c r="I508" s="1659">
        <f t="shared" si="80"/>
        <v>0</v>
      </c>
      <c r="J508" s="2623"/>
      <c r="K508" s="2623"/>
      <c r="L508" s="266"/>
      <c r="M508" s="266"/>
      <c r="N508" s="266"/>
      <c r="O508" s="266">
        <v>219645000000</v>
      </c>
      <c r="P508" s="266"/>
      <c r="Q508" s="266"/>
      <c r="R508" s="351"/>
      <c r="S508" s="266"/>
      <c r="T508" s="302"/>
      <c r="U508" s="302"/>
      <c r="V508" s="266"/>
      <c r="W508" s="266"/>
      <c r="X508" s="266"/>
      <c r="Y508" s="266"/>
      <c r="Z508" s="266"/>
      <c r="AA508" s="266"/>
      <c r="AB508" s="1660">
        <f t="shared" si="81"/>
        <v>219645000000</v>
      </c>
      <c r="AD508" s="2735"/>
    </row>
    <row r="509" spans="2:33" ht="27" customHeight="1" x14ac:dyDescent="0.45">
      <c r="B509" s="4125"/>
      <c r="C509" s="2750" t="s">
        <v>2062</v>
      </c>
      <c r="D509" s="2750" t="s">
        <v>2144</v>
      </c>
      <c r="E509" s="2705"/>
      <c r="F509" s="2732"/>
      <c r="G509" s="302"/>
      <c r="H509" s="302"/>
      <c r="I509" s="1659">
        <f t="shared" si="80"/>
        <v>0</v>
      </c>
      <c r="J509" s="2623"/>
      <c r="K509" s="2623"/>
      <c r="L509" s="266"/>
      <c r="M509" s="266"/>
      <c r="N509" s="266"/>
      <c r="O509" s="266">
        <v>145000000000</v>
      </c>
      <c r="P509" s="266"/>
      <c r="Q509" s="266"/>
      <c r="R509" s="351"/>
      <c r="S509" s="266"/>
      <c r="T509" s="302"/>
      <c r="U509" s="302"/>
      <c r="V509" s="266"/>
      <c r="W509" s="266"/>
      <c r="X509" s="266"/>
      <c r="Y509" s="266"/>
      <c r="Z509" s="266"/>
      <c r="AA509" s="266"/>
      <c r="AB509" s="1660">
        <f t="shared" si="81"/>
        <v>145000000000</v>
      </c>
      <c r="AD509" s="2735"/>
    </row>
    <row r="510" spans="2:33" ht="27" customHeight="1" x14ac:dyDescent="0.45">
      <c r="B510" s="4125"/>
      <c r="C510" s="2750" t="s">
        <v>2067</v>
      </c>
      <c r="D510" s="2750" t="s">
        <v>2045</v>
      </c>
      <c r="E510" s="2705"/>
      <c r="F510" s="2732"/>
      <c r="G510" s="302"/>
      <c r="H510" s="302"/>
      <c r="I510" s="1659">
        <f t="shared" si="80"/>
        <v>0</v>
      </c>
      <c r="J510" s="2623"/>
      <c r="K510" s="2623"/>
      <c r="L510" s="266"/>
      <c r="M510" s="266"/>
      <c r="N510" s="266"/>
      <c r="O510" s="266">
        <v>130747000000</v>
      </c>
      <c r="P510" s="266"/>
      <c r="Q510" s="266"/>
      <c r="R510" s="351"/>
      <c r="S510" s="266"/>
      <c r="T510" s="302"/>
      <c r="U510" s="302"/>
      <c r="V510" s="266"/>
      <c r="W510" s="266"/>
      <c r="X510" s="266"/>
      <c r="Y510" s="266"/>
      <c r="Z510" s="266"/>
      <c r="AA510" s="266"/>
      <c r="AB510" s="1660">
        <f t="shared" si="81"/>
        <v>130747000000</v>
      </c>
      <c r="AD510" s="2735"/>
    </row>
    <row r="511" spans="2:33" ht="22.15" customHeight="1" x14ac:dyDescent="0.45">
      <c r="B511" s="4150" t="s">
        <v>221</v>
      </c>
      <c r="C511" s="4151"/>
      <c r="D511" s="4152"/>
      <c r="E511" s="2623">
        <f>SUM(E494:E510)+2000000</f>
        <v>49992860680907</v>
      </c>
      <c r="F511" s="2623">
        <f t="shared" ref="F511:G511" si="82">SUM(F494:F510)+2000000</f>
        <v>137244313107</v>
      </c>
      <c r="G511" s="2623">
        <f t="shared" si="82"/>
        <v>10000258000000</v>
      </c>
      <c r="H511" s="2623">
        <f>SUM(H494:H510)</f>
        <v>0</v>
      </c>
      <c r="I511" s="2623">
        <f>SUM(I494:I510)+2000000</f>
        <v>49992860680907</v>
      </c>
      <c r="J511" s="2623">
        <f t="shared" ref="J511:AA511" si="83">SUM(J494:J510)</f>
        <v>271500000000</v>
      </c>
      <c r="K511" s="2623">
        <f t="shared" si="83"/>
        <v>560270000000</v>
      </c>
      <c r="L511" s="2623">
        <f t="shared" si="83"/>
        <v>0</v>
      </c>
      <c r="M511" s="2623">
        <f t="shared" si="83"/>
        <v>0</v>
      </c>
      <c r="N511" s="2623">
        <f t="shared" si="83"/>
        <v>1687668000000</v>
      </c>
      <c r="O511" s="2623">
        <f>SUM(O494:O510)</f>
        <v>15976214000000</v>
      </c>
      <c r="P511" s="2623">
        <f t="shared" si="83"/>
        <v>-1582060020</v>
      </c>
      <c r="Q511" s="2623">
        <f t="shared" si="83"/>
        <v>0</v>
      </c>
      <c r="R511" s="2623">
        <f t="shared" si="83"/>
        <v>0</v>
      </c>
      <c r="S511" s="2623">
        <f t="shared" si="83"/>
        <v>0</v>
      </c>
      <c r="T511" s="2623">
        <f t="shared" si="83"/>
        <v>-375455000000</v>
      </c>
      <c r="U511" s="2623">
        <f t="shared" si="83"/>
        <v>221580000000</v>
      </c>
      <c r="V511" s="2623">
        <f t="shared" si="83"/>
        <v>805234980000</v>
      </c>
      <c r="W511" s="2623">
        <f t="shared" si="83"/>
        <v>-198367000000</v>
      </c>
      <c r="X511" s="2623">
        <f t="shared" si="83"/>
        <v>0</v>
      </c>
      <c r="Y511" s="2623" t="e">
        <f t="shared" si="83"/>
        <v>#N/A</v>
      </c>
      <c r="Z511" s="2623" t="e">
        <f t="shared" si="83"/>
        <v>#N/A</v>
      </c>
      <c r="AA511" s="2623">
        <f t="shared" si="83"/>
        <v>0</v>
      </c>
      <c r="AB511" s="2623">
        <f>SUM(AB494:AB510)+2000000</f>
        <v>68108153600887</v>
      </c>
      <c r="AD511" s="2735"/>
      <c r="AE511" s="2603">
        <f>N511+U511+V511</f>
        <v>2714482980000</v>
      </c>
      <c r="AG511" s="2603">
        <f>E511+N511+O511+P511+T511+U511+V511+W511</f>
        <v>68108153600887</v>
      </c>
    </row>
    <row r="512" spans="2:33" ht="21.6" customHeight="1" x14ac:dyDescent="0.2">
      <c r="B512" s="4142" t="s">
        <v>190</v>
      </c>
      <c r="C512" s="1691">
        <v>1307002010</v>
      </c>
      <c r="D512" s="2618" t="s">
        <v>203</v>
      </c>
      <c r="E512" s="2623">
        <v>630000000000</v>
      </c>
      <c r="F512" s="2623"/>
      <c r="G512" s="2623"/>
      <c r="H512" s="2623"/>
      <c r="I512" s="302">
        <f t="shared" ref="I512:I522" si="84">E512+H512</f>
        <v>630000000000</v>
      </c>
      <c r="J512" s="602"/>
      <c r="K512" s="263"/>
      <c r="L512" s="2623"/>
      <c r="M512" s="2623"/>
      <c r="N512" s="2623"/>
      <c r="O512" s="2623"/>
      <c r="P512" s="2623"/>
      <c r="Q512" s="2623"/>
      <c r="R512" s="2623"/>
      <c r="S512" s="2623"/>
      <c r="T512" s="2623"/>
      <c r="U512" s="2623"/>
      <c r="V512" s="2623"/>
      <c r="W512" s="2623"/>
      <c r="X512" s="2623"/>
      <c r="Y512" s="2623"/>
      <c r="Z512" s="2623"/>
      <c r="AA512" s="2623"/>
      <c r="AB512" s="2623">
        <f>P512+W512+S512+R512+Q512+N512+T512+E512+V512+U512+O512+H512</f>
        <v>630000000000</v>
      </c>
      <c r="AD512" s="2735"/>
      <c r="AE512" s="2603">
        <f>'يادداشت 15سایر درآمد ها و انتقا'!P31+'يادداشت 15سایر درآمد ها و انتقا'!S31+'يادداشت 15سایر درآمد ها و انتقا'!U31+'يادداشت 1-13وجوهدريافتي ازخزانه'!V54</f>
        <v>15976214000000</v>
      </c>
    </row>
    <row r="513" spans="2:33" ht="21.6" customHeight="1" x14ac:dyDescent="0.2">
      <c r="B513" s="4143"/>
      <c r="C513" s="2622">
        <v>1307002080</v>
      </c>
      <c r="D513" s="2618" t="s">
        <v>426</v>
      </c>
      <c r="E513" s="2623">
        <v>3311000000000</v>
      </c>
      <c r="F513" s="2623"/>
      <c r="G513" s="2623"/>
      <c r="H513" s="2623"/>
      <c r="I513" s="302">
        <f t="shared" si="84"/>
        <v>3311000000000</v>
      </c>
      <c r="J513" s="602">
        <v>1690984375000</v>
      </c>
      <c r="K513" s="263"/>
      <c r="L513" s="2623"/>
      <c r="M513" s="2623"/>
      <c r="N513" s="2623"/>
      <c r="O513" s="2623">
        <f>'يادداشت 15سایر درآمد ها و انتقا'!P34</f>
        <v>0</v>
      </c>
      <c r="P513" s="2623"/>
      <c r="Q513" s="2623"/>
      <c r="R513" s="2623"/>
      <c r="S513" s="2623"/>
      <c r="T513" s="2623"/>
      <c r="U513" s="2623"/>
      <c r="V513" s="2623"/>
      <c r="W513" s="2623"/>
      <c r="X513" s="2623"/>
      <c r="Y513" s="2623"/>
      <c r="Z513" s="2623"/>
      <c r="AA513" s="2623"/>
      <c r="AB513" s="2623">
        <f t="shared" ref="AB513:AB522" si="85">P513+W513+S513+R513+Q513+N513+T513+E513+V513+U513+O513+H513</f>
        <v>3311000000000</v>
      </c>
      <c r="AD513" s="2735"/>
      <c r="AE513" s="2603">
        <f>AE512-O511</f>
        <v>0</v>
      </c>
    </row>
    <row r="514" spans="2:33" ht="21.6" customHeight="1" x14ac:dyDescent="0.2">
      <c r="B514" s="4143"/>
      <c r="C514" s="2632" t="s">
        <v>610</v>
      </c>
      <c r="D514" s="2633" t="s">
        <v>596</v>
      </c>
      <c r="E514" s="2623">
        <v>40000000000</v>
      </c>
      <c r="F514" s="2705"/>
      <c r="G514" s="302"/>
      <c r="H514" s="302"/>
      <c r="I514" s="302">
        <f t="shared" si="84"/>
        <v>40000000000</v>
      </c>
      <c r="J514" s="266">
        <v>10000000000</v>
      </c>
      <c r="K514" s="266"/>
      <c r="L514" s="2643"/>
      <c r="M514" s="266"/>
      <c r="N514" s="266">
        <f>'يادداشت 15سایر درآمد ها و انتقا'!O33</f>
        <v>10000000000</v>
      </c>
      <c r="O514" s="266"/>
      <c r="P514" s="266"/>
      <c r="Q514" s="266"/>
      <c r="R514" s="351"/>
      <c r="S514" s="266"/>
      <c r="T514" s="302"/>
      <c r="U514" s="302"/>
      <c r="V514" s="266"/>
      <c r="W514" s="266"/>
      <c r="X514" s="266"/>
      <c r="Y514" s="266"/>
      <c r="Z514" s="266"/>
      <c r="AA514" s="266"/>
      <c r="AB514" s="2623">
        <f t="shared" si="85"/>
        <v>50000000000</v>
      </c>
      <c r="AD514" s="2735"/>
    </row>
    <row r="515" spans="2:33" ht="21.6" customHeight="1" x14ac:dyDescent="0.2">
      <c r="B515" s="4143"/>
      <c r="C515" s="328">
        <v>1503002173</v>
      </c>
      <c r="D515" s="2618" t="s">
        <v>85</v>
      </c>
      <c r="E515" s="2623">
        <v>100000268050</v>
      </c>
      <c r="F515" s="2767"/>
      <c r="G515" s="302"/>
      <c r="H515" s="302"/>
      <c r="I515" s="302">
        <f t="shared" si="84"/>
        <v>100000268050</v>
      </c>
      <c r="J515" s="302"/>
      <c r="K515" s="302"/>
      <c r="L515" s="277"/>
      <c r="M515" s="266"/>
      <c r="N515" s="2623"/>
      <c r="O515" s="2623"/>
      <c r="P515" s="266"/>
      <c r="Q515" s="266"/>
      <c r="R515" s="351"/>
      <c r="S515" s="266"/>
      <c r="T515" s="2623"/>
      <c r="U515" s="302"/>
      <c r="V515" s="266"/>
      <c r="W515" s="2768"/>
      <c r="X515" s="266"/>
      <c r="Y515" s="266"/>
      <c r="Z515" s="266"/>
      <c r="AA515" s="266"/>
      <c r="AB515" s="2623">
        <f t="shared" si="85"/>
        <v>100000268050</v>
      </c>
      <c r="AD515" s="2735"/>
    </row>
    <row r="516" spans="2:33" ht="21.6" customHeight="1" x14ac:dyDescent="0.2">
      <c r="B516" s="4143"/>
      <c r="C516" s="2632" t="s">
        <v>622</v>
      </c>
      <c r="D516" s="2633" t="s">
        <v>620</v>
      </c>
      <c r="E516" s="2623">
        <v>82220650000</v>
      </c>
      <c r="F516" s="2623"/>
      <c r="G516" s="2623"/>
      <c r="H516" s="2623"/>
      <c r="I516" s="302">
        <f t="shared" si="84"/>
        <v>82220650000</v>
      </c>
      <c r="J516" s="263"/>
      <c r="K516" s="263"/>
      <c r="L516" s="2623"/>
      <c r="M516" s="2623"/>
      <c r="N516" s="2623">
        <f>'يادداشت 14وجوه ساير (2)'!H21</f>
        <v>76264910293</v>
      </c>
      <c r="O516" s="2623"/>
      <c r="P516" s="2623"/>
      <c r="Q516" s="2623"/>
      <c r="R516" s="2623"/>
      <c r="S516" s="2623"/>
      <c r="T516" s="2623"/>
      <c r="U516" s="2623"/>
      <c r="V516" s="2623"/>
      <c r="W516" s="2623"/>
      <c r="X516" s="2623"/>
      <c r="Y516" s="2623"/>
      <c r="Z516" s="2623"/>
      <c r="AA516" s="2623"/>
      <c r="AB516" s="2623">
        <f t="shared" si="85"/>
        <v>158485560293</v>
      </c>
      <c r="AD516" s="2735"/>
      <c r="AG516" s="2603">
        <f>14862432255201+189684907036</f>
        <v>15052117162237</v>
      </c>
    </row>
    <row r="517" spans="2:33" ht="19.899999999999999" customHeight="1" x14ac:dyDescent="0.2">
      <c r="B517" s="4143"/>
      <c r="C517" s="2740" t="s">
        <v>292</v>
      </c>
      <c r="D517" s="2769" t="s">
        <v>1079</v>
      </c>
      <c r="E517" s="2623"/>
      <c r="F517" s="2623"/>
      <c r="G517" s="2623"/>
      <c r="H517" s="2623"/>
      <c r="I517" s="302">
        <f t="shared" si="84"/>
        <v>0</v>
      </c>
      <c r="J517" s="519">
        <v>49600000000</v>
      </c>
      <c r="K517" s="665"/>
      <c r="L517" s="2623"/>
      <c r="M517" s="2623"/>
      <c r="N517" s="2623"/>
      <c r="O517" s="2623"/>
      <c r="P517" s="2623"/>
      <c r="Q517" s="2623"/>
      <c r="R517" s="2623"/>
      <c r="S517" s="2623"/>
      <c r="T517" s="2623"/>
      <c r="U517" s="2623"/>
      <c r="V517" s="2623"/>
      <c r="W517" s="2623"/>
      <c r="X517" s="2623"/>
      <c r="Y517" s="2623"/>
      <c r="Z517" s="2623"/>
      <c r="AA517" s="2623"/>
      <c r="AB517" s="2623">
        <f t="shared" si="85"/>
        <v>0</v>
      </c>
      <c r="AD517" s="2735"/>
    </row>
    <row r="518" spans="2:33" ht="29.45" hidden="1" customHeight="1" x14ac:dyDescent="0.2">
      <c r="B518" s="4143"/>
      <c r="C518" s="328" t="s">
        <v>68</v>
      </c>
      <c r="D518" s="2618" t="s">
        <v>70</v>
      </c>
      <c r="E518" s="2623">
        <v>0</v>
      </c>
      <c r="F518" s="257">
        <f>SUM(F464:F469)</f>
        <v>137242313107</v>
      </c>
      <c r="G518" s="302"/>
      <c r="H518" s="302"/>
      <c r="I518" s="302">
        <f t="shared" si="84"/>
        <v>0</v>
      </c>
      <c r="J518" s="302"/>
      <c r="K518" s="302"/>
      <c r="L518" s="277"/>
      <c r="M518" s="266"/>
      <c r="N518" s="2623"/>
      <c r="O518" s="2623"/>
      <c r="P518" s="266"/>
      <c r="Q518" s="266"/>
      <c r="R518" s="351"/>
      <c r="S518" s="266"/>
      <c r="T518" s="2623"/>
      <c r="U518" s="302"/>
      <c r="V518" s="266"/>
      <c r="W518" s="2768"/>
      <c r="X518" s="266"/>
      <c r="Y518" s="266"/>
      <c r="Z518" s="266"/>
      <c r="AA518" s="266"/>
      <c r="AB518" s="2623">
        <f t="shared" si="85"/>
        <v>0</v>
      </c>
      <c r="AD518" s="2735"/>
    </row>
    <row r="519" spans="2:33" ht="29.45" hidden="1" customHeight="1" x14ac:dyDescent="0.2">
      <c r="B519" s="4143"/>
      <c r="C519" s="2622">
        <v>1307003025</v>
      </c>
      <c r="D519" s="2618" t="s">
        <v>425</v>
      </c>
      <c r="E519" s="2623">
        <v>0</v>
      </c>
      <c r="F519" s="2643"/>
      <c r="G519" s="302"/>
      <c r="H519" s="302"/>
      <c r="I519" s="302">
        <f t="shared" si="84"/>
        <v>0</v>
      </c>
      <c r="J519" s="302"/>
      <c r="K519" s="302"/>
      <c r="L519" s="2620"/>
      <c r="M519" s="266"/>
      <c r="N519" s="2623"/>
      <c r="O519" s="2623"/>
      <c r="P519" s="266"/>
      <c r="Q519" s="266"/>
      <c r="R519" s="351"/>
      <c r="S519" s="266"/>
      <c r="T519" s="2623"/>
      <c r="U519" s="302"/>
      <c r="V519" s="266"/>
      <c r="W519" s="2770"/>
      <c r="X519" s="266"/>
      <c r="Y519" s="266"/>
      <c r="Z519" s="266"/>
      <c r="AA519" s="266"/>
      <c r="AB519" s="2623">
        <f t="shared" si="85"/>
        <v>0</v>
      </c>
      <c r="AD519" s="2735"/>
    </row>
    <row r="520" spans="2:33" ht="29.45" hidden="1" customHeight="1" x14ac:dyDescent="0.4">
      <c r="B520" s="4143"/>
      <c r="C520" s="328">
        <v>1503002046</v>
      </c>
      <c r="D520" s="2618" t="s">
        <v>83</v>
      </c>
      <c r="E520" s="2623">
        <v>136733</v>
      </c>
      <c r="F520" s="2643"/>
      <c r="G520" s="302"/>
      <c r="H520" s="302"/>
      <c r="I520" s="302">
        <f t="shared" si="84"/>
        <v>136733</v>
      </c>
      <c r="J520" s="302"/>
      <c r="K520" s="302"/>
      <c r="L520" s="277"/>
      <c r="M520" s="266"/>
      <c r="N520" s="2623"/>
      <c r="O520" s="2623"/>
      <c r="P520" s="266"/>
      <c r="Q520" s="423"/>
      <c r="R520" s="351"/>
      <c r="S520" s="266"/>
      <c r="T520" s="2623"/>
      <c r="U520" s="302"/>
      <c r="V520" s="266"/>
      <c r="W520" s="2768"/>
      <c r="X520" s="266"/>
      <c r="Y520" s="266"/>
      <c r="Z520" s="266"/>
      <c r="AA520" s="266"/>
      <c r="AB520" s="2623">
        <f t="shared" si="85"/>
        <v>136733</v>
      </c>
      <c r="AD520" s="2735"/>
    </row>
    <row r="521" spans="2:33" ht="29.45" hidden="1" customHeight="1" x14ac:dyDescent="0.2">
      <c r="B521" s="4143"/>
      <c r="C521" s="328">
        <v>1503002096</v>
      </c>
      <c r="D521" s="2618" t="s">
        <v>84</v>
      </c>
      <c r="E521" s="2623">
        <v>0</v>
      </c>
      <c r="F521" s="2696"/>
      <c r="G521" s="302"/>
      <c r="H521" s="302"/>
      <c r="I521" s="302">
        <f t="shared" si="84"/>
        <v>0</v>
      </c>
      <c r="J521" s="302"/>
      <c r="K521" s="302"/>
      <c r="L521" s="277"/>
      <c r="M521" s="266"/>
      <c r="N521" s="2623"/>
      <c r="O521" s="2623"/>
      <c r="P521" s="266"/>
      <c r="Q521" s="266"/>
      <c r="R521" s="351"/>
      <c r="S521" s="266"/>
      <c r="T521" s="2623"/>
      <c r="U521" s="302"/>
      <c r="V521" s="266"/>
      <c r="W521" s="2768"/>
      <c r="X521" s="266"/>
      <c r="Y521" s="266"/>
      <c r="Z521" s="266"/>
      <c r="AA521" s="266"/>
      <c r="AB521" s="2623">
        <f t="shared" si="85"/>
        <v>0</v>
      </c>
      <c r="AD521" s="2735"/>
    </row>
    <row r="522" spans="2:33" ht="25.15" customHeight="1" x14ac:dyDescent="0.2">
      <c r="B522" s="4143"/>
      <c r="C522" s="2632" t="s">
        <v>637</v>
      </c>
      <c r="D522" s="2633" t="s">
        <v>613</v>
      </c>
      <c r="E522" s="2659">
        <v>6300000000</v>
      </c>
      <c r="F522" s="2735"/>
      <c r="G522" s="304"/>
      <c r="H522" s="304"/>
      <c r="I522" s="302">
        <f t="shared" si="84"/>
        <v>6300000000</v>
      </c>
      <c r="J522" s="305"/>
      <c r="K522" s="305"/>
      <c r="L522" s="2771"/>
      <c r="M522" s="305"/>
      <c r="N522" s="266"/>
      <c r="O522" s="305"/>
      <c r="P522" s="305"/>
      <c r="Q522" s="305"/>
      <c r="R522" s="414"/>
      <c r="S522" s="305"/>
      <c r="T522" s="302"/>
      <c r="U522" s="304"/>
      <c r="V522" s="305"/>
      <c r="W522" s="305"/>
      <c r="X522" s="305"/>
      <c r="Y522" s="305"/>
      <c r="Z522" s="305"/>
      <c r="AA522" s="305"/>
      <c r="AB522" s="2623">
        <f t="shared" si="85"/>
        <v>6300000000</v>
      </c>
      <c r="AD522" s="2735"/>
    </row>
    <row r="523" spans="2:33" ht="29.45" hidden="1" customHeight="1" x14ac:dyDescent="0.2">
      <c r="B523" s="4143"/>
      <c r="C523" s="328">
        <v>1503002067</v>
      </c>
      <c r="D523" s="2618" t="s">
        <v>86</v>
      </c>
      <c r="E523" s="2623">
        <v>0</v>
      </c>
      <c r="F523" s="2696"/>
      <c r="G523" s="302"/>
      <c r="H523" s="302"/>
      <c r="I523" s="302"/>
      <c r="J523" s="302"/>
      <c r="K523" s="302"/>
      <c r="L523" s="2620"/>
      <c r="M523" s="266"/>
      <c r="N523" s="2623">
        <f t="shared" ref="N523:N528" si="86">SUM(J523:M523)</f>
        <v>0</v>
      </c>
      <c r="O523" s="2623"/>
      <c r="P523" s="266"/>
      <c r="Q523" s="266"/>
      <c r="R523" s="351"/>
      <c r="S523" s="266"/>
      <c r="T523" s="302"/>
      <c r="U523" s="302"/>
      <c r="V523" s="266"/>
      <c r="W523" s="2768"/>
      <c r="X523" s="266"/>
      <c r="Y523" s="266"/>
      <c r="Z523" s="266"/>
      <c r="AA523" s="266"/>
      <c r="AB523" s="2623">
        <f t="shared" ref="AB523:AB528" si="87">P523+W523+S523+R523+Q523+N523+T523+E523</f>
        <v>0</v>
      </c>
      <c r="AD523" s="2735"/>
    </row>
    <row r="524" spans="2:33" ht="29.45" hidden="1" customHeight="1" x14ac:dyDescent="0.2">
      <c r="B524" s="4143"/>
      <c r="C524" s="328" t="s">
        <v>98</v>
      </c>
      <c r="D524" s="2618" t="s">
        <v>219</v>
      </c>
      <c r="E524" s="2623">
        <v>459567</v>
      </c>
      <c r="F524" s="2696"/>
      <c r="G524" s="302"/>
      <c r="H524" s="302"/>
      <c r="I524" s="302"/>
      <c r="J524" s="302"/>
      <c r="K524" s="302"/>
      <c r="L524" s="2620"/>
      <c r="M524" s="266"/>
      <c r="N524" s="2623">
        <f t="shared" si="86"/>
        <v>0</v>
      </c>
      <c r="O524" s="2623"/>
      <c r="P524" s="266"/>
      <c r="Q524" s="266"/>
      <c r="R524" s="351"/>
      <c r="S524" s="266"/>
      <c r="T524" s="302"/>
      <c r="U524" s="302"/>
      <c r="V524" s="266"/>
      <c r="W524" s="2768"/>
      <c r="X524" s="266"/>
      <c r="Y524" s="266"/>
      <c r="Z524" s="266"/>
      <c r="AA524" s="266"/>
      <c r="AB524" s="2623">
        <f t="shared" si="87"/>
        <v>459567</v>
      </c>
      <c r="AD524" s="2735"/>
    </row>
    <row r="525" spans="2:33" ht="29.45" hidden="1" customHeight="1" x14ac:dyDescent="0.2">
      <c r="B525" s="4143"/>
      <c r="C525" s="328" t="s">
        <v>206</v>
      </c>
      <c r="D525" s="2618" t="s">
        <v>207</v>
      </c>
      <c r="E525" s="2623">
        <v>99394</v>
      </c>
      <c r="F525" s="2696"/>
      <c r="G525" s="302"/>
      <c r="H525" s="302"/>
      <c r="I525" s="302"/>
      <c r="J525" s="302"/>
      <c r="K525" s="302"/>
      <c r="L525" s="277"/>
      <c r="M525" s="266"/>
      <c r="N525" s="2623">
        <f t="shared" si="86"/>
        <v>0</v>
      </c>
      <c r="O525" s="2623"/>
      <c r="P525" s="266"/>
      <c r="Q525" s="266"/>
      <c r="R525" s="351"/>
      <c r="S525" s="266"/>
      <c r="T525" s="302"/>
      <c r="U525" s="302"/>
      <c r="V525" s="266"/>
      <c r="W525" s="2768"/>
      <c r="X525" s="266"/>
      <c r="Y525" s="266"/>
      <c r="Z525" s="266"/>
      <c r="AA525" s="266"/>
      <c r="AB525" s="2623">
        <f t="shared" si="87"/>
        <v>99394</v>
      </c>
      <c r="AD525" s="2735"/>
    </row>
    <row r="526" spans="2:33" ht="29.45" hidden="1" customHeight="1" x14ac:dyDescent="0.2">
      <c r="B526" s="4143"/>
      <c r="C526" s="328" t="s">
        <v>104</v>
      </c>
      <c r="D526" s="2618" t="s">
        <v>198</v>
      </c>
      <c r="E526" s="2623">
        <v>0</v>
      </c>
      <c r="F526" s="2696"/>
      <c r="G526" s="302"/>
      <c r="H526" s="302"/>
      <c r="I526" s="302"/>
      <c r="J526" s="302"/>
      <c r="K526" s="302"/>
      <c r="L526" s="2620"/>
      <c r="M526" s="266"/>
      <c r="N526" s="2623">
        <f t="shared" si="86"/>
        <v>0</v>
      </c>
      <c r="O526" s="2623"/>
      <c r="P526" s="266"/>
      <c r="Q526" s="266"/>
      <c r="R526" s="351"/>
      <c r="S526" s="266"/>
      <c r="T526" s="302"/>
      <c r="U526" s="302"/>
      <c r="V526" s="266"/>
      <c r="W526" s="287"/>
      <c r="X526" s="266"/>
      <c r="Y526" s="266"/>
      <c r="Z526" s="266"/>
      <c r="AA526" s="266"/>
      <c r="AB526" s="2623">
        <f t="shared" si="87"/>
        <v>0</v>
      </c>
      <c r="AD526" s="2735"/>
    </row>
    <row r="527" spans="2:33" ht="29.45" hidden="1" customHeight="1" x14ac:dyDescent="0.2">
      <c r="B527" s="4143"/>
      <c r="C527" s="328" t="s">
        <v>105</v>
      </c>
      <c r="D527" s="2618" t="s">
        <v>106</v>
      </c>
      <c r="E527" s="2623">
        <v>0</v>
      </c>
      <c r="F527" s="2696"/>
      <c r="G527" s="302"/>
      <c r="H527" s="302"/>
      <c r="I527" s="302"/>
      <c r="J527" s="302"/>
      <c r="K527" s="302"/>
      <c r="L527" s="2620"/>
      <c r="M527" s="266"/>
      <c r="N527" s="2623">
        <f t="shared" si="86"/>
        <v>0</v>
      </c>
      <c r="O527" s="2623"/>
      <c r="P527" s="266"/>
      <c r="Q527" s="266"/>
      <c r="R527" s="351"/>
      <c r="S527" s="266"/>
      <c r="T527" s="302"/>
      <c r="U527" s="302"/>
      <c r="V527" s="266"/>
      <c r="W527" s="2768"/>
      <c r="X527" s="266"/>
      <c r="Y527" s="266"/>
      <c r="Z527" s="266"/>
      <c r="AA527" s="266"/>
      <c r="AB527" s="2623">
        <f t="shared" si="87"/>
        <v>0</v>
      </c>
      <c r="AD527" s="2735"/>
    </row>
    <row r="528" spans="2:33" ht="29.45" hidden="1" customHeight="1" x14ac:dyDescent="0.2">
      <c r="B528" s="4144"/>
      <c r="C528" s="2622" t="s">
        <v>182</v>
      </c>
      <c r="D528" s="2618" t="s">
        <v>335</v>
      </c>
      <c r="E528" s="2623">
        <v>328594</v>
      </c>
      <c r="F528" s="2705"/>
      <c r="G528" s="302"/>
      <c r="H528" s="302"/>
      <c r="I528" s="302"/>
      <c r="J528" s="302"/>
      <c r="K528" s="302"/>
      <c r="L528" s="277"/>
      <c r="M528" s="266"/>
      <c r="N528" s="2623">
        <f t="shared" si="86"/>
        <v>0</v>
      </c>
      <c r="O528" s="2623"/>
      <c r="P528" s="266"/>
      <c r="Q528" s="266"/>
      <c r="R528" s="351"/>
      <c r="S528" s="266"/>
      <c r="T528" s="302"/>
      <c r="U528" s="302"/>
      <c r="V528" s="266"/>
      <c r="W528" s="277"/>
      <c r="X528" s="266"/>
      <c r="Y528" s="266"/>
      <c r="Z528" s="266"/>
      <c r="AA528" s="266"/>
      <c r="AB528" s="2623">
        <f t="shared" si="87"/>
        <v>328594</v>
      </c>
      <c r="AD528" s="2735"/>
    </row>
    <row r="529" spans="2:30" ht="21.6" customHeight="1" x14ac:dyDescent="0.2">
      <c r="B529" s="4112" t="s">
        <v>994</v>
      </c>
      <c r="C529" s="4112"/>
      <c r="D529" s="4112"/>
      <c r="E529" s="2623">
        <f t="shared" ref="E529:Z529" si="88">SUM(E512:E528)</f>
        <v>4169521942338</v>
      </c>
      <c r="F529" s="2623">
        <f t="shared" si="88"/>
        <v>137242313107</v>
      </c>
      <c r="G529" s="2623">
        <f t="shared" si="88"/>
        <v>0</v>
      </c>
      <c r="H529" s="2623">
        <f t="shared" si="88"/>
        <v>0</v>
      </c>
      <c r="I529" s="2623">
        <f t="shared" si="88"/>
        <v>4169521054783</v>
      </c>
      <c r="J529" s="2623">
        <f t="shared" si="88"/>
        <v>1750584375000</v>
      </c>
      <c r="K529" s="2623">
        <f t="shared" si="88"/>
        <v>0</v>
      </c>
      <c r="L529" s="2623">
        <f t="shared" si="88"/>
        <v>0</v>
      </c>
      <c r="M529" s="2623">
        <f t="shared" si="88"/>
        <v>0</v>
      </c>
      <c r="N529" s="2623">
        <f t="shared" si="88"/>
        <v>86264910293</v>
      </c>
      <c r="O529" s="2623">
        <f t="shared" si="88"/>
        <v>0</v>
      </c>
      <c r="P529" s="2623">
        <f t="shared" si="88"/>
        <v>0</v>
      </c>
      <c r="Q529" s="2623">
        <f t="shared" si="88"/>
        <v>0</v>
      </c>
      <c r="R529" s="2623">
        <f t="shared" si="88"/>
        <v>0</v>
      </c>
      <c r="S529" s="2623">
        <f t="shared" si="88"/>
        <v>0</v>
      </c>
      <c r="T529" s="2623">
        <f t="shared" si="88"/>
        <v>0</v>
      </c>
      <c r="U529" s="2623">
        <f t="shared" si="88"/>
        <v>0</v>
      </c>
      <c r="V529" s="2623">
        <f t="shared" si="88"/>
        <v>0</v>
      </c>
      <c r="W529" s="2623">
        <f t="shared" si="88"/>
        <v>0</v>
      </c>
      <c r="X529" s="2623">
        <f t="shared" si="88"/>
        <v>0</v>
      </c>
      <c r="Y529" s="2623">
        <f t="shared" si="88"/>
        <v>0</v>
      </c>
      <c r="Z529" s="2623">
        <f t="shared" si="88"/>
        <v>0</v>
      </c>
      <c r="AA529" s="2623"/>
      <c r="AB529" s="2623">
        <f>SUM(AB512:AB528)</f>
        <v>4255786852631</v>
      </c>
      <c r="AD529" s="2735"/>
    </row>
    <row r="530" spans="2:30" ht="15.6" customHeight="1" x14ac:dyDescent="0.2">
      <c r="B530" s="2653"/>
      <c r="C530" s="4107" t="s">
        <v>2283</v>
      </c>
      <c r="D530" s="4107"/>
      <c r="E530" s="4107"/>
      <c r="F530" s="4107"/>
      <c r="G530" s="4107"/>
      <c r="H530" s="4107"/>
      <c r="I530" s="4107"/>
      <c r="J530" s="4107"/>
      <c r="K530" s="4107"/>
      <c r="L530" s="4107"/>
      <c r="M530" s="4107"/>
      <c r="N530" s="4107"/>
      <c r="O530" s="4107"/>
      <c r="P530" s="4107"/>
      <c r="Q530" s="4107"/>
      <c r="R530" s="4107"/>
      <c r="S530" s="4107"/>
      <c r="T530" s="4107"/>
      <c r="U530" s="4107"/>
      <c r="V530" s="4107"/>
      <c r="W530" s="4107"/>
      <c r="X530" s="4107"/>
      <c r="Y530" s="4107"/>
      <c r="Z530" s="4107"/>
      <c r="AA530" s="4107"/>
      <c r="AB530" s="4107"/>
      <c r="AD530" s="2735"/>
    </row>
    <row r="531" spans="2:30" ht="22.9" customHeight="1" x14ac:dyDescent="0.2">
      <c r="B531" s="4108" t="s">
        <v>295</v>
      </c>
      <c r="C531" s="4108"/>
      <c r="D531" s="4108"/>
      <c r="E531" s="4108"/>
      <c r="F531" s="4108"/>
      <c r="G531" s="4108"/>
      <c r="H531" s="4108"/>
      <c r="I531" s="4108"/>
      <c r="J531" s="4108"/>
      <c r="K531" s="4108"/>
      <c r="L531" s="4108"/>
      <c r="M531" s="4108"/>
      <c r="N531" s="4108"/>
      <c r="O531" s="4108"/>
      <c r="P531" s="4108"/>
      <c r="Q531" s="4108"/>
      <c r="R531" s="4108"/>
      <c r="S531" s="4108"/>
      <c r="T531" s="4108"/>
      <c r="U531" s="4108"/>
      <c r="V531" s="4108"/>
      <c r="W531" s="4108"/>
      <c r="X531" s="4108"/>
      <c r="Y531" s="4108"/>
      <c r="Z531" s="4108"/>
      <c r="AA531" s="4108"/>
      <c r="AB531" s="4108"/>
      <c r="AD531" s="2735"/>
    </row>
    <row r="532" spans="2:30" ht="22.9" customHeight="1" x14ac:dyDescent="0.2">
      <c r="B532" s="4108" t="s">
        <v>45</v>
      </c>
      <c r="C532" s="4108"/>
      <c r="D532" s="4108"/>
      <c r="E532" s="4108"/>
      <c r="F532" s="4108"/>
      <c r="G532" s="4108"/>
      <c r="H532" s="4108"/>
      <c r="I532" s="4108"/>
      <c r="J532" s="4108"/>
      <c r="K532" s="4108"/>
      <c r="L532" s="4108"/>
      <c r="M532" s="4108"/>
      <c r="N532" s="4108"/>
      <c r="O532" s="4108"/>
      <c r="P532" s="4108"/>
      <c r="Q532" s="4108"/>
      <c r="R532" s="4108"/>
      <c r="S532" s="4108"/>
      <c r="T532" s="4108"/>
      <c r="U532" s="4108"/>
      <c r="V532" s="4108"/>
      <c r="W532" s="4108"/>
      <c r="X532" s="4108"/>
      <c r="Y532" s="4108"/>
      <c r="Z532" s="4108"/>
      <c r="AA532" s="4108"/>
      <c r="AB532" s="4108"/>
      <c r="AD532" s="2735"/>
    </row>
    <row r="533" spans="2:30" ht="22.9" customHeight="1" x14ac:dyDescent="0.2">
      <c r="B533" s="4108" t="s">
        <v>46</v>
      </c>
      <c r="C533" s="4108"/>
      <c r="D533" s="4108"/>
      <c r="E533" s="4108"/>
      <c r="F533" s="4108"/>
      <c r="G533" s="4108"/>
      <c r="H533" s="4108"/>
      <c r="I533" s="4108"/>
      <c r="J533" s="4108"/>
      <c r="K533" s="4108"/>
      <c r="L533" s="4108"/>
      <c r="M533" s="4108"/>
      <c r="N533" s="4108"/>
      <c r="O533" s="4108"/>
      <c r="P533" s="4108"/>
      <c r="Q533" s="4108"/>
      <c r="R533" s="4108"/>
      <c r="S533" s="4108"/>
      <c r="T533" s="4108"/>
      <c r="U533" s="4108"/>
      <c r="V533" s="4108"/>
      <c r="W533" s="4108"/>
      <c r="X533" s="4108"/>
      <c r="Y533" s="4108"/>
      <c r="Z533" s="4108"/>
      <c r="AA533" s="4108"/>
      <c r="AB533" s="4108"/>
      <c r="AD533" s="2735"/>
    </row>
    <row r="534" spans="2:30" ht="22.9" customHeight="1" x14ac:dyDescent="0.2">
      <c r="B534" s="3294" t="s">
        <v>1981</v>
      </c>
      <c r="C534" s="3294"/>
      <c r="D534" s="3294"/>
      <c r="E534" s="3294"/>
      <c r="F534" s="3294"/>
      <c r="G534" s="3294"/>
      <c r="H534" s="3294"/>
      <c r="I534" s="3294"/>
      <c r="J534" s="3294"/>
      <c r="K534" s="3294"/>
      <c r="L534" s="3294"/>
      <c r="M534" s="3294"/>
      <c r="N534" s="3294"/>
      <c r="O534" s="3294"/>
      <c r="P534" s="3294"/>
      <c r="Q534" s="3294"/>
      <c r="R534" s="3294"/>
      <c r="S534" s="3294"/>
      <c r="T534" s="3294"/>
      <c r="U534" s="3294"/>
      <c r="V534" s="3294"/>
      <c r="W534" s="3294"/>
      <c r="X534" s="3294"/>
      <c r="Y534" s="3294"/>
      <c r="Z534" s="3294"/>
      <c r="AA534" s="3294"/>
      <c r="AB534" s="3294"/>
      <c r="AD534" s="2735"/>
    </row>
    <row r="535" spans="2:30" ht="14.25" customHeight="1" x14ac:dyDescent="0.2">
      <c r="B535" s="1722"/>
      <c r="C535" s="1722"/>
      <c r="D535" s="1722"/>
      <c r="E535" s="1722"/>
      <c r="F535" s="1722"/>
      <c r="G535" s="1722"/>
      <c r="H535" s="1722"/>
      <c r="I535" s="1722"/>
      <c r="J535" s="1722"/>
      <c r="K535" s="1722"/>
      <c r="L535" s="1722"/>
      <c r="M535" s="1722"/>
      <c r="N535" s="1722"/>
      <c r="O535" s="1722"/>
      <c r="P535" s="1722"/>
      <c r="Q535" s="1722"/>
      <c r="R535" s="1722"/>
      <c r="S535" s="1722"/>
      <c r="T535" s="1722"/>
      <c r="U535" s="1722"/>
      <c r="V535" s="1722"/>
      <c r="W535" s="1722"/>
      <c r="X535" s="1722"/>
      <c r="Y535" s="1722"/>
      <c r="Z535" s="1722"/>
      <c r="AA535" s="1722"/>
      <c r="AB535" s="1722"/>
      <c r="AD535" s="2735"/>
    </row>
    <row r="536" spans="2:30" ht="14.25" customHeight="1" x14ac:dyDescent="0.2">
      <c r="B536" s="1722"/>
      <c r="C536" s="1722"/>
      <c r="D536" s="1722"/>
      <c r="E536" s="1722"/>
      <c r="F536" s="1722"/>
      <c r="G536" s="1722"/>
      <c r="H536" s="1722"/>
      <c r="I536" s="1722"/>
      <c r="J536" s="1722"/>
      <c r="K536" s="1722"/>
      <c r="L536" s="1722"/>
      <c r="M536" s="1722"/>
      <c r="N536" s="1722"/>
      <c r="O536" s="1722"/>
      <c r="P536" s="1722"/>
      <c r="Q536" s="1722"/>
      <c r="R536" s="1722"/>
      <c r="S536" s="1722"/>
      <c r="T536" s="1722"/>
      <c r="U536" s="1722"/>
      <c r="V536" s="1722"/>
      <c r="W536" s="1722"/>
      <c r="X536" s="1722"/>
      <c r="Y536" s="1722"/>
      <c r="Z536" s="1722"/>
      <c r="AA536" s="1722"/>
      <c r="AB536" s="1722"/>
      <c r="AD536" s="2735"/>
    </row>
    <row r="537" spans="2:30" ht="39" customHeight="1" x14ac:dyDescent="0.2">
      <c r="B537" s="4110" t="s">
        <v>1848</v>
      </c>
      <c r="C537" s="4110"/>
      <c r="D537" s="4110"/>
      <c r="E537" s="2656"/>
      <c r="F537" s="2657"/>
      <c r="G537" s="2658"/>
      <c r="H537" s="2658"/>
      <c r="I537" s="2658"/>
      <c r="J537" s="2658"/>
      <c r="K537" s="2658"/>
      <c r="L537" s="2658"/>
      <c r="M537" s="2658"/>
      <c r="N537" s="2658"/>
      <c r="O537" s="2658"/>
      <c r="P537" s="2658"/>
      <c r="Q537" s="2658"/>
      <c r="R537" s="2658"/>
      <c r="S537" s="2658"/>
      <c r="T537" s="2658"/>
      <c r="U537" s="2658"/>
      <c r="V537" s="2658"/>
      <c r="W537" s="2658"/>
      <c r="X537" s="104"/>
      <c r="Y537" s="104"/>
      <c r="Z537" s="104"/>
      <c r="AA537" s="104"/>
      <c r="AB537" s="2608" t="s">
        <v>194</v>
      </c>
      <c r="AD537" s="2735"/>
    </row>
    <row r="538" spans="2:30" ht="21.6" customHeight="1" x14ac:dyDescent="0.2">
      <c r="B538" s="4112" t="s">
        <v>419</v>
      </c>
      <c r="C538" s="4117" t="s">
        <v>196</v>
      </c>
      <c r="D538" s="4124" t="s">
        <v>197</v>
      </c>
      <c r="E538" s="4111" t="s">
        <v>1400</v>
      </c>
      <c r="F538" s="2609"/>
      <c r="G538" s="4111" t="s">
        <v>921</v>
      </c>
      <c r="H538" s="4118" t="s">
        <v>1116</v>
      </c>
      <c r="I538" s="4118" t="s">
        <v>1271</v>
      </c>
      <c r="J538" s="4135" t="s">
        <v>1272</v>
      </c>
      <c r="K538" s="4136"/>
      <c r="L538" s="4136"/>
      <c r="M538" s="4136"/>
      <c r="N538" s="4136"/>
      <c r="O538" s="4137"/>
      <c r="P538" s="4113" t="s">
        <v>423</v>
      </c>
      <c r="Q538" s="4115" t="s">
        <v>827</v>
      </c>
      <c r="R538" s="4115" t="s">
        <v>888</v>
      </c>
      <c r="S538" s="4115"/>
      <c r="T538" s="4114" t="s">
        <v>2015</v>
      </c>
      <c r="U538" s="4121" t="s">
        <v>1274</v>
      </c>
      <c r="V538" s="4121" t="s">
        <v>2016</v>
      </c>
      <c r="W538" s="4116" t="s">
        <v>1033</v>
      </c>
      <c r="X538" s="2610"/>
      <c r="Y538" s="4127" t="s">
        <v>296</v>
      </c>
      <c r="Z538" s="4127" t="s">
        <v>190</v>
      </c>
      <c r="AA538" s="4129" t="s">
        <v>313</v>
      </c>
      <c r="AB538" s="4111" t="s">
        <v>2013</v>
      </c>
      <c r="AD538" s="2735"/>
    </row>
    <row r="539" spans="2:30" ht="19.149999999999999" customHeight="1" x14ac:dyDescent="0.2">
      <c r="B539" s="4112"/>
      <c r="C539" s="4117"/>
      <c r="D539" s="4124"/>
      <c r="E539" s="4111"/>
      <c r="F539" s="2609"/>
      <c r="G539" s="4111"/>
      <c r="H539" s="4119"/>
      <c r="I539" s="4119"/>
      <c r="J539" s="4138"/>
      <c r="K539" s="4139"/>
      <c r="L539" s="4139"/>
      <c r="M539" s="4139"/>
      <c r="N539" s="4139"/>
      <c r="O539" s="4140"/>
      <c r="P539" s="4113"/>
      <c r="Q539" s="4115"/>
      <c r="R539" s="4109" t="s">
        <v>889</v>
      </c>
      <c r="S539" s="4109" t="s">
        <v>890</v>
      </c>
      <c r="T539" s="4114"/>
      <c r="U539" s="4122"/>
      <c r="V539" s="4122"/>
      <c r="W539" s="4116"/>
      <c r="X539" s="2611"/>
      <c r="Y539" s="4127"/>
      <c r="Z539" s="4127"/>
      <c r="AA539" s="4130"/>
      <c r="AB539" s="4111"/>
      <c r="AD539" s="2735"/>
    </row>
    <row r="540" spans="2:30" ht="79.150000000000006" customHeight="1" x14ac:dyDescent="0.2">
      <c r="B540" s="4112"/>
      <c r="C540" s="4117"/>
      <c r="D540" s="4124"/>
      <c r="E540" s="4111"/>
      <c r="F540" s="2612" t="s">
        <v>421</v>
      </c>
      <c r="G540" s="2613" t="s">
        <v>27</v>
      </c>
      <c r="H540" s="4120"/>
      <c r="I540" s="4120"/>
      <c r="J540" s="2614" t="s">
        <v>1273</v>
      </c>
      <c r="K540" s="2614" t="s">
        <v>1292</v>
      </c>
      <c r="L540" s="2612" t="s">
        <v>999</v>
      </c>
      <c r="M540" s="2612" t="s">
        <v>422</v>
      </c>
      <c r="N540" s="2612" t="s">
        <v>2014</v>
      </c>
      <c r="O540" s="2615" t="s">
        <v>1794</v>
      </c>
      <c r="P540" s="4113"/>
      <c r="Q540" s="4115"/>
      <c r="R540" s="4109"/>
      <c r="S540" s="4109"/>
      <c r="T540" s="4114"/>
      <c r="U540" s="4123"/>
      <c r="V540" s="4123"/>
      <c r="W540" s="4116"/>
      <c r="X540" s="373" t="s">
        <v>62</v>
      </c>
      <c r="Y540" s="4127"/>
      <c r="Z540" s="4127"/>
      <c r="AA540" s="4131"/>
      <c r="AB540" s="4111"/>
      <c r="AD540" s="2735"/>
    </row>
    <row r="541" spans="2:30" ht="19.149999999999999" customHeight="1" x14ac:dyDescent="0.2">
      <c r="B541" s="4112" t="s">
        <v>995</v>
      </c>
      <c r="C541" s="4112"/>
      <c r="D541" s="4112"/>
      <c r="E541" s="2691">
        <f>E529</f>
        <v>4169521942338</v>
      </c>
      <c r="F541" s="2691">
        <f t="shared" ref="F541:AB541" si="89">F529</f>
        <v>137242313107</v>
      </c>
      <c r="G541" s="2691">
        <f t="shared" si="89"/>
        <v>0</v>
      </c>
      <c r="H541" s="2691">
        <f t="shared" si="89"/>
        <v>0</v>
      </c>
      <c r="I541" s="2691">
        <f t="shared" si="89"/>
        <v>4169521054783</v>
      </c>
      <c r="J541" s="2691">
        <f t="shared" si="89"/>
        <v>1750584375000</v>
      </c>
      <c r="K541" s="2691">
        <f t="shared" si="89"/>
        <v>0</v>
      </c>
      <c r="L541" s="2691">
        <f t="shared" si="89"/>
        <v>0</v>
      </c>
      <c r="M541" s="2691">
        <f t="shared" si="89"/>
        <v>0</v>
      </c>
      <c r="N541" s="2691">
        <f t="shared" si="89"/>
        <v>86264910293</v>
      </c>
      <c r="O541" s="2691">
        <f t="shared" si="89"/>
        <v>0</v>
      </c>
      <c r="P541" s="2691">
        <f t="shared" si="89"/>
        <v>0</v>
      </c>
      <c r="Q541" s="2691">
        <f t="shared" si="89"/>
        <v>0</v>
      </c>
      <c r="R541" s="2691">
        <f t="shared" si="89"/>
        <v>0</v>
      </c>
      <c r="S541" s="2691">
        <f t="shared" si="89"/>
        <v>0</v>
      </c>
      <c r="T541" s="2691">
        <f t="shared" si="89"/>
        <v>0</v>
      </c>
      <c r="U541" s="2691">
        <f t="shared" si="89"/>
        <v>0</v>
      </c>
      <c r="V541" s="2691">
        <f t="shared" si="89"/>
        <v>0</v>
      </c>
      <c r="W541" s="2691">
        <f t="shared" si="89"/>
        <v>0</v>
      </c>
      <c r="X541" s="2691">
        <f t="shared" si="89"/>
        <v>0</v>
      </c>
      <c r="Y541" s="2691">
        <f t="shared" si="89"/>
        <v>0</v>
      </c>
      <c r="Z541" s="2691">
        <f t="shared" si="89"/>
        <v>0</v>
      </c>
      <c r="AA541" s="2691">
        <f t="shared" si="89"/>
        <v>0</v>
      </c>
      <c r="AB541" s="2691">
        <f t="shared" si="89"/>
        <v>4255786852631</v>
      </c>
      <c r="AD541" s="2735"/>
    </row>
    <row r="542" spans="2:30" ht="26.45" hidden="1" customHeight="1" x14ac:dyDescent="0.2">
      <c r="B542" s="4125" t="s">
        <v>190</v>
      </c>
      <c r="C542" s="2622" t="s">
        <v>81</v>
      </c>
      <c r="D542" s="2618" t="s">
        <v>82</v>
      </c>
      <c r="E542" s="2681">
        <v>0</v>
      </c>
      <c r="F542" s="2735"/>
      <c r="G542" s="302"/>
      <c r="H542" s="302"/>
      <c r="I542" s="302"/>
      <c r="J542" s="302"/>
      <c r="K542" s="302"/>
      <c r="L542" s="277"/>
      <c r="M542" s="266"/>
      <c r="N542" s="266">
        <f>SUM(J542:M542)</f>
        <v>0</v>
      </c>
      <c r="O542" s="266"/>
      <c r="P542" s="266"/>
      <c r="Q542" s="266"/>
      <c r="R542" s="351"/>
      <c r="S542" s="266"/>
      <c r="T542" s="302"/>
      <c r="U542" s="302"/>
      <c r="V542" s="266"/>
      <c r="W542" s="277"/>
      <c r="X542" s="266"/>
      <c r="Y542" s="266"/>
      <c r="Z542" s="266"/>
      <c r="AA542" s="266"/>
      <c r="AB542" s="266">
        <f>P542+W542+S542+R542+Q542+N542+T542+E542</f>
        <v>0</v>
      </c>
      <c r="AD542" s="2735"/>
    </row>
    <row r="543" spans="2:30" ht="26.45" hidden="1" customHeight="1" x14ac:dyDescent="0.2">
      <c r="B543" s="4125"/>
      <c r="C543" s="2622" t="s">
        <v>125</v>
      </c>
      <c r="D543" s="2618" t="s">
        <v>371</v>
      </c>
      <c r="E543" s="2681">
        <v>0</v>
      </c>
      <c r="F543" s="2735"/>
      <c r="G543" s="302"/>
      <c r="H543" s="302"/>
      <c r="I543" s="302"/>
      <c r="J543" s="302"/>
      <c r="K543" s="302"/>
      <c r="L543" s="277"/>
      <c r="M543" s="266"/>
      <c r="N543" s="266">
        <f>SUM(J543:M543)</f>
        <v>0</v>
      </c>
      <c r="O543" s="266"/>
      <c r="P543" s="266"/>
      <c r="Q543" s="266"/>
      <c r="R543" s="351"/>
      <c r="S543" s="266"/>
      <c r="T543" s="302"/>
      <c r="U543" s="302"/>
      <c r="V543" s="266"/>
      <c r="W543" s="277"/>
      <c r="X543" s="266"/>
      <c r="Y543" s="266"/>
      <c r="Z543" s="266"/>
      <c r="AA543" s="266"/>
      <c r="AB543" s="266">
        <f>P543+W543+S543+R543+Q543+N543+T543+E543</f>
        <v>0</v>
      </c>
      <c r="AD543" s="2735"/>
    </row>
    <row r="544" spans="2:30" ht="26.45" customHeight="1" x14ac:dyDescent="0.2">
      <c r="B544" s="4125"/>
      <c r="C544" s="2622" t="s">
        <v>548</v>
      </c>
      <c r="D544" s="2633" t="s">
        <v>547</v>
      </c>
      <c r="E544" s="2681">
        <v>280766058767</v>
      </c>
      <c r="F544" s="2735"/>
      <c r="G544" s="302"/>
      <c r="H544" s="302"/>
      <c r="I544" s="302">
        <f>E544+H544</f>
        <v>280766058767</v>
      </c>
      <c r="J544" s="2772">
        <v>110994211531</v>
      </c>
      <c r="K544" s="2772"/>
      <c r="L544" s="277"/>
      <c r="M544" s="266"/>
      <c r="N544" s="266">
        <f>'يادداشت 14وجوه ساير (2)'!H16</f>
        <v>41033000000</v>
      </c>
      <c r="O544" s="266"/>
      <c r="P544" s="266"/>
      <c r="Q544" s="266"/>
      <c r="R544" s="351"/>
      <c r="S544" s="266"/>
      <c r="T544" s="302"/>
      <c r="U544" s="302"/>
      <c r="V544" s="266"/>
      <c r="W544" s="277"/>
      <c r="X544" s="266"/>
      <c r="Y544" s="266"/>
      <c r="Z544" s="266"/>
      <c r="AA544" s="266"/>
      <c r="AB544" s="266">
        <f>P544+W544+S544+R544+Q544+N544+T544+E544+V544+U544+O544+H544+M544</f>
        <v>321799058767</v>
      </c>
      <c r="AD544" s="2735"/>
    </row>
    <row r="545" spans="2:38" ht="20.45" customHeight="1" x14ac:dyDescent="0.2">
      <c r="B545" s="4125"/>
      <c r="C545" s="328" t="s">
        <v>540</v>
      </c>
      <c r="D545" s="2618" t="s">
        <v>541</v>
      </c>
      <c r="E545" s="2681">
        <v>40000000000</v>
      </c>
      <c r="F545" s="2735"/>
      <c r="G545" s="302"/>
      <c r="H545" s="302"/>
      <c r="I545" s="302">
        <f t="shared" ref="I545:I563" si="90">E545+H545</f>
        <v>40000000000</v>
      </c>
      <c r="J545" s="302"/>
      <c r="K545" s="302"/>
      <c r="L545" s="277"/>
      <c r="M545" s="266"/>
      <c r="N545" s="266"/>
      <c r="O545" s="266"/>
      <c r="P545" s="266"/>
      <c r="Q545" s="266"/>
      <c r="R545" s="351"/>
      <c r="S545" s="266"/>
      <c r="T545" s="302"/>
      <c r="U545" s="302"/>
      <c r="V545" s="266"/>
      <c r="W545" s="277"/>
      <c r="X545" s="266"/>
      <c r="Y545" s="266"/>
      <c r="Z545" s="266"/>
      <c r="AA545" s="266"/>
      <c r="AB545" s="266">
        <f t="shared" ref="AB545:AB563" si="91">P545+W545+S545+R545+Q545+N545+T545+E545+V545+U545+O545+H545+M545</f>
        <v>40000000000</v>
      </c>
      <c r="AD545" s="2735"/>
    </row>
    <row r="546" spans="2:38" ht="26.45" hidden="1" customHeight="1" x14ac:dyDescent="0.2">
      <c r="B546" s="4125"/>
      <c r="C546" s="2622" t="s">
        <v>542</v>
      </c>
      <c r="D546" s="2618" t="s">
        <v>335</v>
      </c>
      <c r="E546" s="2681">
        <v>0</v>
      </c>
      <c r="F546" s="2735"/>
      <c r="G546" s="302"/>
      <c r="H546" s="302"/>
      <c r="I546" s="302">
        <f t="shared" si="90"/>
        <v>0</v>
      </c>
      <c r="J546" s="302"/>
      <c r="K546" s="302"/>
      <c r="L546" s="277"/>
      <c r="M546" s="266"/>
      <c r="N546" s="266"/>
      <c r="O546" s="266"/>
      <c r="P546" s="266"/>
      <c r="Q546" s="266"/>
      <c r="R546" s="351"/>
      <c r="S546" s="266"/>
      <c r="T546" s="302"/>
      <c r="U546" s="302"/>
      <c r="V546" s="266"/>
      <c r="W546" s="277"/>
      <c r="X546" s="266"/>
      <c r="Y546" s="266"/>
      <c r="Z546" s="266"/>
      <c r="AA546" s="266"/>
      <c r="AB546" s="266">
        <f t="shared" si="91"/>
        <v>0</v>
      </c>
      <c r="AD546" s="2735"/>
    </row>
    <row r="547" spans="2:38" ht="26.45" hidden="1" customHeight="1" x14ac:dyDescent="0.2">
      <c r="B547" s="4125"/>
      <c r="C547" s="2622" t="s">
        <v>546</v>
      </c>
      <c r="D547" s="2618" t="s">
        <v>545</v>
      </c>
      <c r="E547" s="2681">
        <v>0</v>
      </c>
      <c r="F547" s="2735"/>
      <c r="G547" s="302"/>
      <c r="H547" s="302"/>
      <c r="I547" s="302">
        <f t="shared" si="90"/>
        <v>0</v>
      </c>
      <c r="J547" s="302"/>
      <c r="K547" s="302"/>
      <c r="L547" s="277"/>
      <c r="M547" s="266"/>
      <c r="N547" s="266"/>
      <c r="O547" s="266"/>
      <c r="P547" s="266"/>
      <c r="Q547" s="2643"/>
      <c r="R547" s="351"/>
      <c r="S547" s="266"/>
      <c r="T547" s="302"/>
      <c r="U547" s="302"/>
      <c r="V547" s="266"/>
      <c r="W547" s="277"/>
      <c r="X547" s="266"/>
      <c r="Y547" s="266"/>
      <c r="Z547" s="266"/>
      <c r="AA547" s="266"/>
      <c r="AB547" s="266">
        <f t="shared" si="91"/>
        <v>0</v>
      </c>
      <c r="AD547" s="2735"/>
    </row>
    <row r="548" spans="2:38" ht="26.45" customHeight="1" x14ac:dyDescent="0.2">
      <c r="B548" s="4125"/>
      <c r="C548" s="2632" t="s">
        <v>609</v>
      </c>
      <c r="D548" s="2633" t="s">
        <v>607</v>
      </c>
      <c r="E548" s="2681">
        <v>29025000000</v>
      </c>
      <c r="F548" s="2735"/>
      <c r="G548" s="302"/>
      <c r="H548" s="302"/>
      <c r="I548" s="302">
        <f t="shared" si="90"/>
        <v>29025000000</v>
      </c>
      <c r="J548" s="277"/>
      <c r="K548" s="277"/>
      <c r="L548" s="2643"/>
      <c r="M548" s="266"/>
      <c r="N548" s="266">
        <f>'يادداشت 14وجوه ساير (2)'!H20</f>
        <v>28701500000</v>
      </c>
      <c r="O548" s="266"/>
      <c r="P548" s="2643"/>
      <c r="Q548" s="266"/>
      <c r="R548" s="351"/>
      <c r="S548" s="266"/>
      <c r="T548" s="302"/>
      <c r="U548" s="302"/>
      <c r="V548" s="266"/>
      <c r="W548" s="277"/>
      <c r="X548" s="266"/>
      <c r="Y548" s="266"/>
      <c r="Z548" s="266"/>
      <c r="AA548" s="266"/>
      <c r="AB548" s="266">
        <f t="shared" si="91"/>
        <v>57726500000</v>
      </c>
      <c r="AD548" s="2735"/>
    </row>
    <row r="549" spans="2:38" ht="26.45" customHeight="1" x14ac:dyDescent="0.2">
      <c r="B549" s="4125"/>
      <c r="C549" s="2632" t="s">
        <v>634</v>
      </c>
      <c r="D549" s="2633" t="s">
        <v>598</v>
      </c>
      <c r="E549" s="2681">
        <v>392000000</v>
      </c>
      <c r="F549" s="2696"/>
      <c r="G549" s="302"/>
      <c r="H549" s="302"/>
      <c r="I549" s="302">
        <f t="shared" si="90"/>
        <v>392000000</v>
      </c>
      <c r="J549" s="277"/>
      <c r="K549" s="277"/>
      <c r="L549" s="2643"/>
      <c r="M549" s="266"/>
      <c r="N549" s="266"/>
      <c r="O549" s="266"/>
      <c r="P549" s="266"/>
      <c r="Q549" s="266"/>
      <c r="R549" s="351"/>
      <c r="S549" s="266"/>
      <c r="T549" s="302"/>
      <c r="U549" s="302"/>
      <c r="V549" s="266"/>
      <c r="W549" s="277"/>
      <c r="X549" s="266"/>
      <c r="Y549" s="266"/>
      <c r="Z549" s="266"/>
      <c r="AA549" s="266"/>
      <c r="AB549" s="266">
        <f t="shared" si="91"/>
        <v>392000000</v>
      </c>
      <c r="AD549" s="2735"/>
    </row>
    <row r="550" spans="2:38" ht="26.45" customHeight="1" x14ac:dyDescent="0.2">
      <c r="B550" s="4125"/>
      <c r="C550" s="2632" t="s">
        <v>628</v>
      </c>
      <c r="D550" s="2633" t="s">
        <v>604</v>
      </c>
      <c r="E550" s="2681">
        <v>1922000000</v>
      </c>
      <c r="F550" s="2773"/>
      <c r="G550" s="302"/>
      <c r="H550" s="302"/>
      <c r="I550" s="302">
        <f t="shared" si="90"/>
        <v>1922000000</v>
      </c>
      <c r="J550" s="277"/>
      <c r="K550" s="277"/>
      <c r="L550" s="2643"/>
      <c r="M550" s="266"/>
      <c r="N550" s="266"/>
      <c r="O550" s="266"/>
      <c r="P550" s="266"/>
      <c r="Q550" s="266"/>
      <c r="R550" s="351"/>
      <c r="S550" s="266"/>
      <c r="T550" s="302"/>
      <c r="U550" s="302"/>
      <c r="V550" s="266"/>
      <c r="W550" s="277"/>
      <c r="X550" s="266"/>
      <c r="Y550" s="266"/>
      <c r="Z550" s="266"/>
      <c r="AA550" s="266"/>
      <c r="AB550" s="266">
        <f t="shared" si="91"/>
        <v>1922000000</v>
      </c>
      <c r="AD550" s="2735"/>
    </row>
    <row r="551" spans="2:38" ht="26.45" customHeight="1" x14ac:dyDescent="0.2">
      <c r="B551" s="4125"/>
      <c r="C551" s="2632" t="s">
        <v>626</v>
      </c>
      <c r="D551" s="2633" t="s">
        <v>602</v>
      </c>
      <c r="E551" s="2681">
        <v>109006000000</v>
      </c>
      <c r="F551" s="2735"/>
      <c r="G551" s="302"/>
      <c r="H551" s="302"/>
      <c r="I551" s="302">
        <f t="shared" si="90"/>
        <v>109006000000</v>
      </c>
      <c r="J551" s="424"/>
      <c r="K551" s="665"/>
      <c r="L551" s="2774"/>
      <c r="M551" s="266"/>
      <c r="N551" s="266">
        <f>'يادداشت 14وجوه ساير (2)'!H19</f>
        <v>8294000000</v>
      </c>
      <c r="O551" s="266"/>
      <c r="P551" s="266"/>
      <c r="Q551" s="266"/>
      <c r="R551" s="351"/>
      <c r="S551" s="266"/>
      <c r="T551" s="302"/>
      <c r="U551" s="302"/>
      <c r="V551" s="266"/>
      <c r="W551" s="2643"/>
      <c r="X551" s="266"/>
      <c r="Y551" s="266"/>
      <c r="Z551" s="266"/>
      <c r="AA551" s="266"/>
      <c r="AB551" s="266">
        <f t="shared" si="91"/>
        <v>117300000000</v>
      </c>
      <c r="AD551" s="2735"/>
    </row>
    <row r="552" spans="2:38" ht="26.45" hidden="1" customHeight="1" x14ac:dyDescent="0.2">
      <c r="B552" s="4125"/>
      <c r="C552" s="2632"/>
      <c r="D552" s="2633"/>
      <c r="E552" s="2681"/>
      <c r="F552" s="2735"/>
      <c r="G552" s="302"/>
      <c r="H552" s="302"/>
      <c r="I552" s="302">
        <f t="shared" si="90"/>
        <v>0</v>
      </c>
      <c r="J552" s="277"/>
      <c r="K552" s="277"/>
      <c r="L552" s="2643"/>
      <c r="M552" s="266"/>
      <c r="N552" s="266"/>
      <c r="O552" s="266"/>
      <c r="P552" s="266"/>
      <c r="Q552" s="266"/>
      <c r="R552" s="351"/>
      <c r="S552" s="266"/>
      <c r="T552" s="302"/>
      <c r="U552" s="302"/>
      <c r="V552" s="266"/>
      <c r="W552" s="277"/>
      <c r="X552" s="266"/>
      <c r="Y552" s="266"/>
      <c r="Z552" s="266"/>
      <c r="AA552" s="266"/>
      <c r="AB552" s="266">
        <f t="shared" si="91"/>
        <v>0</v>
      </c>
      <c r="AD552" s="2735"/>
    </row>
    <row r="553" spans="2:38" ht="26.45" customHeight="1" x14ac:dyDescent="0.2">
      <c r="B553" s="4125"/>
      <c r="C553" s="2622" t="s">
        <v>611</v>
      </c>
      <c r="D553" s="2633" t="s">
        <v>597</v>
      </c>
      <c r="E553" s="2681">
        <v>1684000000</v>
      </c>
      <c r="F553" s="2735"/>
      <c r="G553" s="302"/>
      <c r="H553" s="302"/>
      <c r="I553" s="302">
        <f t="shared" si="90"/>
        <v>1684000000</v>
      </c>
      <c r="J553" s="277"/>
      <c r="K553" s="277"/>
      <c r="L553" s="2643"/>
      <c r="M553" s="266"/>
      <c r="N553" s="266"/>
      <c r="O553" s="266"/>
      <c r="P553" s="266"/>
      <c r="Q553" s="266"/>
      <c r="R553" s="351"/>
      <c r="S553" s="266"/>
      <c r="T553" s="302"/>
      <c r="U553" s="302"/>
      <c r="V553" s="266"/>
      <c r="W553" s="277"/>
      <c r="X553" s="266"/>
      <c r="Y553" s="266"/>
      <c r="Z553" s="266"/>
      <c r="AA553" s="266"/>
      <c r="AB553" s="266">
        <f t="shared" si="91"/>
        <v>1684000000</v>
      </c>
      <c r="AD553" s="2735"/>
    </row>
    <row r="554" spans="2:38" ht="26.45" customHeight="1" x14ac:dyDescent="0.2">
      <c r="B554" s="4125"/>
      <c r="C554" s="2632" t="s">
        <v>608</v>
      </c>
      <c r="D554" s="2633" t="s">
        <v>595</v>
      </c>
      <c r="E554" s="2623">
        <v>3175069000000</v>
      </c>
      <c r="F554" s="2705"/>
      <c r="G554" s="302"/>
      <c r="H554" s="302"/>
      <c r="I554" s="302">
        <f t="shared" si="90"/>
        <v>3175069000000</v>
      </c>
      <c r="J554" s="266"/>
      <c r="K554" s="266"/>
      <c r="L554" s="2643"/>
      <c r="M554" s="266"/>
      <c r="N554" s="266"/>
      <c r="O554" s="266">
        <f>'يادداشت 15سایر درآمد ها و انتقا'!W32</f>
        <v>12378300480</v>
      </c>
      <c r="P554" s="266"/>
      <c r="Q554" s="266"/>
      <c r="R554" s="351"/>
      <c r="S554" s="266"/>
      <c r="T554" s="302"/>
      <c r="U554" s="302"/>
      <c r="V554" s="266"/>
      <c r="W554" s="266"/>
      <c r="X554" s="266"/>
      <c r="Y554" s="266"/>
      <c r="Z554" s="266"/>
      <c r="AA554" s="266"/>
      <c r="AB554" s="266">
        <f t="shared" si="91"/>
        <v>3187447300480</v>
      </c>
      <c r="AD554" s="2735"/>
      <c r="AI554" s="2775"/>
      <c r="AJ554" s="2775"/>
      <c r="AK554" s="2776"/>
    </row>
    <row r="555" spans="2:38" ht="26.45" customHeight="1" x14ac:dyDescent="0.2">
      <c r="B555" s="4125"/>
      <c r="C555" s="2632" t="s">
        <v>643</v>
      </c>
      <c r="D555" s="2633" t="s">
        <v>632</v>
      </c>
      <c r="E555" s="2623">
        <v>50750000000</v>
      </c>
      <c r="F555" s="2705"/>
      <c r="G555" s="302"/>
      <c r="H555" s="302"/>
      <c r="I555" s="302">
        <f t="shared" si="90"/>
        <v>50750000000</v>
      </c>
      <c r="J555" s="266"/>
      <c r="K555" s="266"/>
      <c r="L555" s="2643"/>
      <c r="M555" s="266"/>
      <c r="N555" s="266"/>
      <c r="O555" s="266"/>
      <c r="P555" s="266"/>
      <c r="Q555" s="266"/>
      <c r="R555" s="351"/>
      <c r="S555" s="266"/>
      <c r="T555" s="302"/>
      <c r="U555" s="302"/>
      <c r="V555" s="266"/>
      <c r="W555" s="266"/>
      <c r="X555" s="266"/>
      <c r="Y555" s="266"/>
      <c r="Z555" s="266"/>
      <c r="AA555" s="266"/>
      <c r="AB555" s="266">
        <f t="shared" si="91"/>
        <v>50750000000</v>
      </c>
      <c r="AD555" s="2735"/>
    </row>
    <row r="556" spans="2:38" ht="26.45" customHeight="1" x14ac:dyDescent="0.4">
      <c r="B556" s="4125"/>
      <c r="C556" s="2632" t="s">
        <v>677</v>
      </c>
      <c r="D556" s="2633" t="s">
        <v>676</v>
      </c>
      <c r="E556" s="2623">
        <v>23000000000</v>
      </c>
      <c r="F556" s="2705"/>
      <c r="G556" s="302"/>
      <c r="H556" s="302"/>
      <c r="I556" s="302">
        <f t="shared" si="90"/>
        <v>23000000000</v>
      </c>
      <c r="J556" s="266">
        <v>20000000000</v>
      </c>
      <c r="K556" s="266"/>
      <c r="L556" s="2643"/>
      <c r="M556" s="266"/>
      <c r="N556" s="266"/>
      <c r="O556" s="266"/>
      <c r="P556" s="266"/>
      <c r="Q556" s="266"/>
      <c r="R556" s="351"/>
      <c r="S556" s="266"/>
      <c r="T556" s="302"/>
      <c r="U556" s="302"/>
      <c r="V556" s="266"/>
      <c r="W556" s="266"/>
      <c r="X556" s="266"/>
      <c r="Y556" s="266"/>
      <c r="Z556" s="266"/>
      <c r="AA556" s="266"/>
      <c r="AB556" s="266">
        <f t="shared" si="91"/>
        <v>23000000000</v>
      </c>
      <c r="AD556" s="2735"/>
      <c r="AJ556" s="2777"/>
      <c r="AK556" s="2777"/>
      <c r="AL556" s="2778"/>
    </row>
    <row r="557" spans="2:38" ht="26.45" customHeight="1" x14ac:dyDescent="0.2">
      <c r="B557" s="4125"/>
      <c r="C557" s="2779" t="s">
        <v>642</v>
      </c>
      <c r="D557" s="2780" t="s">
        <v>631</v>
      </c>
      <c r="E557" s="2701">
        <v>14750000000</v>
      </c>
      <c r="F557" s="2702"/>
      <c r="G557" s="304"/>
      <c r="H557" s="304"/>
      <c r="I557" s="302">
        <f t="shared" si="90"/>
        <v>14750000000</v>
      </c>
      <c r="J557" s="305">
        <v>2141553229</v>
      </c>
      <c r="K557" s="305"/>
      <c r="L557" s="2771"/>
      <c r="M557" s="305"/>
      <c r="N557" s="305"/>
      <c r="O557" s="305">
        <f>'يادداشت 14وجوه ساير (2)'!H24</f>
        <v>0</v>
      </c>
      <c r="P557" s="305"/>
      <c r="Q557" s="305"/>
      <c r="R557" s="414"/>
      <c r="S557" s="305"/>
      <c r="T557" s="304"/>
      <c r="U557" s="304"/>
      <c r="V557" s="305"/>
      <c r="W557" s="305"/>
      <c r="X557" s="502"/>
      <c r="Y557" s="502"/>
      <c r="Z557" s="502"/>
      <c r="AA557" s="502"/>
      <c r="AB557" s="266">
        <f t="shared" si="91"/>
        <v>14750000000</v>
      </c>
      <c r="AD557" s="2735"/>
    </row>
    <row r="558" spans="2:38" ht="26.45" customHeight="1" x14ac:dyDescent="0.2">
      <c r="B558" s="4125"/>
      <c r="C558" s="2632" t="s">
        <v>624</v>
      </c>
      <c r="D558" s="2633" t="s">
        <v>600</v>
      </c>
      <c r="E558" s="2623">
        <v>22672000000</v>
      </c>
      <c r="F558" s="2705"/>
      <c r="G558" s="302"/>
      <c r="H558" s="302"/>
      <c r="I558" s="302">
        <f t="shared" si="90"/>
        <v>22672000000</v>
      </c>
      <c r="J558" s="266">
        <v>1758446771</v>
      </c>
      <c r="K558" s="266"/>
      <c r="L558" s="2643"/>
      <c r="M558" s="266"/>
      <c r="N558" s="266">
        <f>'يادداشت 14وجوه ساير (2)'!H17</f>
        <v>20801500000</v>
      </c>
      <c r="O558" s="266"/>
      <c r="P558" s="266"/>
      <c r="Q558" s="266"/>
      <c r="R558" s="351"/>
      <c r="S558" s="266"/>
      <c r="T558" s="302"/>
      <c r="U558" s="302"/>
      <c r="V558" s="266"/>
      <c r="W558" s="266"/>
      <c r="X558" s="266"/>
      <c r="Y558" s="266"/>
      <c r="Z558" s="266"/>
      <c r="AA558" s="266"/>
      <c r="AB558" s="266">
        <f t="shared" si="91"/>
        <v>43473500000</v>
      </c>
      <c r="AD558" s="2735"/>
    </row>
    <row r="559" spans="2:38" ht="26.45" customHeight="1" x14ac:dyDescent="0.2">
      <c r="B559" s="4125"/>
      <c r="C559" s="2632" t="s">
        <v>625</v>
      </c>
      <c r="D559" s="2633" t="s">
        <v>601</v>
      </c>
      <c r="E559" s="2623">
        <v>8000000000</v>
      </c>
      <c r="F559" s="2705"/>
      <c r="G559" s="302"/>
      <c r="H559" s="302"/>
      <c r="I559" s="302">
        <f t="shared" si="90"/>
        <v>8000000000</v>
      </c>
      <c r="J559" s="266">
        <v>4000000000</v>
      </c>
      <c r="K559" s="266"/>
      <c r="L559" s="2643"/>
      <c r="M559" s="266"/>
      <c r="N559" s="266"/>
      <c r="O559" s="266"/>
      <c r="P559" s="266"/>
      <c r="Q559" s="266"/>
      <c r="R559" s="351"/>
      <c r="S559" s="266"/>
      <c r="T559" s="302"/>
      <c r="U559" s="302"/>
      <c r="V559" s="266"/>
      <c r="W559" s="266"/>
      <c r="X559" s="266"/>
      <c r="Y559" s="266"/>
      <c r="Z559" s="266"/>
      <c r="AA559" s="266"/>
      <c r="AB559" s="266">
        <f t="shared" si="91"/>
        <v>8000000000</v>
      </c>
      <c r="AD559" s="2735"/>
    </row>
    <row r="560" spans="2:38" ht="26.45" customHeight="1" x14ac:dyDescent="0.2">
      <c r="B560" s="4125"/>
      <c r="C560" s="2632" t="s">
        <v>1083</v>
      </c>
      <c r="D560" s="2781" t="s">
        <v>1082</v>
      </c>
      <c r="E560" s="2623">
        <v>92100000000</v>
      </c>
      <c r="F560" s="2782"/>
      <c r="G560" s="302"/>
      <c r="H560" s="302"/>
      <c r="I560" s="302">
        <f t="shared" si="90"/>
        <v>92100000000</v>
      </c>
      <c r="J560" s="266"/>
      <c r="K560" s="266"/>
      <c r="L560" s="2643"/>
      <c r="M560" s="266"/>
      <c r="N560" s="266">
        <f>'يادداشت 14وجوه ساير (2)'!H18</f>
        <v>18000000000</v>
      </c>
      <c r="O560" s="266"/>
      <c r="P560" s="266"/>
      <c r="Q560" s="266"/>
      <c r="R560" s="351"/>
      <c r="S560" s="266"/>
      <c r="T560" s="302"/>
      <c r="U560" s="302"/>
      <c r="V560" s="266"/>
      <c r="W560" s="266"/>
      <c r="X560" s="266"/>
      <c r="Y560" s="266"/>
      <c r="Z560" s="266"/>
      <c r="AA560" s="266"/>
      <c r="AB560" s="266">
        <f t="shared" si="91"/>
        <v>110100000000</v>
      </c>
      <c r="AD560" s="2735"/>
      <c r="AG560" s="2603">
        <f>E560+T560+N560+W560</f>
        <v>110100000000</v>
      </c>
    </row>
    <row r="561" spans="2:42" ht="26.45" customHeight="1" x14ac:dyDescent="0.2">
      <c r="B561" s="4125"/>
      <c r="C561" s="2632" t="s">
        <v>2061</v>
      </c>
      <c r="D561" s="2783" t="s">
        <v>600</v>
      </c>
      <c r="E561" s="2623"/>
      <c r="F561" s="2642"/>
      <c r="G561" s="1655"/>
      <c r="H561" s="302"/>
      <c r="I561" s="302">
        <f t="shared" si="90"/>
        <v>0</v>
      </c>
      <c r="J561" s="266"/>
      <c r="K561" s="266"/>
      <c r="L561" s="2643"/>
      <c r="M561" s="266"/>
      <c r="N561" s="266">
        <f>'يادداشت 14وجوه ساير (2)'!H22</f>
        <v>7500000000</v>
      </c>
      <c r="O561" s="266"/>
      <c r="P561" s="266"/>
      <c r="Q561" s="266"/>
      <c r="R561" s="351"/>
      <c r="S561" s="266"/>
      <c r="T561" s="302"/>
      <c r="U561" s="302"/>
      <c r="V561" s="266"/>
      <c r="W561" s="266"/>
      <c r="X561" s="266"/>
      <c r="Y561" s="266"/>
      <c r="Z561" s="266"/>
      <c r="AA561" s="266"/>
      <c r="AB561" s="266">
        <f t="shared" si="91"/>
        <v>7500000000</v>
      </c>
      <c r="AD561" s="2735"/>
    </row>
    <row r="562" spans="2:42" ht="26.45" customHeight="1" x14ac:dyDescent="0.45">
      <c r="B562" s="4125"/>
      <c r="C562" s="2784" t="s">
        <v>2153</v>
      </c>
      <c r="D562" s="2785" t="s">
        <v>2036</v>
      </c>
      <c r="E562" s="2623"/>
      <c r="F562" s="2642"/>
      <c r="G562" s="1655"/>
      <c r="H562" s="302"/>
      <c r="I562" s="302">
        <f t="shared" si="90"/>
        <v>0</v>
      </c>
      <c r="J562" s="266"/>
      <c r="K562" s="266"/>
      <c r="L562" s="2643"/>
      <c r="M562" s="266"/>
      <c r="N562" s="266">
        <f>'يادداشت 14وجوه ساير (2)'!H23</f>
        <v>70900000000</v>
      </c>
      <c r="O562" s="266"/>
      <c r="P562" s="266"/>
      <c r="Q562" s="266"/>
      <c r="R562" s="351"/>
      <c r="S562" s="266"/>
      <c r="T562" s="302"/>
      <c r="U562" s="302"/>
      <c r="V562" s="266"/>
      <c r="W562" s="266"/>
      <c r="X562" s="266"/>
      <c r="Y562" s="266"/>
      <c r="Z562" s="266"/>
      <c r="AA562" s="266"/>
      <c r="AB562" s="266">
        <f t="shared" si="91"/>
        <v>70900000000</v>
      </c>
      <c r="AD562" s="2735"/>
    </row>
    <row r="563" spans="2:42" ht="26.45" customHeight="1" x14ac:dyDescent="0.55000000000000004">
      <c r="B563" s="4125"/>
      <c r="C563" s="3421" t="s">
        <v>1902</v>
      </c>
      <c r="D563" s="3422"/>
      <c r="E563" s="2786">
        <v>3000000000</v>
      </c>
      <c r="F563" s="2787"/>
      <c r="G563" s="2788"/>
      <c r="H563" s="302"/>
      <c r="I563" s="302">
        <f t="shared" si="90"/>
        <v>3000000000</v>
      </c>
      <c r="J563" s="266"/>
      <c r="K563" s="266"/>
      <c r="L563" s="2643"/>
      <c r="M563" s="266"/>
      <c r="N563" s="266"/>
      <c r="O563" s="266"/>
      <c r="P563" s="266"/>
      <c r="Q563" s="266"/>
      <c r="R563" s="351"/>
      <c r="S563" s="266"/>
      <c r="T563" s="302"/>
      <c r="U563" s="302"/>
      <c r="V563" s="266"/>
      <c r="W563" s="266"/>
      <c r="X563" s="266"/>
      <c r="Y563" s="266"/>
      <c r="Z563" s="266"/>
      <c r="AA563" s="266"/>
      <c r="AB563" s="266">
        <f t="shared" si="91"/>
        <v>3000000000</v>
      </c>
      <c r="AD563" s="2735"/>
    </row>
    <row r="564" spans="2:42" ht="20.45" customHeight="1" x14ac:dyDescent="0.45">
      <c r="B564" s="4125"/>
      <c r="C564" s="4148" t="s">
        <v>222</v>
      </c>
      <c r="D564" s="4148"/>
      <c r="E564" s="2694">
        <f>SUM(E541:E563)</f>
        <v>8021658001105</v>
      </c>
      <c r="F564" s="2694">
        <f t="shared" ref="F564:AB564" si="92">SUM(F541:F563)</f>
        <v>137242313107</v>
      </c>
      <c r="G564" s="2694">
        <f t="shared" si="92"/>
        <v>0</v>
      </c>
      <c r="H564" s="2694">
        <f t="shared" si="92"/>
        <v>0</v>
      </c>
      <c r="I564" s="2694">
        <f t="shared" si="92"/>
        <v>8021657113550</v>
      </c>
      <c r="J564" s="2694">
        <f t="shared" si="92"/>
        <v>1889478586531</v>
      </c>
      <c r="K564" s="2694">
        <f t="shared" si="92"/>
        <v>0</v>
      </c>
      <c r="L564" s="2694">
        <f t="shared" si="92"/>
        <v>0</v>
      </c>
      <c r="M564" s="2694">
        <f t="shared" si="92"/>
        <v>0</v>
      </c>
      <c r="N564" s="2694">
        <f t="shared" si="92"/>
        <v>281494910293</v>
      </c>
      <c r="O564" s="2694">
        <f t="shared" si="92"/>
        <v>12378300480</v>
      </c>
      <c r="P564" s="2694">
        <f t="shared" si="92"/>
        <v>0</v>
      </c>
      <c r="Q564" s="2694">
        <f t="shared" si="92"/>
        <v>0</v>
      </c>
      <c r="R564" s="2694">
        <f t="shared" si="92"/>
        <v>0</v>
      </c>
      <c r="S564" s="2694">
        <f t="shared" si="92"/>
        <v>0</v>
      </c>
      <c r="T564" s="2694">
        <f t="shared" si="92"/>
        <v>0</v>
      </c>
      <c r="U564" s="2694">
        <f t="shared" si="92"/>
        <v>0</v>
      </c>
      <c r="V564" s="2694">
        <f t="shared" si="92"/>
        <v>0</v>
      </c>
      <c r="W564" s="2694">
        <f t="shared" si="92"/>
        <v>0</v>
      </c>
      <c r="X564" s="2694">
        <f t="shared" si="92"/>
        <v>0</v>
      </c>
      <c r="Y564" s="2694">
        <f t="shared" si="92"/>
        <v>0</v>
      </c>
      <c r="Z564" s="2694">
        <f t="shared" si="92"/>
        <v>0</v>
      </c>
      <c r="AA564" s="2694">
        <f t="shared" si="92"/>
        <v>0</v>
      </c>
      <c r="AB564" s="2694">
        <f t="shared" si="92"/>
        <v>8315531211878</v>
      </c>
      <c r="AD564" s="2735"/>
      <c r="AF564" s="2603">
        <f>O565+T565</f>
        <v>15613137300480</v>
      </c>
      <c r="AG564" s="2789">
        <v>3064337447831</v>
      </c>
    </row>
    <row r="565" spans="2:42" ht="20.45" customHeight="1" thickBot="1" x14ac:dyDescent="0.5">
      <c r="B565" s="4132" t="s">
        <v>386</v>
      </c>
      <c r="C565" s="4132"/>
      <c r="D565" s="4132"/>
      <c r="E565" s="2790">
        <f t="shared" ref="E565:U565" si="93">E564+E511</f>
        <v>58014518682012</v>
      </c>
      <c r="F565" s="2790">
        <f t="shared" si="93"/>
        <v>274486626214</v>
      </c>
      <c r="G565" s="2790">
        <f t="shared" si="93"/>
        <v>10000258000000</v>
      </c>
      <c r="H565" s="2790">
        <f t="shared" si="93"/>
        <v>0</v>
      </c>
      <c r="I565" s="2790">
        <f t="shared" si="93"/>
        <v>58014517794457</v>
      </c>
      <c r="J565" s="2790">
        <f t="shared" si="93"/>
        <v>2160978586531</v>
      </c>
      <c r="K565" s="2790">
        <f t="shared" si="93"/>
        <v>560270000000</v>
      </c>
      <c r="L565" s="2790">
        <f t="shared" si="93"/>
        <v>0</v>
      </c>
      <c r="M565" s="2790">
        <f t="shared" si="93"/>
        <v>0</v>
      </c>
      <c r="N565" s="2790">
        <f t="shared" si="93"/>
        <v>1969162910293</v>
      </c>
      <c r="O565" s="2790">
        <f t="shared" si="93"/>
        <v>15988592300480</v>
      </c>
      <c r="P565" s="2790">
        <f t="shared" si="93"/>
        <v>-1582060020</v>
      </c>
      <c r="Q565" s="2790">
        <f t="shared" si="93"/>
        <v>0</v>
      </c>
      <c r="R565" s="2790">
        <f t="shared" si="93"/>
        <v>0</v>
      </c>
      <c r="S565" s="2790">
        <f t="shared" si="93"/>
        <v>0</v>
      </c>
      <c r="T565" s="2790">
        <f t="shared" si="93"/>
        <v>-375455000000</v>
      </c>
      <c r="U565" s="2790">
        <f t="shared" si="93"/>
        <v>221580000000</v>
      </c>
      <c r="V565" s="2790">
        <f>V564+V511+2000000</f>
        <v>805236980000</v>
      </c>
      <c r="W565" s="2790">
        <f>W564+W511</f>
        <v>-198367000000</v>
      </c>
      <c r="X565" s="2790">
        <f>X564+X511</f>
        <v>0</v>
      </c>
      <c r="Y565" s="2790" t="e">
        <f>Y564+Y511</f>
        <v>#N/A</v>
      </c>
      <c r="Z565" s="2790" t="e">
        <f>Z564+Z511</f>
        <v>#N/A</v>
      </c>
      <c r="AA565" s="2790"/>
      <c r="AB565" s="2790">
        <f>AB564+AB511+1000000</f>
        <v>76423685812765</v>
      </c>
      <c r="AG565" s="2603">
        <f>E565+T565+N565+W565</f>
        <v>59409859592305</v>
      </c>
    </row>
    <row r="566" spans="2:42" ht="15" customHeight="1" thickTop="1" x14ac:dyDescent="0.35">
      <c r="E566" s="2606"/>
      <c r="F566" s="2791"/>
      <c r="J566" s="2792" t="s">
        <v>1141</v>
      </c>
      <c r="K566" s="2792"/>
      <c r="L566" s="2792" t="s">
        <v>1138</v>
      </c>
      <c r="M566" s="2606" t="s">
        <v>1005</v>
      </c>
      <c r="P566" s="2793" t="s">
        <v>1011</v>
      </c>
      <c r="Q566" s="2606" t="s">
        <v>1004</v>
      </c>
      <c r="R566" s="2606" t="s">
        <v>531</v>
      </c>
      <c r="S566" s="2606" t="s">
        <v>926</v>
      </c>
      <c r="W566" s="2794" t="s">
        <v>1883</v>
      </c>
      <c r="X566" s="300" t="s">
        <v>531</v>
      </c>
    </row>
    <row r="567" spans="2:42" ht="15" customHeight="1" x14ac:dyDescent="0.2">
      <c r="R567" s="2603"/>
      <c r="W567" s="2794"/>
      <c r="AE567" s="2603">
        <f>I565+N565+O565+P565+T565+U565+V565+W565+M565</f>
        <v>76423685925210</v>
      </c>
    </row>
    <row r="568" spans="2:42" ht="15" customHeight="1" x14ac:dyDescent="0.2">
      <c r="B568" s="4149" t="s">
        <v>1961</v>
      </c>
      <c r="C568" s="4149"/>
      <c r="D568" s="4149"/>
      <c r="E568" s="4149"/>
      <c r="F568" s="4149"/>
      <c r="G568" s="4149"/>
      <c r="H568" s="4149"/>
      <c r="I568" s="4149"/>
      <c r="J568" s="4149"/>
      <c r="K568" s="4149"/>
      <c r="L568" s="4149"/>
      <c r="M568" s="4149"/>
      <c r="N568" s="4149"/>
      <c r="O568" s="4149"/>
      <c r="P568" s="4149"/>
      <c r="Q568" s="4149"/>
      <c r="R568" s="4149"/>
      <c r="S568" s="4149"/>
      <c r="T568" s="4149"/>
      <c r="W568" s="2795"/>
      <c r="X568" s="309"/>
      <c r="Y568" s="309"/>
      <c r="Z568" s="309"/>
      <c r="AA568" s="309"/>
      <c r="AB568" s="2735"/>
      <c r="AD568" s="2796"/>
      <c r="AE568" s="2797"/>
      <c r="AF568" s="2797"/>
      <c r="AG568" s="2797"/>
      <c r="AH568" s="2797"/>
      <c r="AI568" s="310"/>
      <c r="AJ568" s="310"/>
      <c r="AK568" s="310"/>
      <c r="AL568" s="310"/>
      <c r="AM568" s="310"/>
      <c r="AN568" s="310"/>
      <c r="AO568" s="310"/>
      <c r="AP568" s="2735"/>
    </row>
    <row r="569" spans="2:42" ht="15" customHeight="1" x14ac:dyDescent="0.2">
      <c r="AH569" s="2606"/>
    </row>
    <row r="570" spans="2:42" ht="3.75" customHeight="1" x14ac:dyDescent="0.2">
      <c r="AE570" s="2603">
        <f>U565+V565</f>
        <v>1026816980000</v>
      </c>
      <c r="AH570" s="2606"/>
    </row>
    <row r="571" spans="2:42" ht="3.75" customHeight="1" x14ac:dyDescent="0.2">
      <c r="AH571" s="2606"/>
    </row>
    <row r="572" spans="2:42" ht="15" customHeight="1" x14ac:dyDescent="0.2">
      <c r="AH572" s="2606"/>
    </row>
    <row r="573" spans="2:42" ht="34.9" customHeight="1" x14ac:dyDescent="0.2">
      <c r="B573" s="4145">
        <v>108</v>
      </c>
      <c r="C573" s="4145"/>
      <c r="D573" s="4145"/>
      <c r="E573" s="4145"/>
      <c r="F573" s="4145"/>
      <c r="G573" s="4145"/>
      <c r="H573" s="4145"/>
      <c r="I573" s="4145"/>
      <c r="J573" s="4145"/>
      <c r="K573" s="4145"/>
      <c r="L573" s="4145"/>
      <c r="M573" s="4145"/>
      <c r="N573" s="4145"/>
      <c r="O573" s="4145"/>
      <c r="P573" s="4145"/>
      <c r="Q573" s="4145"/>
      <c r="R573" s="4145"/>
      <c r="S573" s="4145"/>
      <c r="T573" s="4145"/>
      <c r="U573" s="4145"/>
      <c r="V573" s="4145"/>
      <c r="W573" s="4145"/>
      <c r="X573" s="4145"/>
      <c r="Y573" s="4145"/>
      <c r="Z573" s="4145"/>
      <c r="AA573" s="4145"/>
      <c r="AB573" s="4145"/>
    </row>
    <row r="574" spans="2:42" ht="15" customHeight="1" x14ac:dyDescent="0.2">
      <c r="E574" s="2720">
        <v>58014519887678</v>
      </c>
      <c r="L574" s="2773"/>
      <c r="M574" s="2773"/>
      <c r="N574" s="2773"/>
      <c r="O574" s="2773"/>
      <c r="P574" s="2773"/>
      <c r="Q574" s="2773"/>
      <c r="R574" s="2773"/>
      <c r="S574" s="2773"/>
      <c r="T574" s="2773"/>
      <c r="U574" s="2773"/>
      <c r="V574" s="2773"/>
      <c r="W574" s="2773"/>
      <c r="X574" s="2773"/>
      <c r="Y574" s="2773"/>
      <c r="Z574" s="2773"/>
      <c r="AA574" s="2773"/>
      <c r="AB574" s="2773"/>
    </row>
    <row r="575" spans="2:42" ht="15" customHeight="1" x14ac:dyDescent="0.2">
      <c r="E575" s="2720">
        <f>E565-E574</f>
        <v>-1205666</v>
      </c>
      <c r="L575" s="2654"/>
      <c r="M575" s="2654"/>
      <c r="N575" s="2654"/>
      <c r="O575" s="2654"/>
      <c r="P575" s="2654"/>
      <c r="Q575" s="2654"/>
      <c r="R575" s="2654"/>
      <c r="S575" s="2654"/>
      <c r="T575" s="2654"/>
      <c r="U575" s="2654"/>
      <c r="V575" s="2654"/>
      <c r="W575" s="2654"/>
      <c r="X575" s="308"/>
      <c r="Y575" s="308"/>
      <c r="Z575" s="308"/>
      <c r="AA575" s="308"/>
      <c r="AB575" s="2735"/>
      <c r="AF575" s="2603" t="s">
        <v>1787</v>
      </c>
      <c r="AG575" s="2735" t="s">
        <v>1786</v>
      </c>
    </row>
    <row r="576" spans="2:42" ht="15.75" x14ac:dyDescent="0.35">
      <c r="C576" s="2603"/>
      <c r="D576" s="2603"/>
      <c r="E576" s="1182"/>
      <c r="F576" s="1182">
        <f>SUM(F534:F575)</f>
        <v>548971252428</v>
      </c>
      <c r="G576" s="1182">
        <f>SUM(G534:G575)</f>
        <v>10000258000000</v>
      </c>
      <c r="H576" s="1182">
        <f>SUM(H534:H575)</f>
        <v>0</v>
      </c>
      <c r="I576" s="1182">
        <f>SUM(I534:I575)</f>
        <v>74057832021557</v>
      </c>
      <c r="J576" s="1182">
        <f>SUM(J534:J575)</f>
        <v>5939935759593</v>
      </c>
      <c r="AG576" s="2735"/>
    </row>
    <row r="577" spans="3:33" x14ac:dyDescent="0.2">
      <c r="T577" s="2606">
        <f>'يادداشت 15سایر درآمد ها و انتقا'!U37+'يادداشت 15سایر درآمد ها و انتقا'!M37+'يادداشت 1-13وجوهدريافتي ازخزانه'!L54</f>
        <v>-221580000000</v>
      </c>
      <c r="U577" s="2606">
        <f>'يادداشت 15سایر درآمد ها و انتقا'!V37+'يادداشت 1-13وجوهدريافتي ازخزانه'!M54+'يادداشت 15سایر درآمد ها و انتقا'!N37</f>
        <v>-375455000000</v>
      </c>
      <c r="AF577" s="2603">
        <f>O565-AG577</f>
        <v>1126160045279</v>
      </c>
      <c r="AG577" s="2798">
        <v>14862432255201</v>
      </c>
    </row>
    <row r="578" spans="3:33" x14ac:dyDescent="0.2">
      <c r="AF578" s="2603">
        <f>N565-AG578</f>
        <v>-46666930642</v>
      </c>
      <c r="AG578" s="2735">
        <v>2015829840935</v>
      </c>
    </row>
    <row r="579" spans="3:33" ht="17.25" x14ac:dyDescent="0.4">
      <c r="C579" s="2603"/>
      <c r="D579" s="2603"/>
      <c r="E579" s="2799"/>
      <c r="O579" s="2606">
        <f>'يادداشت 15سایر درآمد ها و انتقا'!O37-'يادداشت 15سایر درآمد ها و انتقا'!N37+'يادداشت 15سایر درآمد ها و انتقا'!P37+'يادداشت 14وجوه ساير (2)'!H25+'يادداشت 1-13وجوهدريافتي ازخزانه'!Q54-'يادداشت 1-13وجوهدريافتي ازخزانه'!M54+'يادداشت 1-13وجوهدريافتي ازخزانه'!V54</f>
        <v>17957755210773</v>
      </c>
      <c r="AF579" s="2603">
        <f>SUM(AF577:AF578)</f>
        <v>1079493114637</v>
      </c>
    </row>
    <row r="580" spans="3:33" x14ac:dyDescent="0.2">
      <c r="O580" s="2606">
        <f>N565+O565</f>
        <v>17957755210773</v>
      </c>
      <c r="T580" s="2606">
        <f>U577+T577</f>
        <v>-597035000000</v>
      </c>
    </row>
    <row r="581" spans="3:33" x14ac:dyDescent="0.2">
      <c r="F581" s="2606">
        <v>0</v>
      </c>
      <c r="G581" s="2606">
        <v>0</v>
      </c>
      <c r="H581" s="2606">
        <v>0</v>
      </c>
      <c r="I581" s="2606">
        <v>0</v>
      </c>
      <c r="J581" s="2606">
        <v>2015829840935</v>
      </c>
      <c r="O581" s="2606">
        <f>O580-O579</f>
        <v>0</v>
      </c>
    </row>
    <row r="582" spans="3:33" ht="21" customHeight="1" x14ac:dyDescent="0.2">
      <c r="W582" s="2606">
        <f>'ياد 15  سايرهزينه '!P47+'يادداشت 17 ارزش خالص'!W565</f>
        <v>0</v>
      </c>
    </row>
    <row r="586" spans="3:33" ht="21" customHeight="1" x14ac:dyDescent="0.2">
      <c r="O586" s="2606">
        <f>O565+N565</f>
        <v>17957755210773</v>
      </c>
    </row>
    <row r="587" spans="3:33" x14ac:dyDescent="0.2">
      <c r="O587" s="2606">
        <f>'يادداشت 15سایر درآمد ها و انتقا'!O37-'يادداشت 15سایر درآمد ها و انتقا'!N37+'يادداشت 15سایر درآمد ها و انتقا'!P37+'يادداشت 14وجوه ساير (2)'!H25+'يادداشت 1-13وجوهدريافتي ازخزانه'!Q54-'يادداشت 1-13وجوهدريافتي ازخزانه'!M54+'يادداشت 1-13وجوهدريافتي ازخزانه'!V54</f>
        <v>17957755210773</v>
      </c>
    </row>
    <row r="588" spans="3:33" x14ac:dyDescent="0.2">
      <c r="O588" s="2606">
        <f>O586-O587</f>
        <v>0</v>
      </c>
    </row>
  </sheetData>
  <mergeCells count="515">
    <mergeCell ref="B512:B528"/>
    <mergeCell ref="B511:D511"/>
    <mergeCell ref="A484:AB484"/>
    <mergeCell ref="B494:B510"/>
    <mergeCell ref="V491:V493"/>
    <mergeCell ref="W491:W493"/>
    <mergeCell ref="Y491:Y493"/>
    <mergeCell ref="Z491:Z493"/>
    <mergeCell ref="AA491:AA493"/>
    <mergeCell ref="AB491:AB493"/>
    <mergeCell ref="R492:R493"/>
    <mergeCell ref="S492:S493"/>
    <mergeCell ref="C494:D494"/>
    <mergeCell ref="B568:T568"/>
    <mergeCell ref="C530:AB530"/>
    <mergeCell ref="C482:D482"/>
    <mergeCell ref="B464:B482"/>
    <mergeCell ref="B485:AB485"/>
    <mergeCell ref="B486:AB486"/>
    <mergeCell ref="B487:AB487"/>
    <mergeCell ref="B488:AB488"/>
    <mergeCell ref="B490:D490"/>
    <mergeCell ref="B491:B493"/>
    <mergeCell ref="C491:C493"/>
    <mergeCell ref="D491:D493"/>
    <mergeCell ref="E491:E493"/>
    <mergeCell ref="G491:G492"/>
    <mergeCell ref="H491:H493"/>
    <mergeCell ref="I491:I493"/>
    <mergeCell ref="J491:O492"/>
    <mergeCell ref="P491:P493"/>
    <mergeCell ref="Q491:Q493"/>
    <mergeCell ref="R491:S491"/>
    <mergeCell ref="T491:T493"/>
    <mergeCell ref="U491:U493"/>
    <mergeCell ref="AB538:AB540"/>
    <mergeCell ref="R539:R540"/>
    <mergeCell ref="I9:I11"/>
    <mergeCell ref="U9:U11"/>
    <mergeCell ref="AA9:AA11"/>
    <mergeCell ref="AA54:AA56"/>
    <mergeCell ref="AA89:AA91"/>
    <mergeCell ref="AA124:AA126"/>
    <mergeCell ref="AA153:AA155"/>
    <mergeCell ref="AA186:AA188"/>
    <mergeCell ref="AA216:AA218"/>
    <mergeCell ref="B120:AB120"/>
    <mergeCell ref="B117:AB117"/>
    <mergeCell ref="R154:R155"/>
    <mergeCell ref="H153:H155"/>
    <mergeCell ref="I153:I155"/>
    <mergeCell ref="U153:U155"/>
    <mergeCell ref="B53:D53"/>
    <mergeCell ref="B88:D88"/>
    <mergeCell ref="E54:E56"/>
    <mergeCell ref="V153:V155"/>
    <mergeCell ref="B147:AB147"/>
    <mergeCell ref="B127:B144"/>
    <mergeCell ref="D153:D155"/>
    <mergeCell ref="Z124:Z126"/>
    <mergeCell ref="W124:W126"/>
    <mergeCell ref="B148:AB148"/>
    <mergeCell ref="AB124:AB126"/>
    <mergeCell ref="B153:B155"/>
    <mergeCell ref="V124:V126"/>
    <mergeCell ref="AB153:AB155"/>
    <mergeCell ref="U124:U126"/>
    <mergeCell ref="R124:S124"/>
    <mergeCell ref="J124:O125"/>
    <mergeCell ref="J153:O154"/>
    <mergeCell ref="D124:D126"/>
    <mergeCell ref="B156:B175"/>
    <mergeCell ref="T153:T155"/>
    <mergeCell ref="Q153:Q155"/>
    <mergeCell ref="C189:D189"/>
    <mergeCell ref="D279:D281"/>
    <mergeCell ref="G245:G246"/>
    <mergeCell ref="B273:AB273"/>
    <mergeCell ref="B278:D278"/>
    <mergeCell ref="I279:I281"/>
    <mergeCell ref="U279:U281"/>
    <mergeCell ref="V279:V281"/>
    <mergeCell ref="B238:AB238"/>
    <mergeCell ref="T245:T247"/>
    <mergeCell ref="Q245:Q247"/>
    <mergeCell ref="B239:AB239"/>
    <mergeCell ref="H279:H281"/>
    <mergeCell ref="R279:S279"/>
    <mergeCell ref="B275:AB275"/>
    <mergeCell ref="B240:AB240"/>
    <mergeCell ref="Z279:Z281"/>
    <mergeCell ref="Z245:Z247"/>
    <mergeCell ref="B274:AB274"/>
    <mergeCell ref="P245:P247"/>
    <mergeCell ref="B241:AB241"/>
    <mergeCell ref="W317:W319"/>
    <mergeCell ref="T317:T319"/>
    <mergeCell ref="V317:V319"/>
    <mergeCell ref="J317:O318"/>
    <mergeCell ref="H317:H319"/>
    <mergeCell ref="R375:R376"/>
    <mergeCell ref="Q317:Q319"/>
    <mergeCell ref="D346:D348"/>
    <mergeCell ref="S347:S348"/>
    <mergeCell ref="G346:G347"/>
    <mergeCell ref="B367:AB367"/>
    <mergeCell ref="C346:C348"/>
    <mergeCell ref="C349:D349"/>
    <mergeCell ref="Z346:Z348"/>
    <mergeCell ref="W346:W348"/>
    <mergeCell ref="H346:H348"/>
    <mergeCell ref="I346:I348"/>
    <mergeCell ref="AA317:AA319"/>
    <mergeCell ref="AA346:AA348"/>
    <mergeCell ref="AA374:AA376"/>
    <mergeCell ref="R318:R319"/>
    <mergeCell ref="R317:S317"/>
    <mergeCell ref="B317:B319"/>
    <mergeCell ref="B49:AB49"/>
    <mergeCell ref="B178:AB178"/>
    <mergeCell ref="B146:AB146"/>
    <mergeCell ref="B152:D152"/>
    <mergeCell ref="S154:S155"/>
    <mergeCell ref="R153:S153"/>
    <mergeCell ref="C156:D156"/>
    <mergeCell ref="P153:P155"/>
    <mergeCell ref="H124:H126"/>
    <mergeCell ref="I124:I126"/>
    <mergeCell ref="G153:G154"/>
    <mergeCell ref="Y124:Y126"/>
    <mergeCell ref="C145:AC145"/>
    <mergeCell ref="C153:C155"/>
    <mergeCell ref="Y153:Y155"/>
    <mergeCell ref="C175:D175"/>
    <mergeCell ref="B92:B112"/>
    <mergeCell ref="B83:AB83"/>
    <mergeCell ref="B84:AB84"/>
    <mergeCell ref="R90:R91"/>
    <mergeCell ref="AB89:AB91"/>
    <mergeCell ref="C57:D57"/>
    <mergeCell ref="C75:D75"/>
    <mergeCell ref="W89:W91"/>
    <mergeCell ref="C461:C463"/>
    <mergeCell ref="D461:D463"/>
    <mergeCell ref="B460:D460"/>
    <mergeCell ref="Q461:Q463"/>
    <mergeCell ref="AA431:AA433"/>
    <mergeCell ref="AA461:AA463"/>
    <mergeCell ref="R461:S461"/>
    <mergeCell ref="Y461:Y463"/>
    <mergeCell ref="C431:C433"/>
    <mergeCell ref="J431:O432"/>
    <mergeCell ref="J461:O462"/>
    <mergeCell ref="B461:B463"/>
    <mergeCell ref="E461:E463"/>
    <mergeCell ref="T461:T463"/>
    <mergeCell ref="G431:G432"/>
    <mergeCell ref="H9:H11"/>
    <mergeCell ref="U346:U348"/>
    <mergeCell ref="E153:E155"/>
    <mergeCell ref="Y279:Y281"/>
    <mergeCell ref="C144:D144"/>
    <mergeCell ref="AB279:AB281"/>
    <mergeCell ref="E317:E319"/>
    <mergeCell ref="V346:V348"/>
    <mergeCell ref="B345:D345"/>
    <mergeCell ref="C320:D320"/>
    <mergeCell ref="B313:AB313"/>
    <mergeCell ref="B316:D316"/>
    <mergeCell ref="B340:AB340"/>
    <mergeCell ref="B341:AB341"/>
    <mergeCell ref="B346:B348"/>
    <mergeCell ref="Y346:Y348"/>
    <mergeCell ref="J346:O347"/>
    <mergeCell ref="I317:I319"/>
    <mergeCell ref="U317:U319"/>
    <mergeCell ref="G317:G318"/>
    <mergeCell ref="AB317:AB319"/>
    <mergeCell ref="S318:S319"/>
    <mergeCell ref="P317:P319"/>
    <mergeCell ref="B311:AB311"/>
    <mergeCell ref="C563:D563"/>
    <mergeCell ref="R9:S9"/>
    <mergeCell ref="B54:B56"/>
    <mergeCell ref="AB9:AB11"/>
    <mergeCell ref="S10:S11"/>
    <mergeCell ref="W9:W11"/>
    <mergeCell ref="R10:R11"/>
    <mergeCell ref="AB54:AB56"/>
    <mergeCell ref="P9:P11"/>
    <mergeCell ref="C45:AC45"/>
    <mergeCell ref="Q9:Q11"/>
    <mergeCell ref="B29:B43"/>
    <mergeCell ref="E9:E11"/>
    <mergeCell ref="T9:T11"/>
    <mergeCell ref="B9:B11"/>
    <mergeCell ref="C43:D43"/>
    <mergeCell ref="D9:D11"/>
    <mergeCell ref="V9:V11"/>
    <mergeCell ref="J9:O10"/>
    <mergeCell ref="C9:C11"/>
    <mergeCell ref="B47:AB47"/>
    <mergeCell ref="B48:AB48"/>
    <mergeCell ref="Y9:Y11"/>
    <mergeCell ref="B46:AB46"/>
    <mergeCell ref="B541:D541"/>
    <mergeCell ref="B542:B564"/>
    <mergeCell ref="Z538:Z540"/>
    <mergeCell ref="B402:B404"/>
    <mergeCell ref="E402:E404"/>
    <mergeCell ref="T402:T404"/>
    <mergeCell ref="B374:B376"/>
    <mergeCell ref="E374:E376"/>
    <mergeCell ref="B368:AB368"/>
    <mergeCell ref="B369:AB369"/>
    <mergeCell ref="AB461:AB463"/>
    <mergeCell ref="R462:R463"/>
    <mergeCell ref="Z461:Z463"/>
    <mergeCell ref="I461:I463"/>
    <mergeCell ref="G461:G462"/>
    <mergeCell ref="U461:U463"/>
    <mergeCell ref="V461:V463"/>
    <mergeCell ref="S539:S540"/>
    <mergeCell ref="T538:T540"/>
    <mergeCell ref="R538:S538"/>
    <mergeCell ref="C564:D564"/>
    <mergeCell ref="B538:B540"/>
    <mergeCell ref="Q538:Q540"/>
    <mergeCell ref="Y538:Y540"/>
    <mergeCell ref="Z317:Z319"/>
    <mergeCell ref="Y317:Y319"/>
    <mergeCell ref="C339:AB339"/>
    <mergeCell ref="B310:AB310"/>
    <mergeCell ref="B312:AB312"/>
    <mergeCell ref="AA538:AA540"/>
    <mergeCell ref="C538:C540"/>
    <mergeCell ref="D538:D540"/>
    <mergeCell ref="E538:E540"/>
    <mergeCell ref="G538:G539"/>
    <mergeCell ref="W538:W540"/>
    <mergeCell ref="H538:H540"/>
    <mergeCell ref="I538:I540"/>
    <mergeCell ref="U538:U540"/>
    <mergeCell ref="V538:V540"/>
    <mergeCell ref="P538:P540"/>
    <mergeCell ref="J538:O539"/>
    <mergeCell ref="B320:B337"/>
    <mergeCell ref="H461:H463"/>
    <mergeCell ref="P431:P433"/>
    <mergeCell ref="C453:AB453"/>
    <mergeCell ref="B343:AB343"/>
    <mergeCell ref="W402:W404"/>
    <mergeCell ref="B398:AB398"/>
    <mergeCell ref="B309:AB309"/>
    <mergeCell ref="Q279:Q281"/>
    <mergeCell ref="C282:D282"/>
    <mergeCell ref="R280:R281"/>
    <mergeCell ref="E279:E281"/>
    <mergeCell ref="C305:D305"/>
    <mergeCell ref="C279:C281"/>
    <mergeCell ref="B244:D244"/>
    <mergeCell ref="B279:B281"/>
    <mergeCell ref="J279:O280"/>
    <mergeCell ref="AA245:AA247"/>
    <mergeCell ref="AA279:AA281"/>
    <mergeCell ref="P279:P281"/>
    <mergeCell ref="T279:T281"/>
    <mergeCell ref="R245:S245"/>
    <mergeCell ref="S246:S247"/>
    <mergeCell ref="D245:D247"/>
    <mergeCell ref="R246:R247"/>
    <mergeCell ref="Y245:Y247"/>
    <mergeCell ref="W279:W281"/>
    <mergeCell ref="S280:S281"/>
    <mergeCell ref="B248:B268"/>
    <mergeCell ref="C248:D248"/>
    <mergeCell ref="C268:D268"/>
    <mergeCell ref="C245:C247"/>
    <mergeCell ref="J245:O246"/>
    <mergeCell ref="E245:E247"/>
    <mergeCell ref="B219:B234"/>
    <mergeCell ref="W245:W247"/>
    <mergeCell ref="H245:H247"/>
    <mergeCell ref="I245:I247"/>
    <mergeCell ref="U245:U247"/>
    <mergeCell ref="V245:V247"/>
    <mergeCell ref="C219:D219"/>
    <mergeCell ref="B245:B247"/>
    <mergeCell ref="C236:AC236"/>
    <mergeCell ref="C234:D234"/>
    <mergeCell ref="J216:O217"/>
    <mergeCell ref="AB216:AB218"/>
    <mergeCell ref="B216:B218"/>
    <mergeCell ref="T216:T218"/>
    <mergeCell ref="G216:G217"/>
    <mergeCell ref="H216:H218"/>
    <mergeCell ref="I216:I218"/>
    <mergeCell ref="U216:U218"/>
    <mergeCell ref="V216:V218"/>
    <mergeCell ref="C216:C218"/>
    <mergeCell ref="G279:G280"/>
    <mergeCell ref="C271:AC271"/>
    <mergeCell ref="AB186:AB188"/>
    <mergeCell ref="AB245:AB247"/>
    <mergeCell ref="R186:S186"/>
    <mergeCell ref="B210:AB210"/>
    <mergeCell ref="E186:E188"/>
    <mergeCell ref="Q186:Q188"/>
    <mergeCell ref="C186:C188"/>
    <mergeCell ref="C204:D204"/>
    <mergeCell ref="B208:AB208"/>
    <mergeCell ref="B209:AB209"/>
    <mergeCell ref="E216:E218"/>
    <mergeCell ref="S217:S218"/>
    <mergeCell ref="R217:R218"/>
    <mergeCell ref="T186:T188"/>
    <mergeCell ref="W216:W218"/>
    <mergeCell ref="R216:S216"/>
    <mergeCell ref="V186:V188"/>
    <mergeCell ref="B211:AB211"/>
    <mergeCell ref="B189:B204"/>
    <mergeCell ref="C207:AC207"/>
    <mergeCell ref="B186:B188"/>
    <mergeCell ref="J186:O187"/>
    <mergeCell ref="C112:D112"/>
    <mergeCell ref="C92:D92"/>
    <mergeCell ref="C89:C91"/>
    <mergeCell ref="B82:AB82"/>
    <mergeCell ref="E89:E91"/>
    <mergeCell ref="B57:B75"/>
    <mergeCell ref="B81:AB81"/>
    <mergeCell ref="B89:B91"/>
    <mergeCell ref="D89:D91"/>
    <mergeCell ref="G89:G90"/>
    <mergeCell ref="C80:AB80"/>
    <mergeCell ref="Q89:Q91"/>
    <mergeCell ref="P89:P91"/>
    <mergeCell ref="J54:O55"/>
    <mergeCell ref="J89:O90"/>
    <mergeCell ref="T89:T91"/>
    <mergeCell ref="Z54:Z56"/>
    <mergeCell ref="G54:G55"/>
    <mergeCell ref="D54:D56"/>
    <mergeCell ref="Y54:Y56"/>
    <mergeCell ref="H54:H56"/>
    <mergeCell ref="I54:I56"/>
    <mergeCell ref="U54:U56"/>
    <mergeCell ref="V54:V56"/>
    <mergeCell ref="H89:H91"/>
    <mergeCell ref="I89:I91"/>
    <mergeCell ref="U89:U91"/>
    <mergeCell ref="V89:V91"/>
    <mergeCell ref="T54:T56"/>
    <mergeCell ref="Z89:Z91"/>
    <mergeCell ref="S90:S91"/>
    <mergeCell ref="Y89:Y91"/>
    <mergeCell ref="W54:W56"/>
    <mergeCell ref="R89:S89"/>
    <mergeCell ref="B1:AB1"/>
    <mergeCell ref="B2:AB2"/>
    <mergeCell ref="B3:AB3"/>
    <mergeCell ref="B4:AB4"/>
    <mergeCell ref="Z9:Z11"/>
    <mergeCell ref="B7:D7"/>
    <mergeCell ref="B8:D8"/>
    <mergeCell ref="G9:G10"/>
    <mergeCell ref="D216:D218"/>
    <mergeCell ref="Z153:Z155"/>
    <mergeCell ref="C127:D127"/>
    <mergeCell ref="B182:AB182"/>
    <mergeCell ref="Y216:Y218"/>
    <mergeCell ref="Q216:Q218"/>
    <mergeCell ref="P186:P188"/>
    <mergeCell ref="B149:AB149"/>
    <mergeCell ref="P216:P218"/>
    <mergeCell ref="B215:D215"/>
    <mergeCell ref="S55:S56"/>
    <mergeCell ref="Q54:Q56"/>
    <mergeCell ref="R55:R56"/>
    <mergeCell ref="R54:S54"/>
    <mergeCell ref="C54:C56"/>
    <mergeCell ref="P54:P56"/>
    <mergeCell ref="B573:AB573"/>
    <mergeCell ref="Y186:Y188"/>
    <mergeCell ref="Z186:Z188"/>
    <mergeCell ref="Y431:Y433"/>
    <mergeCell ref="B427:AB427"/>
    <mergeCell ref="B428:AB428"/>
    <mergeCell ref="B430:D430"/>
    <mergeCell ref="D186:D188"/>
    <mergeCell ref="R346:S346"/>
    <mergeCell ref="AB346:AB348"/>
    <mergeCell ref="R347:R348"/>
    <mergeCell ref="C317:C319"/>
    <mergeCell ref="B349:B363"/>
    <mergeCell ref="Z216:Z218"/>
    <mergeCell ref="B282:B305"/>
    <mergeCell ref="G186:G187"/>
    <mergeCell ref="B272:AB272"/>
    <mergeCell ref="B396:AB396"/>
    <mergeCell ref="Y402:Y404"/>
    <mergeCell ref="S403:S404"/>
    <mergeCell ref="D317:D319"/>
    <mergeCell ref="C464:D464"/>
    <mergeCell ref="B342:AB342"/>
    <mergeCell ref="C337:D337"/>
    <mergeCell ref="B401:D401"/>
    <mergeCell ref="R402:S402"/>
    <mergeCell ref="J374:O375"/>
    <mergeCell ref="C394:AB394"/>
    <mergeCell ref="AB374:AB376"/>
    <mergeCell ref="B377:B392"/>
    <mergeCell ref="J402:O403"/>
    <mergeCell ref="C374:C376"/>
    <mergeCell ref="W374:W376"/>
    <mergeCell ref="C377:D377"/>
    <mergeCell ref="C392:D392"/>
    <mergeCell ref="H374:H376"/>
    <mergeCell ref="I374:I376"/>
    <mergeCell ref="U374:U376"/>
    <mergeCell ref="B397:AB397"/>
    <mergeCell ref="R403:R404"/>
    <mergeCell ref="G374:G375"/>
    <mergeCell ref="R374:S374"/>
    <mergeCell ref="V374:V376"/>
    <mergeCell ref="T374:T376"/>
    <mergeCell ref="Q374:Q376"/>
    <mergeCell ref="D374:D376"/>
    <mergeCell ref="S375:S376"/>
    <mergeCell ref="B565:D565"/>
    <mergeCell ref="B434:B451"/>
    <mergeCell ref="B456:AB456"/>
    <mergeCell ref="E431:E433"/>
    <mergeCell ref="Q431:Q433"/>
    <mergeCell ref="W431:W433"/>
    <mergeCell ref="B431:B433"/>
    <mergeCell ref="B534:AB534"/>
    <mergeCell ref="B537:D537"/>
    <mergeCell ref="B533:AB533"/>
    <mergeCell ref="B532:AB532"/>
    <mergeCell ref="B455:AB455"/>
    <mergeCell ref="B531:AB531"/>
    <mergeCell ref="B529:D529"/>
    <mergeCell ref="B454:AB454"/>
    <mergeCell ref="C434:D434"/>
    <mergeCell ref="Z431:Z433"/>
    <mergeCell ref="S462:S463"/>
    <mergeCell ref="W461:W463"/>
    <mergeCell ref="P461:P463"/>
    <mergeCell ref="R432:R433"/>
    <mergeCell ref="S432:S433"/>
    <mergeCell ref="R431:S431"/>
    <mergeCell ref="H431:H433"/>
    <mergeCell ref="B373:D373"/>
    <mergeCell ref="C363:D363"/>
    <mergeCell ref="P346:P348"/>
    <mergeCell ref="B370:AB370"/>
    <mergeCell ref="AB402:AB404"/>
    <mergeCell ref="G402:G403"/>
    <mergeCell ref="C402:C404"/>
    <mergeCell ref="Y374:Y376"/>
    <mergeCell ref="Z374:Z376"/>
    <mergeCell ref="P374:P376"/>
    <mergeCell ref="E346:E348"/>
    <mergeCell ref="T346:T348"/>
    <mergeCell ref="Q346:Q348"/>
    <mergeCell ref="Q402:Q404"/>
    <mergeCell ref="Z402:Z404"/>
    <mergeCell ref="H402:H404"/>
    <mergeCell ref="I402:I404"/>
    <mergeCell ref="U402:U404"/>
    <mergeCell ref="V402:V404"/>
    <mergeCell ref="D402:D404"/>
    <mergeCell ref="P402:P404"/>
    <mergeCell ref="C366:AB366"/>
    <mergeCell ref="AA402:AA404"/>
    <mergeCell ref="B395:AB395"/>
    <mergeCell ref="B421:D421"/>
    <mergeCell ref="B424:AB424"/>
    <mergeCell ref="D431:D433"/>
    <mergeCell ref="B457:AB457"/>
    <mergeCell ref="C451:D451"/>
    <mergeCell ref="AB431:AB433"/>
    <mergeCell ref="B426:AB426"/>
    <mergeCell ref="B405:B420"/>
    <mergeCell ref="B425:AB425"/>
    <mergeCell ref="C405:D405"/>
    <mergeCell ref="I431:I433"/>
    <mergeCell ref="T431:T433"/>
    <mergeCell ref="U431:U433"/>
    <mergeCell ref="V431:V433"/>
    <mergeCell ref="B116:AB116"/>
    <mergeCell ref="B118:AB118"/>
    <mergeCell ref="B119:AB119"/>
    <mergeCell ref="S187:S188"/>
    <mergeCell ref="B185:D185"/>
    <mergeCell ref="R187:R188"/>
    <mergeCell ref="B121:D121"/>
    <mergeCell ref="G124:G125"/>
    <mergeCell ref="R125:R126"/>
    <mergeCell ref="S125:S126"/>
    <mergeCell ref="B124:B126"/>
    <mergeCell ref="E124:E126"/>
    <mergeCell ref="P124:P126"/>
    <mergeCell ref="T124:T126"/>
    <mergeCell ref="Q124:Q126"/>
    <mergeCell ref="W153:W155"/>
    <mergeCell ref="B179:AB179"/>
    <mergeCell ref="C124:C126"/>
    <mergeCell ref="B181:AB181"/>
    <mergeCell ref="B180:AB180"/>
    <mergeCell ref="W186:W188"/>
    <mergeCell ref="H186:H188"/>
    <mergeCell ref="I186:I188"/>
    <mergeCell ref="U186:U188"/>
  </mergeCells>
  <printOptions horizontalCentered="1" verticalCentered="1"/>
  <pageMargins left="0" right="0.47244094488188998" top="0.47244094488188998" bottom="0.39370078740157499" header="0.31496062992126" footer="0.31496062992126"/>
  <pageSetup paperSize="9" scale="56" fitToWidth="0" fitToHeight="0" orientation="landscape" r:id="rId1"/>
  <rowBreaks count="16" manualBreakCount="16">
    <brk id="45" max="20" man="1"/>
    <brk id="80" max="20" man="1"/>
    <brk id="116" max="16383" man="1"/>
    <brk id="145" max="20" man="1"/>
    <brk id="178" max="16383" man="1"/>
    <brk id="207" max="20" man="1"/>
    <brk id="236" max="20" man="1"/>
    <brk id="271" max="20" man="1"/>
    <brk id="309" max="20" man="1"/>
    <brk id="339" max="20" man="1"/>
    <brk id="366" max="20" man="1"/>
    <brk id="394" max="20" man="1"/>
    <brk id="424" max="20" man="1"/>
    <brk id="453" max="20" man="1"/>
    <brk id="483" max="27" man="1"/>
    <brk id="530" max="20" man="1"/>
  </rowBreaks>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M59"/>
  <sheetViews>
    <sheetView rightToLeft="1" workbookViewId="0"/>
  </sheetViews>
  <sheetFormatPr defaultColWidth="9.140625" defaultRowHeight="15" x14ac:dyDescent="0.35"/>
  <cols>
    <col min="1" max="1" width="0.7109375" style="47" customWidth="1"/>
    <col min="2" max="2" width="9.140625" style="124" customWidth="1"/>
    <col min="3" max="3" width="9.85546875" style="47" customWidth="1"/>
    <col min="4" max="4" width="13.140625" style="47" customWidth="1"/>
    <col min="5" max="5" width="1.140625" style="47" customWidth="1"/>
    <col min="6" max="6" width="12.140625" style="47" customWidth="1"/>
    <col min="7" max="7" width="1" style="47" customWidth="1"/>
    <col min="8" max="8" width="13.28515625" style="47" customWidth="1"/>
    <col min="9" max="9" width="15.5703125" style="47" customWidth="1"/>
    <col min="10" max="10" width="10.85546875" style="47" customWidth="1"/>
    <col min="11" max="11" width="9.140625" style="47" hidden="1" customWidth="1"/>
    <col min="12" max="12" width="9.140625" style="47" customWidth="1"/>
    <col min="13" max="13" width="13.85546875" style="47" bestFit="1" customWidth="1"/>
    <col min="14" max="14" width="9.140625" style="47" customWidth="1"/>
    <col min="15" max="16384" width="9.140625" style="47"/>
  </cols>
  <sheetData>
    <row r="1" spans="2:11" ht="18" x14ac:dyDescent="0.45">
      <c r="B1" s="4177" t="s">
        <v>295</v>
      </c>
      <c r="C1" s="4177"/>
      <c r="D1" s="4177"/>
      <c r="E1" s="4177"/>
      <c r="F1" s="4177"/>
      <c r="G1" s="4177"/>
      <c r="H1" s="4177"/>
      <c r="I1" s="4177"/>
      <c r="J1" s="111"/>
      <c r="K1" s="111"/>
    </row>
    <row r="2" spans="2:11" ht="18" x14ac:dyDescent="0.45">
      <c r="B2" s="4177" t="s">
        <v>45</v>
      </c>
      <c r="C2" s="4177"/>
      <c r="D2" s="4177"/>
      <c r="E2" s="4177"/>
      <c r="F2" s="4177"/>
      <c r="G2" s="4177"/>
      <c r="H2" s="4177"/>
      <c r="I2" s="4177"/>
      <c r="J2" s="111"/>
      <c r="K2" s="111"/>
    </row>
    <row r="3" spans="2:11" ht="18" x14ac:dyDescent="0.45">
      <c r="B3" s="4177" t="s">
        <v>46</v>
      </c>
      <c r="C3" s="4177"/>
      <c r="D3" s="4177"/>
      <c r="E3" s="4177"/>
      <c r="F3" s="4177"/>
      <c r="G3" s="4177"/>
      <c r="H3" s="4177"/>
      <c r="I3" s="4177"/>
      <c r="J3" s="111"/>
      <c r="K3" s="111"/>
    </row>
    <row r="4" spans="2:11" ht="18.75" x14ac:dyDescent="0.35">
      <c r="B4" s="3897" t="s">
        <v>253</v>
      </c>
      <c r="C4" s="3897"/>
      <c r="D4" s="3897"/>
      <c r="E4" s="3897"/>
      <c r="F4" s="3897"/>
      <c r="G4" s="3897"/>
      <c r="H4" s="3897"/>
      <c r="I4" s="3897"/>
      <c r="K4" s="102"/>
    </row>
    <row r="5" spans="2:11" ht="9" customHeight="1" x14ac:dyDescent="0.45">
      <c r="B5" s="75"/>
      <c r="C5" s="65"/>
      <c r="D5" s="69"/>
      <c r="E5" s="69"/>
      <c r="J5" s="112"/>
    </row>
    <row r="6" spans="2:11" s="48" customFormat="1" ht="16.5" customHeight="1" x14ac:dyDescent="0.4">
      <c r="B6" s="3939" t="s">
        <v>446</v>
      </c>
      <c r="C6" s="3939"/>
      <c r="D6" s="3939"/>
      <c r="E6" s="3939"/>
      <c r="F6" s="3939"/>
      <c r="G6" s="3939"/>
      <c r="H6" s="113"/>
      <c r="I6" s="114"/>
      <c r="K6" s="115"/>
    </row>
    <row r="7" spans="2:11" s="48" customFormat="1" ht="10.5" customHeight="1" x14ac:dyDescent="0.4">
      <c r="B7" s="105"/>
      <c r="C7" s="68"/>
      <c r="D7" s="68"/>
      <c r="E7" s="68"/>
      <c r="F7" s="113"/>
      <c r="G7" s="113"/>
      <c r="H7" s="113"/>
      <c r="I7" s="114"/>
      <c r="K7" s="115"/>
    </row>
    <row r="8" spans="2:11" s="48" customFormat="1" ht="16.5" customHeight="1" x14ac:dyDescent="0.4">
      <c r="B8" s="4176" t="s">
        <v>447</v>
      </c>
      <c r="C8" s="4176"/>
      <c r="D8" s="4176"/>
      <c r="E8" s="4176"/>
      <c r="F8" s="4176"/>
      <c r="G8" s="4176"/>
      <c r="H8" s="4176"/>
      <c r="I8" s="47"/>
      <c r="K8" s="115"/>
    </row>
    <row r="9" spans="2:11" s="48" customFormat="1" ht="16.5" customHeight="1" x14ac:dyDescent="0.4">
      <c r="B9" s="4176"/>
      <c r="C9" s="4176"/>
      <c r="D9" s="4176"/>
      <c r="E9" s="4176"/>
      <c r="F9" s="4176"/>
      <c r="G9" s="4176"/>
      <c r="H9" s="4176"/>
      <c r="I9" s="67" t="s">
        <v>448</v>
      </c>
      <c r="K9" s="115"/>
    </row>
    <row r="10" spans="2:11" s="48" customFormat="1" ht="16.5" customHeight="1" x14ac:dyDescent="0.4">
      <c r="B10" s="4166" t="s">
        <v>196</v>
      </c>
      <c r="C10" s="4167" t="s">
        <v>439</v>
      </c>
      <c r="D10" s="4167"/>
      <c r="E10" s="4167"/>
      <c r="F10" s="4167"/>
      <c r="G10" s="4167"/>
      <c r="H10" s="4168" t="s">
        <v>449</v>
      </c>
      <c r="I10" s="4168"/>
      <c r="K10" s="116"/>
    </row>
    <row r="11" spans="2:11" s="48" customFormat="1" ht="16.5" customHeight="1" x14ac:dyDescent="0.4">
      <c r="B11" s="4166"/>
      <c r="C11" s="4167"/>
      <c r="D11" s="4167"/>
      <c r="E11" s="4167"/>
      <c r="F11" s="4167"/>
      <c r="G11" s="4167"/>
      <c r="H11" s="117" t="s">
        <v>49</v>
      </c>
      <c r="I11" s="117" t="s">
        <v>450</v>
      </c>
      <c r="K11" s="118"/>
    </row>
    <row r="12" spans="2:11" s="48" customFormat="1" ht="16.5" customHeight="1" x14ac:dyDescent="0.4">
      <c r="B12" s="63">
        <v>1503002046</v>
      </c>
      <c r="C12" s="4171" t="s">
        <v>83</v>
      </c>
      <c r="D12" s="4171"/>
      <c r="E12" s="4171"/>
      <c r="F12" s="4171"/>
      <c r="G12" s="4171"/>
      <c r="H12" s="119">
        <v>9094966606</v>
      </c>
      <c r="I12" s="120">
        <v>6177812133</v>
      </c>
      <c r="J12" s="121"/>
      <c r="K12" s="121"/>
    </row>
    <row r="13" spans="2:11" s="48" customFormat="1" ht="16.5" customHeight="1" x14ac:dyDescent="0.4">
      <c r="B13" s="63">
        <v>1503002096</v>
      </c>
      <c r="C13" s="4171" t="s">
        <v>84</v>
      </c>
      <c r="D13" s="4171"/>
      <c r="E13" s="4171"/>
      <c r="F13" s="4171"/>
      <c r="G13" s="4171"/>
      <c r="H13" s="119">
        <v>1000000000</v>
      </c>
      <c r="I13" s="120">
        <v>400000000</v>
      </c>
      <c r="J13" s="121"/>
      <c r="K13" s="121"/>
    </row>
    <row r="14" spans="2:11" s="48" customFormat="1" ht="16.5" customHeight="1" x14ac:dyDescent="0.4">
      <c r="B14" s="99">
        <v>1503002173</v>
      </c>
      <c r="C14" s="4174" t="s">
        <v>85</v>
      </c>
      <c r="D14" s="4174"/>
      <c r="E14" s="4174"/>
      <c r="F14" s="4174"/>
      <c r="G14" s="4174"/>
      <c r="H14" s="119">
        <v>230322000</v>
      </c>
      <c r="I14" s="120" t="s">
        <v>30</v>
      </c>
      <c r="J14" s="121"/>
      <c r="K14" s="121"/>
    </row>
    <row r="15" spans="2:11" s="48" customFormat="1" ht="16.5" customHeight="1" x14ac:dyDescent="0.4">
      <c r="B15" s="99" t="s">
        <v>104</v>
      </c>
      <c r="C15" s="4174" t="s">
        <v>198</v>
      </c>
      <c r="D15" s="4174"/>
      <c r="E15" s="4174"/>
      <c r="F15" s="4174"/>
      <c r="G15" s="4174"/>
      <c r="H15" s="119">
        <v>500000000</v>
      </c>
      <c r="I15" s="120" t="s">
        <v>30</v>
      </c>
      <c r="J15" s="121"/>
      <c r="K15" s="121"/>
    </row>
    <row r="16" spans="2:11" s="48" customFormat="1" ht="16.5" customHeight="1" x14ac:dyDescent="0.4">
      <c r="B16" s="99" t="s">
        <v>68</v>
      </c>
      <c r="C16" s="4174" t="s">
        <v>70</v>
      </c>
      <c r="D16" s="4174"/>
      <c r="E16" s="4174"/>
      <c r="F16" s="4174"/>
      <c r="G16" s="4174"/>
      <c r="H16" s="119">
        <v>1493728000</v>
      </c>
      <c r="I16" s="120" t="s">
        <v>30</v>
      </c>
      <c r="J16" s="121"/>
      <c r="K16" s="121"/>
    </row>
    <row r="17" spans="2:13" s="48" customFormat="1" ht="16.5" customHeight="1" x14ac:dyDescent="0.4">
      <c r="B17" s="87" t="s">
        <v>105</v>
      </c>
      <c r="C17" s="4175" t="s">
        <v>106</v>
      </c>
      <c r="D17" s="4175"/>
      <c r="E17" s="4175"/>
      <c r="F17" s="4175"/>
      <c r="G17" s="4175"/>
      <c r="H17" s="119">
        <v>2300000000</v>
      </c>
      <c r="I17" s="120" t="s">
        <v>30</v>
      </c>
      <c r="J17" s="121"/>
      <c r="K17" s="121"/>
    </row>
    <row r="18" spans="2:13" s="48" customFormat="1" ht="16.5" customHeight="1" x14ac:dyDescent="0.4">
      <c r="B18" s="63" t="s">
        <v>182</v>
      </c>
      <c r="C18" s="4171" t="s">
        <v>335</v>
      </c>
      <c r="D18" s="4171"/>
      <c r="E18" s="4171"/>
      <c r="F18" s="4171"/>
      <c r="G18" s="4171"/>
      <c r="H18" s="119">
        <v>4204065107</v>
      </c>
      <c r="I18" s="120">
        <v>9139000000</v>
      </c>
      <c r="J18" s="121"/>
      <c r="K18" s="121"/>
    </row>
    <row r="19" spans="2:13" s="48" customFormat="1" ht="16.5" customHeight="1" x14ac:dyDescent="0.4">
      <c r="B19" s="64" t="s">
        <v>81</v>
      </c>
      <c r="C19" s="4161" t="s">
        <v>82</v>
      </c>
      <c r="D19" s="4161"/>
      <c r="E19" s="4161"/>
      <c r="F19" s="4161"/>
      <c r="G19" s="4161"/>
      <c r="H19" s="119">
        <v>131520000</v>
      </c>
      <c r="I19" s="120" t="s">
        <v>30</v>
      </c>
      <c r="J19" s="121"/>
      <c r="K19" s="121"/>
    </row>
    <row r="20" spans="2:13" s="48" customFormat="1" ht="16.5" customHeight="1" x14ac:dyDescent="0.4">
      <c r="B20" s="64" t="s">
        <v>125</v>
      </c>
      <c r="C20" s="4161" t="s">
        <v>371</v>
      </c>
      <c r="D20" s="4161"/>
      <c r="E20" s="4161"/>
      <c r="F20" s="4161"/>
      <c r="G20" s="4161"/>
      <c r="H20" s="119">
        <v>4450000000</v>
      </c>
      <c r="I20" s="120" t="s">
        <v>30</v>
      </c>
      <c r="J20" s="121"/>
      <c r="K20" s="121"/>
    </row>
    <row r="21" spans="2:13" s="48" customFormat="1" ht="16.5" hidden="1" customHeight="1" x14ac:dyDescent="0.4">
      <c r="B21" s="4172" t="s">
        <v>442</v>
      </c>
      <c r="C21" s="4172"/>
      <c r="D21" s="4172"/>
      <c r="E21" s="4172"/>
      <c r="F21" s="4172"/>
      <c r="G21" s="4172"/>
      <c r="H21" s="119"/>
      <c r="I21" s="120"/>
      <c r="J21" s="121"/>
      <c r="K21" s="121"/>
    </row>
    <row r="22" spans="2:13" s="48" customFormat="1" ht="16.5" customHeight="1" thickBot="1" x14ac:dyDescent="0.5">
      <c r="B22" s="4173" t="s">
        <v>386</v>
      </c>
      <c r="C22" s="4173"/>
      <c r="D22" s="4173"/>
      <c r="E22" s="4173"/>
      <c r="F22" s="4173"/>
      <c r="G22" s="4173"/>
      <c r="H22" s="122">
        <f>SUM(H12:H21)</f>
        <v>23404601713</v>
      </c>
      <c r="I22" s="122">
        <f>SUM(I12:I21)</f>
        <v>15716812133</v>
      </c>
      <c r="J22" s="123"/>
      <c r="K22" s="123"/>
    </row>
    <row r="23" spans="2:13" ht="15.75" thickTop="1" x14ac:dyDescent="0.35">
      <c r="H23" s="50" t="s">
        <v>451</v>
      </c>
      <c r="I23" s="47" t="s">
        <v>336</v>
      </c>
      <c r="K23" s="4165"/>
    </row>
    <row r="24" spans="2:13" x14ac:dyDescent="0.35">
      <c r="K24" s="4165"/>
    </row>
    <row r="25" spans="2:13" ht="18" x14ac:dyDescent="0.35">
      <c r="B25" s="3939" t="s">
        <v>462</v>
      </c>
      <c r="C25" s="3939"/>
      <c r="D25" s="3939"/>
      <c r="E25" s="3939"/>
      <c r="F25" s="3939"/>
      <c r="G25" s="3939"/>
      <c r="H25" s="3939"/>
      <c r="I25" s="3939"/>
      <c r="K25" s="4165"/>
    </row>
    <row r="26" spans="2:13" x14ac:dyDescent="0.35">
      <c r="K26" s="125"/>
    </row>
    <row r="27" spans="2:13" ht="17.25" x14ac:dyDescent="0.4">
      <c r="B27" s="4166" t="s">
        <v>196</v>
      </c>
      <c r="C27" s="4167" t="s">
        <v>439</v>
      </c>
      <c r="D27" s="4168" t="s">
        <v>452</v>
      </c>
      <c r="E27" s="4162" t="s">
        <v>10</v>
      </c>
      <c r="F27" s="4162"/>
      <c r="G27" s="4162"/>
      <c r="H27" s="4162"/>
      <c r="I27" s="4162"/>
      <c r="J27" s="4169" t="s">
        <v>11</v>
      </c>
      <c r="K27" s="125"/>
      <c r="M27" s="109"/>
    </row>
    <row r="28" spans="2:13" ht="14.25" customHeight="1" x14ac:dyDescent="0.4">
      <c r="B28" s="4166"/>
      <c r="C28" s="4167"/>
      <c r="D28" s="4168"/>
      <c r="E28" s="4167" t="s">
        <v>453</v>
      </c>
      <c r="F28" s="4167"/>
      <c r="G28" s="4170" t="s">
        <v>454</v>
      </c>
      <c r="H28" s="4170"/>
      <c r="I28" s="4169" t="s">
        <v>195</v>
      </c>
      <c r="J28" s="4169"/>
      <c r="L28" s="109"/>
    </row>
    <row r="29" spans="2:13" ht="17.25" x14ac:dyDescent="0.4">
      <c r="B29" s="4166"/>
      <c r="C29" s="4167"/>
      <c r="D29" s="4168"/>
      <c r="E29" s="4167"/>
      <c r="F29" s="4167"/>
      <c r="G29" s="4170"/>
      <c r="H29" s="4170"/>
      <c r="I29" s="4169"/>
      <c r="J29" s="4169"/>
      <c r="L29" s="109"/>
    </row>
    <row r="30" spans="2:13" ht="17.25" x14ac:dyDescent="0.4">
      <c r="B30" s="4160">
        <v>1307002000</v>
      </c>
      <c r="C30" s="4161" t="s">
        <v>144</v>
      </c>
      <c r="D30" s="126" t="s">
        <v>455</v>
      </c>
      <c r="E30" s="4162">
        <v>69928000000</v>
      </c>
      <c r="F30" s="4162"/>
      <c r="G30" s="4162" t="s">
        <v>30</v>
      </c>
      <c r="H30" s="4162"/>
      <c r="I30" s="66" t="e">
        <f>#N/A</f>
        <v>#N/A</v>
      </c>
      <c r="J30" s="127">
        <v>31346000000</v>
      </c>
      <c r="L30" s="109"/>
    </row>
    <row r="31" spans="2:13" ht="17.25" x14ac:dyDescent="0.4">
      <c r="B31" s="4160"/>
      <c r="C31" s="4161"/>
      <c r="D31" s="126" t="s">
        <v>456</v>
      </c>
      <c r="E31" s="4162">
        <v>8191000000</v>
      </c>
      <c r="F31" s="4162"/>
      <c r="G31" s="4162">
        <v>468000000</v>
      </c>
      <c r="H31" s="4162"/>
      <c r="I31" s="66" t="e">
        <f>#N/A</f>
        <v>#N/A</v>
      </c>
      <c r="J31" s="127">
        <v>4523000000</v>
      </c>
      <c r="L31" s="109"/>
    </row>
    <row r="32" spans="2:13" x14ac:dyDescent="0.35">
      <c r="B32" s="4160"/>
      <c r="C32" s="4161"/>
      <c r="D32" s="128" t="s">
        <v>445</v>
      </c>
      <c r="E32" s="4157">
        <v>6333000000</v>
      </c>
      <c r="F32" s="4157"/>
      <c r="G32" s="4157" t="s">
        <v>30</v>
      </c>
      <c r="H32" s="4157"/>
      <c r="I32" s="66" t="e">
        <f>#N/A</f>
        <v>#N/A</v>
      </c>
      <c r="J32" s="127">
        <v>4775000000</v>
      </c>
    </row>
    <row r="33" spans="2:11" x14ac:dyDescent="0.35">
      <c r="B33" s="4160"/>
      <c r="C33" s="4161"/>
      <c r="D33" s="128" t="s">
        <v>414</v>
      </c>
      <c r="E33" s="4157">
        <v>85782000000</v>
      </c>
      <c r="F33" s="4157"/>
      <c r="G33" s="4162">
        <v>1382000000</v>
      </c>
      <c r="H33" s="4162"/>
      <c r="I33" s="66" t="e">
        <f>#N/A</f>
        <v>#N/A</v>
      </c>
      <c r="J33" s="127">
        <v>59513000000</v>
      </c>
    </row>
    <row r="34" spans="2:11" x14ac:dyDescent="0.35">
      <c r="B34" s="4160"/>
      <c r="C34" s="4161"/>
      <c r="D34" s="128" t="s">
        <v>457</v>
      </c>
      <c r="E34" s="4157">
        <v>5803000000</v>
      </c>
      <c r="F34" s="4157"/>
      <c r="G34" s="4163">
        <v>1729095494</v>
      </c>
      <c r="H34" s="4163"/>
      <c r="I34" s="66" t="e">
        <f>#N/A</f>
        <v>#N/A</v>
      </c>
      <c r="J34" s="127">
        <v>5916000000</v>
      </c>
    </row>
    <row r="35" spans="2:11" x14ac:dyDescent="0.35">
      <c r="B35" s="4160"/>
      <c r="C35" s="4161"/>
      <c r="D35" s="128" t="s">
        <v>458</v>
      </c>
      <c r="E35" s="4157">
        <v>31481000000</v>
      </c>
      <c r="F35" s="4157"/>
      <c r="G35" s="4162">
        <v>2829075000</v>
      </c>
      <c r="H35" s="4162"/>
      <c r="I35" s="66" t="e">
        <f>#N/A</f>
        <v>#N/A</v>
      </c>
      <c r="J35" s="127">
        <v>69550000000</v>
      </c>
    </row>
    <row r="36" spans="2:11" x14ac:dyDescent="0.35">
      <c r="B36" s="4160"/>
      <c r="C36" s="4161"/>
      <c r="D36" s="128" t="s">
        <v>459</v>
      </c>
      <c r="E36" s="4157">
        <v>8071000000</v>
      </c>
      <c r="F36" s="4157"/>
      <c r="G36" s="4157" t="s">
        <v>30</v>
      </c>
      <c r="H36" s="4157"/>
      <c r="I36" s="66" t="e">
        <f>#N/A</f>
        <v>#N/A</v>
      </c>
      <c r="J36" s="127">
        <v>6194000000</v>
      </c>
    </row>
    <row r="37" spans="2:11" x14ac:dyDescent="0.35">
      <c r="B37" s="4160"/>
      <c r="C37" s="4161"/>
      <c r="D37" s="128" t="s">
        <v>460</v>
      </c>
      <c r="E37" s="4156"/>
      <c r="F37" s="4156"/>
      <c r="G37" s="4157" t="s">
        <v>30</v>
      </c>
      <c r="H37" s="4157"/>
      <c r="I37" s="66" t="s">
        <v>30</v>
      </c>
      <c r="J37" s="127">
        <v>5618000000</v>
      </c>
    </row>
    <row r="38" spans="2:11" x14ac:dyDescent="0.35">
      <c r="B38" s="4160"/>
      <c r="C38" s="4161"/>
      <c r="D38" s="128" t="s">
        <v>461</v>
      </c>
      <c r="E38" s="4157">
        <v>5926000000</v>
      </c>
      <c r="F38" s="4157"/>
      <c r="G38" s="4157" t="s">
        <v>30</v>
      </c>
      <c r="H38" s="4157"/>
      <c r="I38" s="66">
        <f>SUM(E38:H38)</f>
        <v>5926000000</v>
      </c>
      <c r="J38" s="127">
        <v>5568000000</v>
      </c>
    </row>
    <row r="39" spans="2:11" ht="15.75" thickBot="1" x14ac:dyDescent="0.4">
      <c r="B39" s="4158" t="s">
        <v>386</v>
      </c>
      <c r="C39" s="4158"/>
      <c r="D39" s="4158"/>
      <c r="E39" s="4159">
        <f>SUM(E30:F38)</f>
        <v>221515000000</v>
      </c>
      <c r="F39" s="4159"/>
      <c r="G39" s="4159">
        <f>SUM(G30:H38)</f>
        <v>6408170494</v>
      </c>
      <c r="H39" s="4159"/>
      <c r="I39" s="129" t="e">
        <f>SUM(I30:I38)</f>
        <v>#N/A</v>
      </c>
      <c r="J39" s="130">
        <f>SUM(J30:J38)</f>
        <v>193003000000</v>
      </c>
    </row>
    <row r="40" spans="2:11" ht="15.75" thickTop="1" x14ac:dyDescent="0.35">
      <c r="F40" s="47" t="s">
        <v>463</v>
      </c>
      <c r="G40" s="4164" t="s">
        <v>438</v>
      </c>
      <c r="H40" s="4164"/>
      <c r="K40" s="131"/>
    </row>
    <row r="41" spans="2:11" x14ac:dyDescent="0.35">
      <c r="F41" s="49"/>
      <c r="G41" s="49"/>
      <c r="H41" s="49"/>
      <c r="I41" s="49"/>
      <c r="K41" s="132"/>
    </row>
    <row r="42" spans="2:11" x14ac:dyDescent="0.35">
      <c r="F42" s="49"/>
      <c r="G42" s="49"/>
      <c r="H42" s="49"/>
      <c r="I42" s="49"/>
      <c r="K42" s="132"/>
    </row>
    <row r="43" spans="2:11" x14ac:dyDescent="0.35">
      <c r="F43" s="49"/>
      <c r="G43" s="49"/>
      <c r="H43" s="49"/>
      <c r="I43" s="49"/>
      <c r="K43" s="132"/>
    </row>
    <row r="44" spans="2:11" x14ac:dyDescent="0.35">
      <c r="F44" s="49"/>
      <c r="G44" s="49"/>
      <c r="H44" s="49"/>
      <c r="I44" s="49"/>
      <c r="K44" s="132"/>
    </row>
    <row r="45" spans="2:11" x14ac:dyDescent="0.35">
      <c r="F45" s="49"/>
      <c r="G45" s="49"/>
      <c r="H45" s="49"/>
      <c r="I45" s="49"/>
      <c r="K45" s="132"/>
    </row>
    <row r="46" spans="2:11" ht="15.75" thickBot="1" x14ac:dyDescent="0.4">
      <c r="F46" s="49"/>
      <c r="G46" s="49"/>
      <c r="H46" s="49"/>
      <c r="I46" s="49"/>
      <c r="K46" s="132"/>
    </row>
    <row r="47" spans="2:11" ht="13.5" customHeight="1" thickBot="1" x14ac:dyDescent="0.4">
      <c r="B47" s="4154" t="s">
        <v>264</v>
      </c>
      <c r="C47" s="4154"/>
      <c r="D47" s="4154"/>
      <c r="E47" s="4154"/>
      <c r="F47" s="4154"/>
      <c r="G47" s="4154"/>
      <c r="H47" s="4154"/>
      <c r="I47" s="4154"/>
      <c r="K47" s="133" t="s">
        <v>221</v>
      </c>
    </row>
    <row r="48" spans="2:11" ht="15.75" thickBot="1" x14ac:dyDescent="0.4">
      <c r="K48" s="4155" t="s">
        <v>190</v>
      </c>
    </row>
    <row r="49" spans="11:11" ht="15.75" thickBot="1" x14ac:dyDescent="0.4">
      <c r="K49" s="4155"/>
    </row>
    <row r="50" spans="11:11" ht="15.75" thickBot="1" x14ac:dyDescent="0.4">
      <c r="K50" s="4155"/>
    </row>
    <row r="51" spans="11:11" ht="15.75" thickBot="1" x14ac:dyDescent="0.4">
      <c r="K51" s="4155"/>
    </row>
    <row r="52" spans="11:11" ht="15.75" thickBot="1" x14ac:dyDescent="0.4">
      <c r="K52" s="4155"/>
    </row>
    <row r="53" spans="11:11" ht="15.75" thickBot="1" x14ac:dyDescent="0.4">
      <c r="K53" s="4155"/>
    </row>
    <row r="54" spans="11:11" ht="15.75" thickBot="1" x14ac:dyDescent="0.4">
      <c r="K54" s="4155"/>
    </row>
    <row r="55" spans="11:11" ht="15.75" thickBot="1" x14ac:dyDescent="0.4">
      <c r="K55" s="4155"/>
    </row>
    <row r="56" spans="11:11" ht="15.75" thickBot="1" x14ac:dyDescent="0.4">
      <c r="K56" s="4155"/>
    </row>
    <row r="57" spans="11:11" ht="13.5" customHeight="1" thickBot="1" x14ac:dyDescent="0.4">
      <c r="K57" s="133" t="s">
        <v>464</v>
      </c>
    </row>
    <row r="58" spans="11:11" ht="15.75" thickBot="1" x14ac:dyDescent="0.4">
      <c r="K58" s="134" t="s">
        <v>195</v>
      </c>
    </row>
    <row r="59" spans="11:11" ht="15.75" thickTop="1" x14ac:dyDescent="0.35">
      <c r="K59" s="135"/>
    </row>
  </sheetData>
  <mergeCells count="56">
    <mergeCell ref="B1:I1"/>
    <mergeCell ref="B2:I2"/>
    <mergeCell ref="B3:I3"/>
    <mergeCell ref="B4:I4"/>
    <mergeCell ref="B6:G6"/>
    <mergeCell ref="B8:H9"/>
    <mergeCell ref="B10:B11"/>
    <mergeCell ref="C10:G11"/>
    <mergeCell ref="H10:I10"/>
    <mergeCell ref="C12:G12"/>
    <mergeCell ref="C13:G13"/>
    <mergeCell ref="C14:G14"/>
    <mergeCell ref="C15:G15"/>
    <mergeCell ref="C16:G16"/>
    <mergeCell ref="C17:G17"/>
    <mergeCell ref="E32:F32"/>
    <mergeCell ref="G32:H32"/>
    <mergeCell ref="C18:G18"/>
    <mergeCell ref="C19:G19"/>
    <mergeCell ref="C20:G20"/>
    <mergeCell ref="B21:G21"/>
    <mergeCell ref="B22:G22"/>
    <mergeCell ref="K23:K25"/>
    <mergeCell ref="B25:I25"/>
    <mergeCell ref="B27:B29"/>
    <mergeCell ref="C27:C29"/>
    <mergeCell ref="D27:D29"/>
    <mergeCell ref="E27:I27"/>
    <mergeCell ref="J27:J29"/>
    <mergeCell ref="E28:F29"/>
    <mergeCell ref="G28:H29"/>
    <mergeCell ref="I28:I29"/>
    <mergeCell ref="G33:H33"/>
    <mergeCell ref="E34:F34"/>
    <mergeCell ref="G34:H34"/>
    <mergeCell ref="G40:H40"/>
    <mergeCell ref="E35:F35"/>
    <mergeCell ref="G35:H35"/>
    <mergeCell ref="E36:F36"/>
    <mergeCell ref="G36:H36"/>
    <mergeCell ref="B47:I47"/>
    <mergeCell ref="K48:K56"/>
    <mergeCell ref="E37:F37"/>
    <mergeCell ref="G37:H37"/>
    <mergeCell ref="E38:F38"/>
    <mergeCell ref="G38:H38"/>
    <mergeCell ref="B39:D39"/>
    <mergeCell ref="E39:F39"/>
    <mergeCell ref="G39:H39"/>
    <mergeCell ref="B30:B38"/>
    <mergeCell ref="C30:C38"/>
    <mergeCell ref="E30:F30"/>
    <mergeCell ref="G30:H30"/>
    <mergeCell ref="E31:F31"/>
    <mergeCell ref="G31:H31"/>
    <mergeCell ref="E33:F33"/>
  </mergeCells>
  <pageMargins left="0.70866141732283516" right="0.70866141732283516" top="0.74803149606299213" bottom="0.35433070866141764" header="0.31496062992126012" footer="0.31496062992126012"/>
  <pageSetup scale="99" fitToWidth="0"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2060"/>
  </sheetPr>
  <dimension ref="A1:K252"/>
  <sheetViews>
    <sheetView rightToLeft="1" view="pageBreakPreview" zoomScale="91" zoomScaleNormal="60" zoomScaleSheetLayoutView="91" workbookViewId="0">
      <selection activeCell="G12" sqref="G12"/>
    </sheetView>
  </sheetViews>
  <sheetFormatPr defaultColWidth="9.140625" defaultRowHeight="15" x14ac:dyDescent="0.2"/>
  <cols>
    <col min="1" max="1" width="2.28515625" style="57" customWidth="1"/>
    <col min="2" max="2" width="22.5703125" style="178" customWidth="1"/>
    <col min="3" max="3" width="1.7109375" style="178" customWidth="1"/>
    <col min="4" max="4" width="9.85546875" style="62" customWidth="1"/>
    <col min="5" max="5" width="9" style="62" customWidth="1"/>
    <col min="6" max="6" width="1.28515625" style="62" customWidth="1"/>
    <col min="7" max="7" width="24.85546875" style="62" customWidth="1"/>
    <col min="8" max="8" width="17.140625" style="62" customWidth="1"/>
    <col min="9" max="9" width="22.140625" style="62" customWidth="1"/>
    <col min="10" max="10" width="1.28515625" style="57" customWidth="1"/>
    <col min="11" max="11" width="1" style="57" customWidth="1"/>
    <col min="12" max="16384" width="9.140625" style="57"/>
  </cols>
  <sheetData>
    <row r="1" spans="2:11" ht="27.75" customHeight="1" x14ac:dyDescent="0.2">
      <c r="B1" s="4202" t="s">
        <v>24</v>
      </c>
      <c r="C1" s="4202"/>
      <c r="D1" s="4202"/>
      <c r="E1" s="4202"/>
      <c r="F1" s="4202"/>
      <c r="G1" s="4202"/>
      <c r="H1" s="4202"/>
      <c r="I1" s="4202"/>
      <c r="J1" s="4202"/>
      <c r="K1" s="4202"/>
    </row>
    <row r="2" spans="2:11" ht="27.75" customHeight="1" x14ac:dyDescent="0.2">
      <c r="B2" s="4202" t="s">
        <v>51</v>
      </c>
      <c r="C2" s="4202"/>
      <c r="D2" s="4202"/>
      <c r="E2" s="4202"/>
      <c r="F2" s="4202"/>
      <c r="G2" s="4202"/>
      <c r="H2" s="4202"/>
      <c r="I2" s="4202"/>
      <c r="J2" s="4202"/>
      <c r="K2" s="4202"/>
    </row>
    <row r="3" spans="2:11" ht="27.75" customHeight="1" x14ac:dyDescent="0.2">
      <c r="B3" s="4202" t="s">
        <v>337</v>
      </c>
      <c r="C3" s="4202"/>
      <c r="D3" s="4202"/>
      <c r="E3" s="4202"/>
      <c r="F3" s="4202"/>
      <c r="G3" s="4202"/>
      <c r="H3" s="4202"/>
      <c r="I3" s="4202"/>
      <c r="J3" s="4202"/>
      <c r="K3" s="4202"/>
    </row>
    <row r="4" spans="2:11" ht="27.75" customHeight="1" x14ac:dyDescent="0.2">
      <c r="B4" s="4202" t="s">
        <v>1985</v>
      </c>
      <c r="C4" s="4202"/>
      <c r="D4" s="4202"/>
      <c r="E4" s="4202"/>
      <c r="F4" s="4202"/>
      <c r="G4" s="4202"/>
      <c r="H4" s="4202"/>
      <c r="I4" s="4202"/>
      <c r="J4" s="4202"/>
      <c r="K4" s="4202"/>
    </row>
    <row r="5" spans="2:11" ht="27.75" customHeight="1" x14ac:dyDescent="0.2">
      <c r="B5" s="1089"/>
      <c r="C5" s="1089"/>
      <c r="D5" s="1089"/>
      <c r="E5" s="1089"/>
      <c r="F5" s="1089"/>
      <c r="G5" s="1089"/>
      <c r="H5" s="1089"/>
      <c r="I5" s="1089"/>
      <c r="J5" s="1089"/>
      <c r="K5" s="1089"/>
    </row>
    <row r="6" spans="2:11" ht="24.75" x14ac:dyDescent="0.2">
      <c r="B6" s="4183" t="s">
        <v>2193</v>
      </c>
      <c r="C6" s="4183"/>
      <c r="D6" s="4183"/>
      <c r="E6" s="189"/>
      <c r="F6" s="189"/>
      <c r="G6" s="189"/>
      <c r="H6" s="189"/>
      <c r="I6" s="190" t="s">
        <v>1193</v>
      </c>
    </row>
    <row r="7" spans="2:11" ht="18.75" x14ac:dyDescent="0.2">
      <c r="B7" s="136"/>
      <c r="C7" s="136"/>
      <c r="D7" s="1467"/>
      <c r="E7" s="137" t="s">
        <v>9</v>
      </c>
      <c r="F7" s="1467"/>
      <c r="G7" s="137" t="s">
        <v>1980</v>
      </c>
      <c r="H7" s="1465"/>
      <c r="I7" s="137" t="s">
        <v>1380</v>
      </c>
    </row>
    <row r="8" spans="2:11" ht="25.5" customHeight="1" x14ac:dyDescent="0.2">
      <c r="B8" s="136"/>
      <c r="C8" s="136"/>
      <c r="D8" s="1467"/>
      <c r="E8" s="1467"/>
      <c r="F8" s="1467"/>
      <c r="G8" s="138"/>
      <c r="H8" s="1465"/>
      <c r="I8" s="138"/>
    </row>
    <row r="9" spans="2:11" ht="25.5" customHeight="1" x14ac:dyDescent="0.5">
      <c r="B9" s="4201" t="s">
        <v>465</v>
      </c>
      <c r="C9" s="4201"/>
      <c r="D9" s="4201"/>
      <c r="E9" s="292" t="s">
        <v>1899</v>
      </c>
      <c r="F9" s="1473"/>
      <c r="G9" s="432">
        <f>G171</f>
        <v>8840014660824</v>
      </c>
      <c r="H9" s="431"/>
      <c r="I9" s="432">
        <v>6676271497225</v>
      </c>
    </row>
    <row r="10" spans="2:11" ht="25.5" customHeight="1" x14ac:dyDescent="0.5">
      <c r="B10" s="4201" t="s">
        <v>466</v>
      </c>
      <c r="C10" s="4201"/>
      <c r="D10" s="4201"/>
      <c r="E10" s="1474"/>
      <c r="F10" s="1473"/>
      <c r="G10" s="434"/>
      <c r="H10" s="433"/>
      <c r="I10" s="434">
        <v>643123000000</v>
      </c>
    </row>
    <row r="11" spans="2:11" ht="25.5" customHeight="1" x14ac:dyDescent="0.5">
      <c r="B11" s="1501" t="s">
        <v>1126</v>
      </c>
      <c r="C11" s="1501"/>
      <c r="D11" s="1501"/>
      <c r="E11" s="1474"/>
      <c r="F11" s="1473"/>
      <c r="G11" s="434">
        <v>29304937000000</v>
      </c>
      <c r="H11" s="433"/>
      <c r="I11" s="434">
        <v>727191000000</v>
      </c>
    </row>
    <row r="12" spans="2:11" ht="25.5" customHeight="1" x14ac:dyDescent="0.5">
      <c r="B12" s="4201" t="s">
        <v>467</v>
      </c>
      <c r="C12" s="4201"/>
      <c r="D12" s="4201"/>
      <c r="E12" s="1474"/>
      <c r="F12" s="1473"/>
      <c r="G12" s="432">
        <v>38360052203921</v>
      </c>
      <c r="H12" s="431"/>
      <c r="I12" s="432">
        <v>35473023944267</v>
      </c>
    </row>
    <row r="13" spans="2:11" ht="25.5" customHeight="1" x14ac:dyDescent="0.55000000000000004">
      <c r="B13" s="4203" t="s">
        <v>2196</v>
      </c>
      <c r="C13" s="4203"/>
      <c r="D13" s="4203"/>
      <c r="E13" s="1474"/>
      <c r="F13" s="1473"/>
      <c r="G13" s="432">
        <v>59679088157062</v>
      </c>
      <c r="H13" s="431"/>
      <c r="I13" s="432" t="s">
        <v>30</v>
      </c>
    </row>
    <row r="14" spans="2:11" ht="25.5" customHeight="1" thickBot="1" x14ac:dyDescent="0.25">
      <c r="B14" s="140"/>
      <c r="C14" s="140"/>
      <c r="D14" s="1472"/>
      <c r="E14" s="1472"/>
      <c r="F14" s="1472"/>
      <c r="G14" s="435">
        <f>SUM(G9:G13)</f>
        <v>136184092021807</v>
      </c>
      <c r="H14" s="431"/>
      <c r="I14" s="435">
        <f>SUM(I9:I13)</f>
        <v>43519609441492</v>
      </c>
    </row>
    <row r="15" spans="2:11" ht="18.75" hidden="1" customHeight="1" thickTop="1" x14ac:dyDescent="0.2">
      <c r="B15" s="3100" t="s">
        <v>468</v>
      </c>
      <c r="C15" s="3100"/>
      <c r="D15" s="3100"/>
      <c r="E15" s="3100"/>
      <c r="F15" s="3100"/>
      <c r="G15" s="3100"/>
      <c r="H15" s="3100"/>
      <c r="I15" s="3100"/>
    </row>
    <row r="16" spans="2:11" ht="18.75" hidden="1" customHeight="1" x14ac:dyDescent="0.2">
      <c r="B16" s="136"/>
      <c r="C16" s="136"/>
      <c r="D16" s="1467"/>
      <c r="E16" s="1467"/>
      <c r="F16" s="1467"/>
      <c r="G16" s="1467"/>
      <c r="H16" s="4200" t="s">
        <v>469</v>
      </c>
      <c r="I16" s="4200"/>
    </row>
    <row r="17" spans="2:9" s="62" customFormat="1" ht="16.5" hidden="1" customHeight="1" x14ac:dyDescent="0.2">
      <c r="B17" s="4186" t="s">
        <v>443</v>
      </c>
      <c r="C17" s="1497"/>
      <c r="D17" s="4187" t="s">
        <v>470</v>
      </c>
      <c r="E17" s="4187"/>
      <c r="F17" s="4187"/>
      <c r="G17" s="4187"/>
      <c r="H17" s="4187"/>
      <c r="I17" s="4188" t="s">
        <v>471</v>
      </c>
    </row>
    <row r="18" spans="2:9" s="62" customFormat="1" ht="16.5" hidden="1" customHeight="1" x14ac:dyDescent="0.2">
      <c r="B18" s="4186"/>
      <c r="C18" s="1497"/>
      <c r="D18" s="4187" t="s">
        <v>472</v>
      </c>
      <c r="E18" s="4187"/>
      <c r="F18" s="4187"/>
      <c r="G18" s="141" t="s">
        <v>473</v>
      </c>
      <c r="H18" s="141" t="s">
        <v>474</v>
      </c>
      <c r="I18" s="4188"/>
    </row>
    <row r="19" spans="2:9" s="144" customFormat="1" ht="13.5" hidden="1" customHeight="1" x14ac:dyDescent="0.4">
      <c r="B19" s="142" t="s">
        <v>475</v>
      </c>
      <c r="C19" s="142"/>
      <c r="D19" s="4199">
        <v>170113409800</v>
      </c>
      <c r="E19" s="4199"/>
      <c r="F19" s="4199"/>
      <c r="G19" s="1500" t="e">
        <f>#N/A</f>
        <v>#N/A</v>
      </c>
      <c r="H19" s="1500"/>
      <c r="I19" s="143">
        <v>1164837481238</v>
      </c>
    </row>
    <row r="20" spans="2:9" s="144" customFormat="1" ht="13.5" hidden="1" customHeight="1" x14ac:dyDescent="0.4">
      <c r="B20" s="142" t="s">
        <v>405</v>
      </c>
      <c r="C20" s="142"/>
      <c r="D20" s="4198"/>
      <c r="E20" s="4198"/>
      <c r="F20" s="4198"/>
      <c r="G20" s="1500" t="e">
        <f>#N/A</f>
        <v>#N/A</v>
      </c>
      <c r="H20" s="1500"/>
      <c r="I20" s="143">
        <v>79590772385</v>
      </c>
    </row>
    <row r="21" spans="2:9" s="144" customFormat="1" ht="13.5" hidden="1" customHeight="1" x14ac:dyDescent="0.4">
      <c r="B21" s="142" t="s">
        <v>476</v>
      </c>
      <c r="C21" s="142"/>
      <c r="D21" s="4199">
        <v>26153500000</v>
      </c>
      <c r="E21" s="4199"/>
      <c r="F21" s="4199"/>
      <c r="G21" s="1500" t="e">
        <f>#N/A</f>
        <v>#N/A</v>
      </c>
      <c r="H21" s="1500"/>
      <c r="I21" s="143">
        <v>54507000000</v>
      </c>
    </row>
    <row r="22" spans="2:9" s="144" customFormat="1" ht="13.5" hidden="1" customHeight="1" x14ac:dyDescent="0.4">
      <c r="B22" s="142" t="s">
        <v>414</v>
      </c>
      <c r="C22" s="666"/>
      <c r="D22" s="145"/>
      <c r="E22" s="146"/>
      <c r="F22" s="147"/>
      <c r="G22" s="1500" t="e">
        <f>#N/A</f>
        <v>#N/A</v>
      </c>
      <c r="H22" s="1500">
        <v>50125059350</v>
      </c>
      <c r="I22" s="143">
        <v>50151359350</v>
      </c>
    </row>
    <row r="23" spans="2:9" s="144" customFormat="1" ht="13.5" hidden="1" customHeight="1" x14ac:dyDescent="0.4">
      <c r="B23" s="142" t="s">
        <v>408</v>
      </c>
      <c r="C23" s="142"/>
      <c r="D23" s="4198"/>
      <c r="E23" s="4198"/>
      <c r="F23" s="4198"/>
      <c r="G23" s="1500" t="e">
        <f>#N/A</f>
        <v>#N/A</v>
      </c>
      <c r="H23" s="1500"/>
      <c r="I23" s="143">
        <v>47184110004</v>
      </c>
    </row>
    <row r="24" spans="2:9" s="144" customFormat="1" ht="13.5" hidden="1" customHeight="1" x14ac:dyDescent="0.4">
      <c r="B24" s="142" t="s">
        <v>199</v>
      </c>
      <c r="C24" s="142"/>
      <c r="D24" s="4199">
        <v>24200000000</v>
      </c>
      <c r="E24" s="4199"/>
      <c r="F24" s="4199"/>
      <c r="G24" s="1500" t="e">
        <f>#N/A</f>
        <v>#N/A</v>
      </c>
      <c r="H24" s="1500"/>
      <c r="I24" s="143">
        <v>46044746700</v>
      </c>
    </row>
    <row r="25" spans="2:9" s="144" customFormat="1" ht="13.5" hidden="1" customHeight="1" x14ac:dyDescent="0.4">
      <c r="B25" s="142" t="s">
        <v>400</v>
      </c>
      <c r="C25" s="142"/>
      <c r="D25" s="4199">
        <v>3900000000</v>
      </c>
      <c r="E25" s="4199"/>
      <c r="F25" s="4199"/>
      <c r="G25" s="1500" t="e">
        <f>#N/A</f>
        <v>#N/A</v>
      </c>
      <c r="H25" s="1500"/>
      <c r="I25" s="143">
        <v>31344822173</v>
      </c>
    </row>
    <row r="26" spans="2:9" s="144" customFormat="1" ht="13.5" hidden="1" customHeight="1" x14ac:dyDescent="0.4">
      <c r="B26" s="142" t="s">
        <v>409</v>
      </c>
      <c r="C26" s="142"/>
      <c r="D26" s="4198"/>
      <c r="E26" s="4198"/>
      <c r="F26" s="4198"/>
      <c r="G26" s="1500" t="e">
        <f>#N/A</f>
        <v>#N/A</v>
      </c>
      <c r="H26" s="1500"/>
      <c r="I26" s="143">
        <v>29714200139</v>
      </c>
    </row>
    <row r="27" spans="2:9" s="144" customFormat="1" ht="13.5" hidden="1" customHeight="1" x14ac:dyDescent="0.4">
      <c r="B27" s="142" t="s">
        <v>411</v>
      </c>
      <c r="C27" s="142"/>
      <c r="D27" s="4199">
        <v>23440000000</v>
      </c>
      <c r="E27" s="4199"/>
      <c r="F27" s="4199"/>
      <c r="G27" s="1500" t="e">
        <f>#N/A</f>
        <v>#N/A</v>
      </c>
      <c r="H27" s="1500"/>
      <c r="I27" s="143">
        <v>29552061739</v>
      </c>
    </row>
    <row r="28" spans="2:9" s="144" customFormat="1" ht="13.5" hidden="1" customHeight="1" x14ac:dyDescent="0.4">
      <c r="B28" s="142" t="s">
        <v>6</v>
      </c>
      <c r="C28" s="142"/>
      <c r="D28" s="4198"/>
      <c r="E28" s="4198"/>
      <c r="F28" s="4198"/>
      <c r="G28" s="1500" t="e">
        <f>#N/A</f>
        <v>#N/A</v>
      </c>
      <c r="H28" s="1500"/>
      <c r="I28" s="143">
        <v>28666734352</v>
      </c>
    </row>
    <row r="29" spans="2:9" s="144" customFormat="1" ht="13.5" hidden="1" customHeight="1" x14ac:dyDescent="0.4">
      <c r="B29" s="142" t="s">
        <v>391</v>
      </c>
      <c r="C29" s="142"/>
      <c r="D29" s="4199">
        <f>1220743200+2470000000</f>
        <v>3690743200</v>
      </c>
      <c r="E29" s="4199"/>
      <c r="F29" s="4199"/>
      <c r="G29" s="1500" t="e">
        <f>#N/A</f>
        <v>#N/A</v>
      </c>
      <c r="H29" s="1500"/>
      <c r="I29" s="143">
        <v>21987291315</v>
      </c>
    </row>
    <row r="30" spans="2:9" s="144" customFormat="1" ht="13.5" hidden="1" customHeight="1" x14ac:dyDescent="0.4">
      <c r="B30" s="142" t="s">
        <v>458</v>
      </c>
      <c r="C30" s="142"/>
      <c r="D30" s="4198"/>
      <c r="E30" s="4198"/>
      <c r="F30" s="4198"/>
      <c r="G30" s="1500" t="e">
        <f>#N/A</f>
        <v>#N/A</v>
      </c>
      <c r="H30" s="1500">
        <v>20269036469</v>
      </c>
      <c r="I30" s="143">
        <v>20269036469</v>
      </c>
    </row>
    <row r="31" spans="2:9" s="144" customFormat="1" ht="13.5" hidden="1" customHeight="1" x14ac:dyDescent="0.4">
      <c r="B31" s="142" t="s">
        <v>389</v>
      </c>
      <c r="C31" s="142"/>
      <c r="D31" s="4198"/>
      <c r="E31" s="4198"/>
      <c r="F31" s="4198"/>
      <c r="G31" s="1500" t="e">
        <f>#N/A</f>
        <v>#N/A</v>
      </c>
      <c r="H31" s="1500"/>
      <c r="I31" s="143">
        <v>17065966013</v>
      </c>
    </row>
    <row r="32" spans="2:9" s="144" customFormat="1" ht="13.5" hidden="1" customHeight="1" x14ac:dyDescent="0.4">
      <c r="B32" s="142" t="s">
        <v>477</v>
      </c>
      <c r="C32" s="142"/>
      <c r="D32" s="4199">
        <v>7800000000</v>
      </c>
      <c r="E32" s="4199"/>
      <c r="F32" s="4199"/>
      <c r="G32" s="1500" t="e">
        <f>#N/A</f>
        <v>#N/A</v>
      </c>
      <c r="H32" s="1500"/>
      <c r="I32" s="143">
        <v>16475000000</v>
      </c>
    </row>
    <row r="33" spans="2:9" s="144" customFormat="1" ht="13.5" hidden="1" customHeight="1" x14ac:dyDescent="0.4">
      <c r="B33" s="142" t="s">
        <v>478</v>
      </c>
      <c r="C33" s="142"/>
      <c r="D33" s="4198"/>
      <c r="E33" s="4198"/>
      <c r="F33" s="4198"/>
      <c r="G33" s="1500" t="e">
        <f>#N/A</f>
        <v>#N/A</v>
      </c>
      <c r="H33" s="1500"/>
      <c r="I33" s="143">
        <v>16406708297</v>
      </c>
    </row>
    <row r="34" spans="2:9" s="144" customFormat="1" ht="13.5" hidden="1" customHeight="1" x14ac:dyDescent="0.4">
      <c r="B34" s="142" t="s">
        <v>398</v>
      </c>
      <c r="C34" s="142"/>
      <c r="D34" s="4198"/>
      <c r="E34" s="4198"/>
      <c r="F34" s="4198"/>
      <c r="G34" s="1500" t="e">
        <f>#N/A</f>
        <v>#N/A</v>
      </c>
      <c r="H34" s="1500"/>
      <c r="I34" s="143">
        <v>14993063198</v>
      </c>
    </row>
    <row r="35" spans="2:9" s="144" customFormat="1" ht="13.5" hidden="1" customHeight="1" x14ac:dyDescent="0.4">
      <c r="B35" s="142" t="s">
        <v>479</v>
      </c>
      <c r="C35" s="142"/>
      <c r="D35" s="4198"/>
      <c r="E35" s="4198"/>
      <c r="F35" s="4198"/>
      <c r="G35" s="1500" t="e">
        <f>#N/A</f>
        <v>#N/A</v>
      </c>
      <c r="H35" s="1500"/>
      <c r="I35" s="143">
        <v>13590401533</v>
      </c>
    </row>
    <row r="36" spans="2:9" s="144" customFormat="1" ht="13.5" hidden="1" customHeight="1" x14ac:dyDescent="0.4">
      <c r="B36" s="142" t="s">
        <v>397</v>
      </c>
      <c r="C36" s="142"/>
      <c r="D36" s="4199">
        <v>6300000000</v>
      </c>
      <c r="E36" s="4199"/>
      <c r="F36" s="4199"/>
      <c r="G36" s="1500" t="e">
        <f>#N/A</f>
        <v>#N/A</v>
      </c>
      <c r="H36" s="1500"/>
      <c r="I36" s="143">
        <v>12858678141</v>
      </c>
    </row>
    <row r="37" spans="2:9" s="144" customFormat="1" ht="13.5" hidden="1" customHeight="1" x14ac:dyDescent="0.4">
      <c r="B37" s="142" t="s">
        <v>392</v>
      </c>
      <c r="C37" s="142"/>
      <c r="D37" s="4198"/>
      <c r="E37" s="4198"/>
      <c r="F37" s="4198"/>
      <c r="G37" s="1500" t="e">
        <f>#N/A</f>
        <v>#N/A</v>
      </c>
      <c r="H37" s="1500">
        <f>9591100000+1032344928</f>
        <v>10623444928</v>
      </c>
      <c r="I37" s="143">
        <v>12480444928</v>
      </c>
    </row>
    <row r="38" spans="2:9" s="144" customFormat="1" ht="13.5" hidden="1" customHeight="1" x14ac:dyDescent="0.4">
      <c r="B38" s="142" t="s">
        <v>407</v>
      </c>
      <c r="C38" s="142"/>
      <c r="D38" s="4199">
        <v>1040000000</v>
      </c>
      <c r="E38" s="4199"/>
      <c r="F38" s="4199"/>
      <c r="G38" s="1500" t="e">
        <f>#N/A</f>
        <v>#N/A</v>
      </c>
      <c r="H38" s="1500"/>
      <c r="I38" s="143">
        <v>12301506399</v>
      </c>
    </row>
    <row r="39" spans="2:9" s="144" customFormat="1" ht="13.5" hidden="1" customHeight="1" x14ac:dyDescent="0.4">
      <c r="B39" s="142" t="s">
        <v>412</v>
      </c>
      <c r="C39" s="142"/>
      <c r="D39" s="4198"/>
      <c r="E39" s="4198"/>
      <c r="F39" s="4198"/>
      <c r="G39" s="1500" t="e">
        <f>#N/A</f>
        <v>#N/A</v>
      </c>
      <c r="H39" s="1500">
        <f>8717443311+2621846888</f>
        <v>11339290199</v>
      </c>
      <c r="I39" s="143">
        <v>12261363945</v>
      </c>
    </row>
    <row r="40" spans="2:9" s="144" customFormat="1" ht="13.5" hidden="1" customHeight="1" x14ac:dyDescent="0.4">
      <c r="B40" s="142" t="s">
        <v>388</v>
      </c>
      <c r="C40" s="142"/>
      <c r="D40" s="4198"/>
      <c r="E40" s="4198"/>
      <c r="F40" s="4198"/>
      <c r="G40" s="1500" t="e">
        <f>#N/A</f>
        <v>#N/A</v>
      </c>
      <c r="H40" s="1500"/>
      <c r="I40" s="143">
        <v>11388498071</v>
      </c>
    </row>
    <row r="41" spans="2:9" s="144" customFormat="1" ht="13.5" hidden="1" customHeight="1" x14ac:dyDescent="0.4">
      <c r="B41" s="142" t="s">
        <v>413</v>
      </c>
      <c r="C41" s="142"/>
      <c r="D41" s="4198"/>
      <c r="E41" s="4198"/>
      <c r="F41" s="4198"/>
      <c r="G41" s="1500" t="e">
        <f>#N/A</f>
        <v>#N/A</v>
      </c>
      <c r="H41" s="1500"/>
      <c r="I41" s="143">
        <v>10860892455</v>
      </c>
    </row>
    <row r="42" spans="2:9" s="144" customFormat="1" ht="13.5" hidden="1" customHeight="1" x14ac:dyDescent="0.4">
      <c r="B42" s="142" t="s">
        <v>406</v>
      </c>
      <c r="C42" s="142"/>
      <c r="D42" s="4198"/>
      <c r="E42" s="4198"/>
      <c r="F42" s="4198"/>
      <c r="G42" s="1500" t="e">
        <f>#N/A</f>
        <v>#N/A</v>
      </c>
      <c r="H42" s="1500"/>
      <c r="I42" s="143">
        <v>10410280530</v>
      </c>
    </row>
    <row r="43" spans="2:9" s="144" customFormat="1" ht="13.5" hidden="1" customHeight="1" x14ac:dyDescent="0.4">
      <c r="B43" s="142" t="s">
        <v>480</v>
      </c>
      <c r="C43" s="142"/>
      <c r="D43" s="4198"/>
      <c r="E43" s="4198"/>
      <c r="F43" s="4198"/>
      <c r="G43" s="1500" t="e">
        <f>#N/A</f>
        <v>#N/A</v>
      </c>
      <c r="H43" s="1496"/>
      <c r="I43" s="143">
        <v>10395480256</v>
      </c>
    </row>
    <row r="44" spans="2:9" s="144" customFormat="1" ht="13.5" hidden="1" customHeight="1" x14ac:dyDescent="0.4">
      <c r="B44" s="142" t="s">
        <v>481</v>
      </c>
      <c r="C44" s="142"/>
      <c r="D44" s="4181">
        <v>1700000000</v>
      </c>
      <c r="E44" s="4181"/>
      <c r="F44" s="4181"/>
      <c r="G44" s="1500" t="e">
        <f>#N/A</f>
        <v>#N/A</v>
      </c>
      <c r="H44" s="227"/>
      <c r="I44" s="143">
        <v>10308271486</v>
      </c>
    </row>
    <row r="45" spans="2:9" s="144" customFormat="1" ht="13.5" hidden="1" customHeight="1" x14ac:dyDescent="0.4">
      <c r="B45" s="142" t="s">
        <v>457</v>
      </c>
      <c r="C45" s="142"/>
      <c r="D45" s="4181">
        <v>1525000000</v>
      </c>
      <c r="E45" s="4181"/>
      <c r="F45" s="4181"/>
      <c r="G45" s="1500" t="e">
        <f>#N/A</f>
        <v>#N/A</v>
      </c>
      <c r="H45" s="148">
        <v>8729928791</v>
      </c>
      <c r="I45" s="143">
        <v>10254928791</v>
      </c>
    </row>
    <row r="46" spans="2:9" s="144" customFormat="1" ht="13.5" hidden="1" customHeight="1" x14ac:dyDescent="0.4">
      <c r="B46" s="142" t="s">
        <v>482</v>
      </c>
      <c r="C46" s="142"/>
      <c r="D46" s="4198"/>
      <c r="E46" s="4198"/>
      <c r="F46" s="4198"/>
      <c r="G46" s="1500" t="e">
        <f>#N/A</f>
        <v>#N/A</v>
      </c>
      <c r="H46" s="1496"/>
      <c r="I46" s="143">
        <v>9910401744</v>
      </c>
    </row>
    <row r="47" spans="2:9" s="144" customFormat="1" ht="13.5" hidden="1" customHeight="1" x14ac:dyDescent="0.4">
      <c r="B47" s="142" t="s">
        <v>390</v>
      </c>
      <c r="C47" s="142"/>
      <c r="D47" s="4181">
        <v>7250000000</v>
      </c>
      <c r="E47" s="4181"/>
      <c r="F47" s="4181"/>
      <c r="G47" s="1500" t="e">
        <f>#N/A</f>
        <v>#N/A</v>
      </c>
      <c r="H47" s="1496"/>
      <c r="I47" s="143">
        <v>9065470124</v>
      </c>
    </row>
    <row r="48" spans="2:9" s="144" customFormat="1" ht="13.5" hidden="1" customHeight="1" x14ac:dyDescent="0.4">
      <c r="B48" s="142" t="s">
        <v>393</v>
      </c>
      <c r="C48" s="142"/>
      <c r="D48" s="4198"/>
      <c r="E48" s="4198"/>
      <c r="F48" s="4198"/>
      <c r="G48" s="1500" t="e">
        <f>#N/A</f>
        <v>#N/A</v>
      </c>
      <c r="H48" s="1496"/>
      <c r="I48" s="143">
        <v>8833162717</v>
      </c>
    </row>
    <row r="49" spans="2:9" s="144" customFormat="1" ht="13.5" hidden="1" customHeight="1" x14ac:dyDescent="0.4">
      <c r="B49" s="142" t="s">
        <v>404</v>
      </c>
      <c r="C49" s="142"/>
      <c r="D49" s="4198"/>
      <c r="E49" s="4198"/>
      <c r="F49" s="4198"/>
      <c r="G49" s="1500" t="e">
        <f>#N/A</f>
        <v>#N/A</v>
      </c>
      <c r="H49" s="1496"/>
      <c r="I49" s="143">
        <v>8388973423</v>
      </c>
    </row>
    <row r="50" spans="2:9" s="144" customFormat="1" ht="13.5" hidden="1" customHeight="1" x14ac:dyDescent="0.4">
      <c r="B50" s="142" t="s">
        <v>403</v>
      </c>
      <c r="C50" s="142"/>
      <c r="D50" s="4198"/>
      <c r="E50" s="4198"/>
      <c r="F50" s="4198"/>
      <c r="G50" s="1500" t="e">
        <f>#N/A</f>
        <v>#N/A</v>
      </c>
      <c r="H50" s="1496"/>
      <c r="I50" s="143">
        <v>7517800570</v>
      </c>
    </row>
    <row r="51" spans="2:9" s="144" customFormat="1" ht="13.5" hidden="1" customHeight="1" x14ac:dyDescent="0.4">
      <c r="B51" s="142" t="s">
        <v>444</v>
      </c>
      <c r="C51" s="142"/>
      <c r="D51" s="4198"/>
      <c r="E51" s="4198"/>
      <c r="F51" s="4198"/>
      <c r="G51" s="1500" t="e">
        <f>#N/A</f>
        <v>#N/A</v>
      </c>
      <c r="H51" s="1496"/>
      <c r="I51" s="143">
        <v>6596632107</v>
      </c>
    </row>
    <row r="52" spans="2:9" s="144" customFormat="1" ht="13.5" hidden="1" customHeight="1" x14ac:dyDescent="0.4">
      <c r="B52" s="142" t="s">
        <v>396</v>
      </c>
      <c r="C52" s="142"/>
      <c r="D52" s="4198"/>
      <c r="E52" s="4198"/>
      <c r="F52" s="4198"/>
      <c r="G52" s="1500" t="e">
        <f>#N/A</f>
        <v>#N/A</v>
      </c>
      <c r="H52" s="1496">
        <v>1877253389</v>
      </c>
      <c r="I52" s="143">
        <v>6445676997</v>
      </c>
    </row>
    <row r="53" spans="2:9" s="144" customFormat="1" ht="13.5" hidden="1" customHeight="1" x14ac:dyDescent="0.4">
      <c r="B53" s="142" t="s">
        <v>483</v>
      </c>
      <c r="C53" s="142"/>
      <c r="D53" s="4198"/>
      <c r="E53" s="4198"/>
      <c r="F53" s="4198"/>
      <c r="G53" s="1500" t="e">
        <f>#N/A</f>
        <v>#N/A</v>
      </c>
      <c r="H53" s="1496"/>
      <c r="I53" s="143">
        <v>6282703429</v>
      </c>
    </row>
    <row r="54" spans="2:9" s="144" customFormat="1" ht="13.5" hidden="1" customHeight="1" x14ac:dyDescent="0.4">
      <c r="B54" s="142" t="s">
        <v>410</v>
      </c>
      <c r="C54" s="142"/>
      <c r="D54" s="4181">
        <v>5200000000</v>
      </c>
      <c r="E54" s="4181"/>
      <c r="F54" s="4181"/>
      <c r="G54" s="1500" t="e">
        <f>#N/A</f>
        <v>#N/A</v>
      </c>
      <c r="H54" s="1496"/>
      <c r="I54" s="143">
        <v>5200000000</v>
      </c>
    </row>
    <row r="55" spans="2:9" s="144" customFormat="1" ht="13.5" hidden="1" customHeight="1" x14ac:dyDescent="0.4">
      <c r="B55" s="142" t="s">
        <v>484</v>
      </c>
      <c r="C55" s="142"/>
      <c r="D55" s="4181">
        <v>920000000</v>
      </c>
      <c r="E55" s="4181"/>
      <c r="F55" s="4181"/>
      <c r="G55" s="1500" t="e">
        <f>#N/A</f>
        <v>#N/A</v>
      </c>
      <c r="H55" s="1496"/>
      <c r="I55" s="143">
        <v>4918041347</v>
      </c>
    </row>
    <row r="56" spans="2:9" s="144" customFormat="1" ht="13.5" hidden="1" customHeight="1" x14ac:dyDescent="0.4">
      <c r="B56" s="142" t="s">
        <v>485</v>
      </c>
      <c r="C56" s="142"/>
      <c r="D56" s="4198"/>
      <c r="E56" s="4198"/>
      <c r="F56" s="4198"/>
      <c r="G56" s="1500" t="e">
        <f>#N/A</f>
        <v>#N/A</v>
      </c>
      <c r="H56" s="1496"/>
      <c r="I56" s="143">
        <v>4438842893</v>
      </c>
    </row>
    <row r="57" spans="2:9" s="144" customFormat="1" ht="13.5" hidden="1" customHeight="1" x14ac:dyDescent="0.4">
      <c r="B57" s="142" t="s">
        <v>401</v>
      </c>
      <c r="C57" s="142"/>
      <c r="D57" s="4198"/>
      <c r="E57" s="4198"/>
      <c r="F57" s="4198"/>
      <c r="G57" s="1500" t="e">
        <f>#N/A</f>
        <v>#N/A</v>
      </c>
      <c r="H57" s="1496"/>
      <c r="I57" s="143">
        <v>4404178517</v>
      </c>
    </row>
    <row r="58" spans="2:9" s="144" customFormat="1" ht="13.5" hidden="1" customHeight="1" x14ac:dyDescent="0.4">
      <c r="B58" s="142" t="s">
        <v>394</v>
      </c>
      <c r="C58" s="142"/>
      <c r="D58" s="4198"/>
      <c r="E58" s="4198"/>
      <c r="F58" s="4198"/>
      <c r="G58" s="1500" t="e">
        <f>#N/A</f>
        <v>#N/A</v>
      </c>
      <c r="H58" s="1496">
        <v>4221247603</v>
      </c>
      <c r="I58" s="143">
        <v>4221247603</v>
      </c>
    </row>
    <row r="59" spans="2:9" s="144" customFormat="1" ht="13.5" hidden="1" customHeight="1" x14ac:dyDescent="0.4">
      <c r="B59" s="149" t="s">
        <v>486</v>
      </c>
      <c r="C59" s="149"/>
      <c r="D59" s="4181">
        <v>11420740370</v>
      </c>
      <c r="E59" s="4181"/>
      <c r="F59" s="4181"/>
      <c r="G59" s="1496"/>
      <c r="H59" s="1496">
        <v>8316564099</v>
      </c>
      <c r="I59" s="150">
        <v>98609794742</v>
      </c>
    </row>
    <row r="60" spans="2:9" s="144" customFormat="1" ht="13.5" hidden="1" customHeight="1" thickBot="1" x14ac:dyDescent="0.25">
      <c r="B60" s="151" t="s">
        <v>417</v>
      </c>
      <c r="C60" s="151"/>
      <c r="D60" s="4196">
        <f>SUM(D19:F59)</f>
        <v>294653393370</v>
      </c>
      <c r="E60" s="4196"/>
      <c r="F60" s="4196"/>
      <c r="G60" s="1498" t="e">
        <f>SUM(G19:G59)</f>
        <v>#N/A</v>
      </c>
      <c r="H60" s="1498">
        <v>115501824828</v>
      </c>
      <c r="I60" s="152">
        <f>SUM(I19:I59)</f>
        <v>1980734026120</v>
      </c>
    </row>
    <row r="61" spans="2:9" ht="19.149999999999999" hidden="1" customHeight="1" thickTop="1" x14ac:dyDescent="0.2">
      <c r="B61" s="153"/>
      <c r="C61" s="153"/>
      <c r="D61" s="154"/>
      <c r="E61" s="154"/>
      <c r="F61" s="154"/>
      <c r="G61" s="154"/>
      <c r="H61" s="154"/>
      <c r="I61" s="155"/>
    </row>
    <row r="62" spans="2:9" ht="18" hidden="1" customHeight="1" x14ac:dyDescent="0.2">
      <c r="B62" s="4197" t="s">
        <v>271</v>
      </c>
      <c r="C62" s="4197"/>
      <c r="D62" s="4197"/>
      <c r="E62" s="4197"/>
      <c r="F62" s="4197"/>
      <c r="G62" s="4197"/>
      <c r="H62" s="4197"/>
      <c r="I62" s="4197"/>
    </row>
    <row r="63" spans="2:9" ht="18" hidden="1" customHeight="1" x14ac:dyDescent="0.2">
      <c r="B63" s="156"/>
      <c r="C63" s="156"/>
      <c r="D63" s="1499"/>
      <c r="E63" s="1499"/>
      <c r="F63" s="1499"/>
      <c r="G63" s="1499"/>
      <c r="H63" s="1499"/>
      <c r="I63" s="1499"/>
    </row>
    <row r="64" spans="2:9" ht="14.25" hidden="1" customHeight="1" x14ac:dyDescent="0.2">
      <c r="B64" s="3057" t="s">
        <v>51</v>
      </c>
      <c r="C64" s="3057"/>
      <c r="D64" s="3057"/>
      <c r="E64" s="3057"/>
      <c r="F64" s="3057"/>
      <c r="G64" s="3057"/>
      <c r="H64" s="3057"/>
      <c r="I64" s="3057"/>
    </row>
    <row r="65" spans="2:9" ht="14.25" hidden="1" customHeight="1" x14ac:dyDescent="0.2">
      <c r="B65" s="3057" t="s">
        <v>337</v>
      </c>
      <c r="C65" s="3057"/>
      <c r="D65" s="3057"/>
      <c r="E65" s="3057"/>
      <c r="F65" s="3057"/>
      <c r="G65" s="3057"/>
      <c r="H65" s="3057"/>
      <c r="I65" s="3057"/>
    </row>
    <row r="66" spans="2:9" ht="14.25" hidden="1" customHeight="1" x14ac:dyDescent="0.2">
      <c r="B66" s="3057" t="s">
        <v>487</v>
      </c>
      <c r="C66" s="3057"/>
      <c r="D66" s="3057"/>
      <c r="E66" s="3057"/>
      <c r="F66" s="3057"/>
      <c r="G66" s="3057"/>
      <c r="H66" s="3057"/>
      <c r="I66" s="3057"/>
    </row>
    <row r="67" spans="2:9" ht="9.75" hidden="1" customHeight="1" x14ac:dyDescent="0.2">
      <c r="B67" s="153"/>
      <c r="C67" s="153"/>
      <c r="D67" s="154"/>
      <c r="E67" s="154"/>
      <c r="F67" s="154"/>
      <c r="G67" s="154"/>
      <c r="H67" s="154"/>
      <c r="I67" s="155"/>
    </row>
    <row r="68" spans="2:9" ht="9.75" hidden="1" customHeight="1" x14ac:dyDescent="0.2">
      <c r="B68" s="136" t="s">
        <v>488</v>
      </c>
      <c r="C68" s="136"/>
      <c r="D68" s="1467"/>
      <c r="E68" s="1467"/>
      <c r="F68" s="1467"/>
      <c r="G68" s="1467"/>
      <c r="H68" s="1467"/>
      <c r="I68" s="1465"/>
    </row>
    <row r="69" spans="2:9" ht="9.75" hidden="1" customHeight="1" x14ac:dyDescent="0.2">
      <c r="B69" s="136"/>
      <c r="C69" s="136"/>
      <c r="D69" s="1467"/>
      <c r="E69" s="1467"/>
      <c r="F69" s="1467"/>
      <c r="G69" s="1467"/>
      <c r="H69" s="58"/>
      <c r="I69" s="157" t="s">
        <v>469</v>
      </c>
    </row>
    <row r="70" spans="2:9" ht="9.75" hidden="1" customHeight="1" x14ac:dyDescent="0.2">
      <c r="B70" s="4186" t="s">
        <v>489</v>
      </c>
      <c r="C70" s="1497"/>
      <c r="D70" s="4187" t="s">
        <v>490</v>
      </c>
      <c r="E70" s="4187"/>
      <c r="F70" s="4187"/>
      <c r="G70" s="4187"/>
      <c r="H70" s="4187"/>
      <c r="I70" s="4188" t="s">
        <v>471</v>
      </c>
    </row>
    <row r="71" spans="2:9" ht="9.75" hidden="1" customHeight="1" x14ac:dyDescent="0.2">
      <c r="B71" s="4186"/>
      <c r="C71" s="1497"/>
      <c r="D71" s="4187"/>
      <c r="E71" s="4187"/>
      <c r="F71" s="4187"/>
      <c r="G71" s="4187"/>
      <c r="H71" s="4187"/>
      <c r="I71" s="4188"/>
    </row>
    <row r="72" spans="2:9" ht="9.75" hidden="1" customHeight="1" x14ac:dyDescent="0.2">
      <c r="B72" s="99" t="s">
        <v>68</v>
      </c>
      <c r="C72" s="99"/>
      <c r="D72" s="4172" t="s">
        <v>70</v>
      </c>
      <c r="E72" s="4172"/>
      <c r="F72" s="4172"/>
      <c r="G72" s="4172"/>
      <c r="H72" s="4172"/>
      <c r="I72" s="225">
        <v>62500000000</v>
      </c>
    </row>
    <row r="73" spans="2:9" ht="9.75" hidden="1" customHeight="1" x14ac:dyDescent="0.2">
      <c r="B73" s="99">
        <v>1307002010</v>
      </c>
      <c r="C73" s="99"/>
      <c r="D73" s="4172" t="s">
        <v>203</v>
      </c>
      <c r="E73" s="4172"/>
      <c r="F73" s="4172"/>
      <c r="G73" s="4172"/>
      <c r="H73" s="4172"/>
      <c r="I73" s="225">
        <v>517771395890</v>
      </c>
    </row>
    <row r="74" spans="2:9" ht="9.75" hidden="1" customHeight="1" x14ac:dyDescent="0.2">
      <c r="B74" s="99">
        <v>1503002046</v>
      </c>
      <c r="C74" s="99"/>
      <c r="D74" s="4172" t="s">
        <v>83</v>
      </c>
      <c r="E74" s="4172"/>
      <c r="F74" s="4172"/>
      <c r="G74" s="4172"/>
      <c r="H74" s="4172"/>
      <c r="I74" s="225">
        <v>133433294242</v>
      </c>
    </row>
    <row r="75" spans="2:9" ht="9.75" hidden="1" customHeight="1" x14ac:dyDescent="0.2">
      <c r="B75" s="99">
        <v>1503002096</v>
      </c>
      <c r="C75" s="99"/>
      <c r="D75" s="4172" t="s">
        <v>84</v>
      </c>
      <c r="E75" s="4172"/>
      <c r="F75" s="4172"/>
      <c r="G75" s="4172"/>
      <c r="H75" s="4172"/>
      <c r="I75" s="225">
        <v>16000000000</v>
      </c>
    </row>
    <row r="76" spans="2:9" ht="9.75" hidden="1" customHeight="1" x14ac:dyDescent="0.2">
      <c r="B76" s="99">
        <v>1503002173</v>
      </c>
      <c r="C76" s="99"/>
      <c r="D76" s="4172" t="s">
        <v>85</v>
      </c>
      <c r="E76" s="4172"/>
      <c r="F76" s="4172"/>
      <c r="G76" s="4172"/>
      <c r="H76" s="4172"/>
      <c r="I76" s="225">
        <v>60000000000</v>
      </c>
    </row>
    <row r="77" spans="2:9" ht="9.75" hidden="1" customHeight="1" x14ac:dyDescent="0.2">
      <c r="B77" s="99">
        <v>1503002067</v>
      </c>
      <c r="C77" s="99"/>
      <c r="D77" s="4172" t="s">
        <v>86</v>
      </c>
      <c r="E77" s="4172"/>
      <c r="F77" s="4172"/>
      <c r="G77" s="4172"/>
      <c r="H77" s="4172"/>
      <c r="I77" s="225">
        <v>9692000000</v>
      </c>
    </row>
    <row r="78" spans="2:9" ht="9.75" hidden="1" customHeight="1" x14ac:dyDescent="0.2">
      <c r="B78" s="99">
        <v>1307006001</v>
      </c>
      <c r="C78" s="99"/>
      <c r="D78" s="4172" t="s">
        <v>87</v>
      </c>
      <c r="E78" s="4172"/>
      <c r="F78" s="4172"/>
      <c r="G78" s="4172"/>
      <c r="H78" s="4172"/>
      <c r="I78" s="225">
        <v>14000000000</v>
      </c>
    </row>
    <row r="79" spans="2:9" ht="9.75" hidden="1" customHeight="1" x14ac:dyDescent="0.2">
      <c r="B79" s="99" t="s">
        <v>104</v>
      </c>
      <c r="C79" s="99"/>
      <c r="D79" s="4172" t="s">
        <v>198</v>
      </c>
      <c r="E79" s="4172"/>
      <c r="F79" s="4172"/>
      <c r="G79" s="4172"/>
      <c r="H79" s="4172"/>
      <c r="I79" s="225">
        <v>10370000000</v>
      </c>
    </row>
    <row r="80" spans="2:9" ht="9.75" hidden="1" customHeight="1" x14ac:dyDescent="0.2">
      <c r="B80" s="99" t="s">
        <v>109</v>
      </c>
      <c r="C80" s="99"/>
      <c r="D80" s="4172" t="s">
        <v>110</v>
      </c>
      <c r="E80" s="4172"/>
      <c r="F80" s="4172"/>
      <c r="G80" s="4172"/>
      <c r="H80" s="4172"/>
      <c r="I80" s="225">
        <v>2000000000</v>
      </c>
    </row>
    <row r="81" spans="2:9" ht="9.75" hidden="1" customHeight="1" x14ac:dyDescent="0.2">
      <c r="B81" s="99" t="s">
        <v>113</v>
      </c>
      <c r="C81" s="99"/>
      <c r="D81" s="4172" t="s">
        <v>114</v>
      </c>
      <c r="E81" s="4172"/>
      <c r="F81" s="4172"/>
      <c r="G81" s="4172"/>
      <c r="H81" s="4172"/>
      <c r="I81" s="225">
        <v>6000000000</v>
      </c>
    </row>
    <row r="82" spans="2:9" ht="9.75" hidden="1" customHeight="1" x14ac:dyDescent="0.2">
      <c r="B82" s="101">
        <v>1503003007</v>
      </c>
      <c r="C82" s="101"/>
      <c r="D82" s="4192" t="s">
        <v>155</v>
      </c>
      <c r="E82" s="4192"/>
      <c r="F82" s="4192"/>
      <c r="G82" s="4192"/>
      <c r="H82" s="4192"/>
      <c r="I82" s="225">
        <v>5500000000</v>
      </c>
    </row>
    <row r="83" spans="2:9" ht="9.75" hidden="1" customHeight="1" x14ac:dyDescent="0.2">
      <c r="B83" s="228">
        <v>1307002000</v>
      </c>
      <c r="C83" s="228"/>
      <c r="D83" s="4191" t="s">
        <v>441</v>
      </c>
      <c r="E83" s="4191"/>
      <c r="F83" s="4191"/>
      <c r="G83" s="4191"/>
      <c r="H83" s="4191"/>
      <c r="I83" s="225">
        <v>100087000000</v>
      </c>
    </row>
    <row r="84" spans="2:9" ht="9.75" hidden="1" customHeight="1" x14ac:dyDescent="0.2">
      <c r="B84" s="101">
        <v>1307002080</v>
      </c>
      <c r="C84" s="101"/>
      <c r="D84" s="4192" t="s">
        <v>418</v>
      </c>
      <c r="E84" s="4192"/>
      <c r="F84" s="4192"/>
      <c r="G84" s="4192"/>
      <c r="H84" s="4192"/>
      <c r="I84" s="225">
        <v>49747000000</v>
      </c>
    </row>
    <row r="85" spans="2:9" ht="9.75" hidden="1" customHeight="1" x14ac:dyDescent="0.2">
      <c r="B85" s="101">
        <v>1502001005</v>
      </c>
      <c r="C85" s="101"/>
      <c r="D85" s="4192" t="s">
        <v>233</v>
      </c>
      <c r="E85" s="4192"/>
      <c r="F85" s="4192"/>
      <c r="G85" s="4192"/>
      <c r="H85" s="4192"/>
      <c r="I85" s="225">
        <v>64000000000</v>
      </c>
    </row>
    <row r="86" spans="2:9" ht="9.75" hidden="1" customHeight="1" x14ac:dyDescent="0.2">
      <c r="B86" s="158" t="s">
        <v>90</v>
      </c>
      <c r="C86" s="158"/>
      <c r="D86" s="4172" t="s">
        <v>91</v>
      </c>
      <c r="E86" s="4172"/>
      <c r="F86" s="4172"/>
      <c r="G86" s="4172"/>
      <c r="H86" s="4172"/>
      <c r="I86" s="225">
        <v>500000000</v>
      </c>
    </row>
    <row r="87" spans="2:9" ht="9.75" hidden="1" customHeight="1" x14ac:dyDescent="0.2">
      <c r="B87" s="99" t="s">
        <v>98</v>
      </c>
      <c r="C87" s="99"/>
      <c r="D87" s="4172" t="s">
        <v>219</v>
      </c>
      <c r="E87" s="4172"/>
      <c r="F87" s="4172"/>
      <c r="G87" s="4172"/>
      <c r="H87" s="4172"/>
      <c r="I87" s="225">
        <v>1880996737</v>
      </c>
    </row>
    <row r="88" spans="2:9" ht="9.75" hidden="1" customHeight="1" x14ac:dyDescent="0.2">
      <c r="B88" s="158" t="s">
        <v>103</v>
      </c>
      <c r="C88" s="158"/>
      <c r="D88" s="4172" t="s">
        <v>208</v>
      </c>
      <c r="E88" s="4172"/>
      <c r="F88" s="4172"/>
      <c r="G88" s="4172"/>
      <c r="H88" s="4172"/>
      <c r="I88" s="225">
        <v>1000000000</v>
      </c>
    </row>
    <row r="89" spans="2:9" ht="9.75" hidden="1" customHeight="1" x14ac:dyDescent="0.2">
      <c r="B89" s="98" t="s">
        <v>107</v>
      </c>
      <c r="C89" s="98"/>
      <c r="D89" s="4181" t="s">
        <v>108</v>
      </c>
      <c r="E89" s="4181"/>
      <c r="F89" s="4181"/>
      <c r="G89" s="4181"/>
      <c r="H89" s="4181"/>
      <c r="I89" s="225">
        <v>40000000000</v>
      </c>
    </row>
    <row r="90" spans="2:9" ht="9.75" hidden="1" customHeight="1" x14ac:dyDescent="0.2">
      <c r="B90" s="106" t="s">
        <v>75</v>
      </c>
      <c r="C90" s="106"/>
      <c r="D90" s="4192" t="s">
        <v>76</v>
      </c>
      <c r="E90" s="4192"/>
      <c r="F90" s="4192"/>
      <c r="G90" s="4192"/>
      <c r="H90" s="4192"/>
      <c r="I90" s="225">
        <v>881511168</v>
      </c>
    </row>
    <row r="91" spans="2:9" ht="9.75" hidden="1" customHeight="1" x14ac:dyDescent="0.2">
      <c r="B91" s="159">
        <v>40902056</v>
      </c>
      <c r="C91" s="159"/>
      <c r="D91" s="4192" t="s">
        <v>156</v>
      </c>
      <c r="E91" s="4192"/>
      <c r="F91" s="4192"/>
      <c r="G91" s="4192"/>
      <c r="H91" s="4192"/>
      <c r="I91" s="225">
        <v>4000000000</v>
      </c>
    </row>
    <row r="92" spans="2:9" ht="9.75" hidden="1" customHeight="1" x14ac:dyDescent="0.2">
      <c r="B92" s="99" t="s">
        <v>81</v>
      </c>
      <c r="C92" s="99"/>
      <c r="D92" s="4172" t="s">
        <v>82</v>
      </c>
      <c r="E92" s="4172"/>
      <c r="F92" s="4172"/>
      <c r="G92" s="4172"/>
      <c r="H92" s="4172"/>
      <c r="I92" s="225">
        <v>56000000000</v>
      </c>
    </row>
    <row r="93" spans="2:9" ht="9.75" hidden="1" customHeight="1" x14ac:dyDescent="0.2">
      <c r="B93" s="99">
        <v>1307006002</v>
      </c>
      <c r="C93" s="99"/>
      <c r="D93" s="4172" t="s">
        <v>153</v>
      </c>
      <c r="E93" s="4172"/>
      <c r="F93" s="4172"/>
      <c r="G93" s="4172"/>
      <c r="H93" s="4172"/>
      <c r="I93" s="225">
        <v>7900000000</v>
      </c>
    </row>
    <row r="94" spans="2:9" ht="9.75" hidden="1" customHeight="1" x14ac:dyDescent="0.2">
      <c r="B94" s="99" t="s">
        <v>372</v>
      </c>
      <c r="C94" s="99"/>
      <c r="D94" s="4172" t="s">
        <v>373</v>
      </c>
      <c r="E94" s="4172"/>
      <c r="F94" s="4172"/>
      <c r="G94" s="4172"/>
      <c r="H94" s="4172"/>
      <c r="I94" s="160">
        <v>150000000000</v>
      </c>
    </row>
    <row r="95" spans="2:9" ht="9.75" hidden="1" customHeight="1" x14ac:dyDescent="0.2">
      <c r="B95" s="99" t="s">
        <v>374</v>
      </c>
      <c r="C95" s="99"/>
      <c r="D95" s="4172" t="s">
        <v>375</v>
      </c>
      <c r="E95" s="4172"/>
      <c r="F95" s="4172"/>
      <c r="G95" s="4172"/>
      <c r="H95" s="4172"/>
      <c r="I95" s="160">
        <v>50000000000</v>
      </c>
    </row>
    <row r="96" spans="2:9" ht="9.75" hidden="1" customHeight="1" x14ac:dyDescent="0.4">
      <c r="B96" s="161" t="s">
        <v>157</v>
      </c>
      <c r="C96" s="161"/>
      <c r="D96" s="4195" t="s">
        <v>133</v>
      </c>
      <c r="E96" s="4195"/>
      <c r="F96" s="4195"/>
      <c r="G96" s="4195"/>
      <c r="H96" s="4195"/>
      <c r="I96" s="160">
        <v>47000000000</v>
      </c>
    </row>
    <row r="97" spans="2:9" ht="9.75" hidden="1" customHeight="1" x14ac:dyDescent="0.4">
      <c r="B97" s="106" t="s">
        <v>77</v>
      </c>
      <c r="C97" s="106"/>
      <c r="D97" s="4195" t="s">
        <v>491</v>
      </c>
      <c r="E97" s="4195"/>
      <c r="F97" s="4195"/>
      <c r="G97" s="4195"/>
      <c r="H97" s="4195"/>
      <c r="I97" s="160">
        <v>40000000000</v>
      </c>
    </row>
    <row r="98" spans="2:9" ht="9.75" hidden="1" customHeight="1" x14ac:dyDescent="0.2">
      <c r="B98" s="100" t="s">
        <v>73</v>
      </c>
      <c r="C98" s="100"/>
      <c r="D98" s="4191" t="s">
        <v>74</v>
      </c>
      <c r="E98" s="4191"/>
      <c r="F98" s="4191"/>
      <c r="G98" s="4191"/>
      <c r="H98" s="4191"/>
      <c r="I98" s="160">
        <v>20000000000</v>
      </c>
    </row>
    <row r="99" spans="2:9" ht="9.75" hidden="1" customHeight="1" x14ac:dyDescent="0.2">
      <c r="B99" s="162" t="s">
        <v>89</v>
      </c>
      <c r="C99" s="162"/>
      <c r="D99" s="4172" t="s">
        <v>255</v>
      </c>
      <c r="E99" s="4172"/>
      <c r="F99" s="4172"/>
      <c r="G99" s="4172"/>
      <c r="H99" s="4172"/>
      <c r="I99" s="160">
        <v>20000000000</v>
      </c>
    </row>
    <row r="100" spans="2:9" ht="9.75" hidden="1" customHeight="1" x14ac:dyDescent="0.2">
      <c r="B100" s="99" t="s">
        <v>125</v>
      </c>
      <c r="C100" s="99"/>
      <c r="D100" s="4172" t="s">
        <v>335</v>
      </c>
      <c r="E100" s="4172"/>
      <c r="F100" s="4172"/>
      <c r="G100" s="4172"/>
      <c r="H100" s="4172"/>
      <c r="I100" s="160">
        <v>5700000000</v>
      </c>
    </row>
    <row r="101" spans="2:9" ht="9.75" hidden="1" customHeight="1" x14ac:dyDescent="0.2">
      <c r="B101" s="99" t="s">
        <v>492</v>
      </c>
      <c r="C101" s="99"/>
      <c r="D101" s="4172" t="s">
        <v>192</v>
      </c>
      <c r="E101" s="4172"/>
      <c r="F101" s="4172"/>
      <c r="G101" s="4172"/>
      <c r="H101" s="4172"/>
      <c r="I101" s="160">
        <v>4500000000</v>
      </c>
    </row>
    <row r="102" spans="2:9" ht="9.75" hidden="1" customHeight="1" x14ac:dyDescent="0.2">
      <c r="B102" s="99" t="s">
        <v>493</v>
      </c>
      <c r="C102" s="99"/>
      <c r="D102" s="4172" t="s">
        <v>494</v>
      </c>
      <c r="E102" s="4172"/>
      <c r="F102" s="4172"/>
      <c r="G102" s="4172"/>
      <c r="H102" s="4172"/>
      <c r="I102" s="160">
        <v>500000000</v>
      </c>
    </row>
    <row r="103" spans="2:9" ht="9.75" hidden="1" customHeight="1" x14ac:dyDescent="0.2">
      <c r="B103" s="99" t="s">
        <v>96</v>
      </c>
      <c r="C103" s="99"/>
      <c r="D103" s="4172" t="s">
        <v>97</v>
      </c>
      <c r="E103" s="4172"/>
      <c r="F103" s="4172"/>
      <c r="G103" s="4172"/>
      <c r="H103" s="4172"/>
      <c r="I103" s="160">
        <v>10000000000</v>
      </c>
    </row>
    <row r="104" spans="2:9" ht="9.75" hidden="1" customHeight="1" thickBot="1" x14ac:dyDescent="0.25">
      <c r="B104" s="4194" t="s">
        <v>417</v>
      </c>
      <c r="C104" s="4194"/>
      <c r="D104" s="4194"/>
      <c r="E104" s="4194"/>
      <c r="F104" s="4194"/>
      <c r="G104" s="4194"/>
      <c r="H104" s="4194"/>
      <c r="I104" s="163">
        <f>SUM(I72:I103)</f>
        <v>1510963198037</v>
      </c>
    </row>
    <row r="105" spans="2:9" ht="9.75" hidden="1" customHeight="1" thickTop="1" x14ac:dyDescent="0.2">
      <c r="B105" s="164"/>
      <c r="C105" s="164"/>
      <c r="D105" s="165"/>
      <c r="E105" s="165"/>
      <c r="F105" s="165"/>
      <c r="G105" s="165"/>
      <c r="H105" s="165"/>
      <c r="I105" s="166"/>
    </row>
    <row r="106" spans="2:9" ht="9.75" hidden="1" customHeight="1" x14ac:dyDescent="0.2">
      <c r="B106" s="153"/>
      <c r="C106" s="153"/>
      <c r="D106" s="154"/>
      <c r="E106" s="154"/>
      <c r="F106" s="154"/>
      <c r="G106" s="154"/>
      <c r="H106" s="154"/>
      <c r="I106" s="155"/>
    </row>
    <row r="107" spans="2:9" ht="9.75" hidden="1" customHeight="1" x14ac:dyDescent="0.2">
      <c r="B107" s="136" t="s">
        <v>495</v>
      </c>
      <c r="C107" s="136"/>
      <c r="D107" s="1467"/>
      <c r="E107" s="1467"/>
      <c r="F107" s="1467"/>
      <c r="G107" s="1467"/>
      <c r="H107" s="1467"/>
      <c r="I107" s="1465"/>
    </row>
    <row r="108" spans="2:9" ht="9.75" hidden="1" customHeight="1" x14ac:dyDescent="0.2">
      <c r="B108" s="167"/>
      <c r="C108" s="167"/>
      <c r="D108" s="168"/>
      <c r="E108" s="168"/>
      <c r="F108" s="168"/>
      <c r="G108" s="168"/>
      <c r="H108" s="168"/>
      <c r="I108" s="157" t="s">
        <v>469</v>
      </c>
    </row>
    <row r="109" spans="2:9" ht="9.75" hidden="1" customHeight="1" x14ac:dyDescent="0.2">
      <c r="B109" s="4186" t="s">
        <v>489</v>
      </c>
      <c r="C109" s="1497"/>
      <c r="D109" s="4187" t="s">
        <v>490</v>
      </c>
      <c r="E109" s="4187"/>
      <c r="F109" s="4187"/>
      <c r="G109" s="4187"/>
      <c r="H109" s="4187"/>
      <c r="I109" s="4188" t="s">
        <v>471</v>
      </c>
    </row>
    <row r="110" spans="2:9" ht="9.75" hidden="1" customHeight="1" x14ac:dyDescent="0.2">
      <c r="B110" s="4186"/>
      <c r="C110" s="1497"/>
      <c r="D110" s="4187"/>
      <c r="E110" s="4187"/>
      <c r="F110" s="4187"/>
      <c r="G110" s="4187"/>
      <c r="H110" s="4187"/>
      <c r="I110" s="4188"/>
    </row>
    <row r="111" spans="2:9" ht="9.75" hidden="1" customHeight="1" x14ac:dyDescent="0.2">
      <c r="B111" s="98" t="s">
        <v>68</v>
      </c>
      <c r="C111" s="98"/>
      <c r="D111" s="4181" t="s">
        <v>70</v>
      </c>
      <c r="E111" s="4181"/>
      <c r="F111" s="4181"/>
      <c r="G111" s="4181"/>
      <c r="H111" s="4181"/>
      <c r="I111" s="169">
        <v>119728715730</v>
      </c>
    </row>
    <row r="112" spans="2:9" ht="9.75" hidden="1" customHeight="1" x14ac:dyDescent="0.2">
      <c r="B112" s="170">
        <v>1307002010</v>
      </c>
      <c r="C112" s="170"/>
      <c r="D112" s="4193" t="s">
        <v>224</v>
      </c>
      <c r="E112" s="4193"/>
      <c r="F112" s="4193"/>
      <c r="G112" s="4193"/>
      <c r="H112" s="4193"/>
      <c r="I112" s="169">
        <v>329702401528</v>
      </c>
    </row>
    <row r="113" spans="2:9" ht="9.75" hidden="1" customHeight="1" x14ac:dyDescent="0.2">
      <c r="B113" s="170">
        <v>1307002080</v>
      </c>
      <c r="C113" s="170"/>
      <c r="D113" s="4193" t="s">
        <v>323</v>
      </c>
      <c r="E113" s="4193"/>
      <c r="F113" s="4193"/>
      <c r="G113" s="4193"/>
      <c r="H113" s="4193"/>
      <c r="I113" s="169">
        <v>1032522566107</v>
      </c>
    </row>
    <row r="114" spans="2:9" ht="9.75" hidden="1" customHeight="1" x14ac:dyDescent="0.2">
      <c r="B114" s="170">
        <v>1503002046</v>
      </c>
      <c r="C114" s="170"/>
      <c r="D114" s="4179" t="s">
        <v>223</v>
      </c>
      <c r="E114" s="4179"/>
      <c r="F114" s="4179"/>
      <c r="G114" s="4179"/>
      <c r="H114" s="4179"/>
      <c r="I114" s="169">
        <v>531160856636</v>
      </c>
    </row>
    <row r="115" spans="2:9" ht="9.75" hidden="1" customHeight="1" x14ac:dyDescent="0.2">
      <c r="B115" s="170">
        <v>1503002096</v>
      </c>
      <c r="C115" s="170"/>
      <c r="D115" s="4179" t="s">
        <v>316</v>
      </c>
      <c r="E115" s="4179"/>
      <c r="F115" s="4179"/>
      <c r="G115" s="4179"/>
      <c r="H115" s="4179"/>
      <c r="I115" s="171">
        <v>35000479172</v>
      </c>
    </row>
    <row r="116" spans="2:9" ht="9.75" hidden="1" customHeight="1" x14ac:dyDescent="0.2">
      <c r="B116" s="170">
        <v>1503002173</v>
      </c>
      <c r="C116" s="170"/>
      <c r="D116" s="4179" t="s">
        <v>317</v>
      </c>
      <c r="E116" s="4179"/>
      <c r="F116" s="4179"/>
      <c r="G116" s="4179"/>
      <c r="H116" s="4179"/>
      <c r="I116" s="169">
        <v>59007650111</v>
      </c>
    </row>
    <row r="117" spans="2:9" ht="9.75" hidden="1" customHeight="1" x14ac:dyDescent="0.2">
      <c r="B117" s="98" t="s">
        <v>206</v>
      </c>
      <c r="C117" s="98"/>
      <c r="D117" s="4181" t="s">
        <v>207</v>
      </c>
      <c r="E117" s="4181"/>
      <c r="F117" s="4181"/>
      <c r="G117" s="4181"/>
      <c r="H117" s="4181"/>
      <c r="I117" s="169">
        <v>14546036064</v>
      </c>
    </row>
    <row r="118" spans="2:9" ht="9.75" hidden="1" customHeight="1" x14ac:dyDescent="0.2">
      <c r="B118" s="98" t="s">
        <v>104</v>
      </c>
      <c r="C118" s="98"/>
      <c r="D118" s="4181" t="s">
        <v>198</v>
      </c>
      <c r="E118" s="4181"/>
      <c r="F118" s="4181"/>
      <c r="G118" s="4181"/>
      <c r="H118" s="4181"/>
      <c r="I118" s="169">
        <v>14161338351</v>
      </c>
    </row>
    <row r="119" spans="2:9" ht="9.75" hidden="1" customHeight="1" x14ac:dyDescent="0.2">
      <c r="B119" s="98" t="s">
        <v>164</v>
      </c>
      <c r="C119" s="98"/>
      <c r="D119" s="4181" t="s">
        <v>211</v>
      </c>
      <c r="E119" s="4181"/>
      <c r="F119" s="4181"/>
      <c r="G119" s="4181"/>
      <c r="H119" s="4181"/>
      <c r="I119" s="169">
        <v>15469384253</v>
      </c>
    </row>
    <row r="120" spans="2:9" ht="9.75" hidden="1" customHeight="1" x14ac:dyDescent="0.2">
      <c r="B120" s="98" t="s">
        <v>107</v>
      </c>
      <c r="C120" s="98"/>
      <c r="D120" s="4181" t="s">
        <v>108</v>
      </c>
      <c r="E120" s="4181"/>
      <c r="F120" s="4181"/>
      <c r="G120" s="4181"/>
      <c r="H120" s="4181"/>
      <c r="I120" s="169">
        <v>5843987388</v>
      </c>
    </row>
    <row r="121" spans="2:9" ht="9.75" hidden="1" customHeight="1" x14ac:dyDescent="0.2">
      <c r="B121" s="98" t="s">
        <v>111</v>
      </c>
      <c r="C121" s="98"/>
      <c r="D121" s="4181" t="s">
        <v>112</v>
      </c>
      <c r="E121" s="4181"/>
      <c r="F121" s="4181"/>
      <c r="G121" s="4181"/>
      <c r="H121" s="4181"/>
      <c r="I121" s="169">
        <v>100378074</v>
      </c>
    </row>
    <row r="122" spans="2:9" ht="9.75" hidden="1" customHeight="1" x14ac:dyDescent="0.2">
      <c r="B122" s="99" t="s">
        <v>96</v>
      </c>
      <c r="C122" s="99"/>
      <c r="D122" s="4172" t="s">
        <v>97</v>
      </c>
      <c r="E122" s="4172"/>
      <c r="F122" s="4172"/>
      <c r="G122" s="4172"/>
      <c r="H122" s="4172"/>
      <c r="I122" s="172">
        <v>1928378665</v>
      </c>
    </row>
    <row r="123" spans="2:9" ht="9.75" hidden="1" customHeight="1" x14ac:dyDescent="0.2">
      <c r="B123" s="99" t="s">
        <v>98</v>
      </c>
      <c r="C123" s="99"/>
      <c r="D123" s="4172" t="s">
        <v>219</v>
      </c>
      <c r="E123" s="4172"/>
      <c r="F123" s="4172"/>
      <c r="G123" s="4172"/>
      <c r="H123" s="4172"/>
      <c r="I123" s="172">
        <v>1019208950</v>
      </c>
    </row>
    <row r="124" spans="2:9" ht="9.75" hidden="1" customHeight="1" x14ac:dyDescent="0.2">
      <c r="B124" s="158" t="s">
        <v>163</v>
      </c>
      <c r="C124" s="158"/>
      <c r="D124" s="4172" t="s">
        <v>348</v>
      </c>
      <c r="E124" s="4172"/>
      <c r="F124" s="4172"/>
      <c r="G124" s="4172"/>
      <c r="H124" s="4172"/>
      <c r="I124" s="172">
        <v>226592048</v>
      </c>
    </row>
    <row r="125" spans="2:9" ht="9.75" hidden="1" customHeight="1" x14ac:dyDescent="0.2">
      <c r="B125" s="158" t="s">
        <v>66</v>
      </c>
      <c r="C125" s="158"/>
      <c r="D125" s="4172" t="s">
        <v>67</v>
      </c>
      <c r="E125" s="4172"/>
      <c r="F125" s="4172"/>
      <c r="G125" s="4172"/>
      <c r="H125" s="4172"/>
      <c r="I125" s="172">
        <v>5773482068</v>
      </c>
    </row>
    <row r="126" spans="2:9" ht="9.75" hidden="1" customHeight="1" x14ac:dyDescent="0.2">
      <c r="B126" s="158" t="s">
        <v>105</v>
      </c>
      <c r="C126" s="158"/>
      <c r="D126" s="4172" t="s">
        <v>106</v>
      </c>
      <c r="E126" s="4172"/>
      <c r="F126" s="4172"/>
      <c r="G126" s="4172"/>
      <c r="H126" s="4172"/>
      <c r="I126" s="172">
        <v>9434378710</v>
      </c>
    </row>
    <row r="127" spans="2:9" ht="9.75" hidden="1" customHeight="1" x14ac:dyDescent="0.2">
      <c r="B127" s="99" t="s">
        <v>182</v>
      </c>
      <c r="C127" s="99"/>
      <c r="D127" s="4172" t="s">
        <v>335</v>
      </c>
      <c r="E127" s="4172"/>
      <c r="F127" s="4172"/>
      <c r="G127" s="4172"/>
      <c r="H127" s="4172"/>
      <c r="I127" s="172">
        <v>41147567295</v>
      </c>
    </row>
    <row r="128" spans="2:9" ht="9.75" hidden="1" customHeight="1" x14ac:dyDescent="0.2">
      <c r="B128" s="99" t="s">
        <v>496</v>
      </c>
      <c r="C128" s="99"/>
      <c r="D128" s="4172" t="s">
        <v>369</v>
      </c>
      <c r="E128" s="4172"/>
      <c r="F128" s="4172"/>
      <c r="G128" s="4172"/>
      <c r="H128" s="4172"/>
      <c r="I128" s="172">
        <v>2288131171</v>
      </c>
    </row>
    <row r="129" spans="2:10" ht="9.75" hidden="1" customHeight="1" x14ac:dyDescent="0.2">
      <c r="B129" s="99">
        <v>1307006001</v>
      </c>
      <c r="C129" s="99"/>
      <c r="D129" s="4172" t="s">
        <v>87</v>
      </c>
      <c r="E129" s="4172"/>
      <c r="F129" s="4172"/>
      <c r="G129" s="4172"/>
      <c r="H129" s="4172"/>
      <c r="I129" s="172">
        <v>9380262580</v>
      </c>
    </row>
    <row r="130" spans="2:10" ht="9.75" hidden="1" customHeight="1" x14ac:dyDescent="0.2">
      <c r="B130" s="99" t="s">
        <v>109</v>
      </c>
      <c r="C130" s="99"/>
      <c r="D130" s="4172" t="s">
        <v>110</v>
      </c>
      <c r="E130" s="4172"/>
      <c r="F130" s="4172"/>
      <c r="G130" s="4172"/>
      <c r="H130" s="4172"/>
      <c r="I130" s="172">
        <v>58860039636</v>
      </c>
    </row>
    <row r="131" spans="2:10" ht="9.75" hidden="1" customHeight="1" x14ac:dyDescent="0.2">
      <c r="B131" s="99" t="s">
        <v>172</v>
      </c>
      <c r="C131" s="99"/>
      <c r="D131" s="4172" t="s">
        <v>173</v>
      </c>
      <c r="E131" s="4172"/>
      <c r="F131" s="4172"/>
      <c r="G131" s="4172"/>
      <c r="H131" s="4172"/>
      <c r="I131" s="172">
        <v>550000000</v>
      </c>
    </row>
    <row r="132" spans="2:10" ht="9.75" hidden="1" customHeight="1" x14ac:dyDescent="0.2">
      <c r="B132" s="228" t="s">
        <v>115</v>
      </c>
      <c r="C132" s="228"/>
      <c r="D132" s="4191" t="s">
        <v>116</v>
      </c>
      <c r="E132" s="4191"/>
      <c r="F132" s="4191"/>
      <c r="G132" s="4191"/>
      <c r="H132" s="4191"/>
      <c r="I132" s="172">
        <v>12436676</v>
      </c>
    </row>
    <row r="133" spans="2:10" ht="9.75" hidden="1" customHeight="1" x14ac:dyDescent="0.2">
      <c r="B133" s="173" t="s">
        <v>73</v>
      </c>
      <c r="C133" s="173"/>
      <c r="D133" s="4172" t="s">
        <v>74</v>
      </c>
      <c r="E133" s="4172"/>
      <c r="F133" s="4172"/>
      <c r="G133" s="4172"/>
      <c r="H133" s="4172"/>
      <c r="I133" s="172">
        <v>40684000170</v>
      </c>
    </row>
    <row r="134" spans="2:10" ht="9.75" hidden="1" customHeight="1" x14ac:dyDescent="0.2">
      <c r="B134" s="99" t="s">
        <v>81</v>
      </c>
      <c r="C134" s="99"/>
      <c r="D134" s="4172" t="s">
        <v>82</v>
      </c>
      <c r="E134" s="4172"/>
      <c r="F134" s="4172"/>
      <c r="G134" s="4172"/>
      <c r="H134" s="4172"/>
      <c r="I134" s="172">
        <v>118416108865</v>
      </c>
    </row>
    <row r="135" spans="2:10" ht="9.75" hidden="1" customHeight="1" x14ac:dyDescent="0.2">
      <c r="B135" s="162" t="s">
        <v>99</v>
      </c>
      <c r="C135" s="162"/>
      <c r="D135" s="4172" t="s">
        <v>100</v>
      </c>
      <c r="E135" s="4172"/>
      <c r="F135" s="4172"/>
      <c r="G135" s="4172"/>
      <c r="H135" s="4172"/>
      <c r="I135" s="172">
        <v>1194318537</v>
      </c>
    </row>
    <row r="136" spans="2:10" ht="9.75" hidden="1" customHeight="1" x14ac:dyDescent="0.2">
      <c r="B136" s="174" t="s">
        <v>250</v>
      </c>
      <c r="C136" s="174"/>
      <c r="D136" s="4192" t="s">
        <v>370</v>
      </c>
      <c r="E136" s="4192"/>
      <c r="F136" s="4192"/>
      <c r="G136" s="4192"/>
      <c r="H136" s="4192"/>
      <c r="I136" s="172">
        <v>11317678390</v>
      </c>
    </row>
    <row r="137" spans="2:10" ht="9.75" hidden="1" customHeight="1" x14ac:dyDescent="0.2">
      <c r="B137" s="99" t="s">
        <v>71</v>
      </c>
      <c r="C137" s="99"/>
      <c r="D137" s="4172" t="s">
        <v>72</v>
      </c>
      <c r="E137" s="4172"/>
      <c r="F137" s="4172"/>
      <c r="G137" s="4172"/>
      <c r="H137" s="4172"/>
      <c r="I137" s="172">
        <v>118089488</v>
      </c>
    </row>
    <row r="138" spans="2:10" ht="9.75" hidden="1" customHeight="1" x14ac:dyDescent="0.2">
      <c r="B138" s="99">
        <v>1307006002</v>
      </c>
      <c r="C138" s="99"/>
      <c r="D138" s="4172" t="s">
        <v>153</v>
      </c>
      <c r="E138" s="4172"/>
      <c r="F138" s="4172"/>
      <c r="G138" s="4172"/>
      <c r="H138" s="4172"/>
      <c r="I138" s="172">
        <v>41197997043</v>
      </c>
    </row>
    <row r="139" spans="2:10" ht="9.75" hidden="1" customHeight="1" x14ac:dyDescent="0.2">
      <c r="B139" s="99" t="s">
        <v>125</v>
      </c>
      <c r="C139" s="99"/>
      <c r="D139" s="4172" t="s">
        <v>335</v>
      </c>
      <c r="E139" s="4172"/>
      <c r="F139" s="4172"/>
      <c r="G139" s="4172"/>
      <c r="H139" s="4172"/>
      <c r="I139" s="172">
        <v>8237634039</v>
      </c>
    </row>
    <row r="140" spans="2:10" ht="9.75" hidden="1" customHeight="1" thickBot="1" x14ac:dyDescent="0.25">
      <c r="B140" s="4182" t="s">
        <v>417</v>
      </c>
      <c r="C140" s="4182"/>
      <c r="D140" s="4182"/>
      <c r="E140" s="4182"/>
      <c r="F140" s="4182"/>
      <c r="G140" s="4182"/>
      <c r="H140" s="4182"/>
      <c r="I140" s="175">
        <f>SUM(I111:I139)</f>
        <v>2509030097745</v>
      </c>
    </row>
    <row r="141" spans="2:10" ht="9.75" hidden="1" customHeight="1" thickTop="1" x14ac:dyDescent="0.2">
      <c r="B141" s="153"/>
      <c r="C141" s="153"/>
      <c r="D141" s="154"/>
      <c r="E141" s="154"/>
      <c r="F141" s="154"/>
      <c r="G141" s="154"/>
      <c r="H141" s="154"/>
      <c r="I141" s="155"/>
    </row>
    <row r="142" spans="2:10" ht="9.75" hidden="1" customHeight="1" x14ac:dyDescent="0.2">
      <c r="B142" s="3100" t="s">
        <v>497</v>
      </c>
      <c r="C142" s="3100"/>
      <c r="D142" s="3100"/>
      <c r="E142" s="3100"/>
      <c r="F142" s="3100"/>
      <c r="G142" s="3100"/>
      <c r="H142" s="3100"/>
      <c r="I142" s="3100"/>
    </row>
    <row r="143" spans="2:10" ht="9.75" hidden="1" customHeight="1" x14ac:dyDescent="0.2">
      <c r="B143" s="167"/>
      <c r="C143" s="167"/>
      <c r="D143" s="168"/>
      <c r="E143" s="168"/>
      <c r="F143" s="168"/>
      <c r="G143" s="168"/>
      <c r="H143" s="168"/>
      <c r="I143" s="157" t="s">
        <v>469</v>
      </c>
    </row>
    <row r="144" spans="2:10" ht="9.75" hidden="1" customHeight="1" x14ac:dyDescent="0.2">
      <c r="B144" s="4186" t="s">
        <v>489</v>
      </c>
      <c r="C144" s="1497"/>
      <c r="D144" s="4187" t="s">
        <v>490</v>
      </c>
      <c r="E144" s="4187"/>
      <c r="F144" s="4187"/>
      <c r="G144" s="4187"/>
      <c r="H144" s="4187"/>
      <c r="I144" s="4188" t="s">
        <v>471</v>
      </c>
      <c r="J144" s="176"/>
    </row>
    <row r="145" spans="2:9" ht="9.75" hidden="1" customHeight="1" x14ac:dyDescent="0.2">
      <c r="B145" s="4186"/>
      <c r="C145" s="1497"/>
      <c r="D145" s="4187"/>
      <c r="E145" s="4187"/>
      <c r="F145" s="4187"/>
      <c r="G145" s="4187"/>
      <c r="H145" s="4187"/>
      <c r="I145" s="4188"/>
    </row>
    <row r="146" spans="2:9" ht="9.75" hidden="1" customHeight="1" x14ac:dyDescent="0.2">
      <c r="B146" s="177">
        <v>1307002010</v>
      </c>
      <c r="C146" s="177"/>
      <c r="D146" s="4189" t="s">
        <v>224</v>
      </c>
      <c r="E146" s="4189"/>
      <c r="F146" s="4189"/>
      <c r="G146" s="4189"/>
      <c r="H146" s="4189"/>
      <c r="I146" s="169">
        <v>2227006188</v>
      </c>
    </row>
    <row r="147" spans="2:9" ht="9.75" hidden="1" customHeight="1" x14ac:dyDescent="0.2">
      <c r="B147" s="177">
        <v>1503002046</v>
      </c>
      <c r="C147" s="177"/>
      <c r="D147" s="4180" t="s">
        <v>223</v>
      </c>
      <c r="E147" s="4180"/>
      <c r="F147" s="4180"/>
      <c r="G147" s="4180"/>
      <c r="H147" s="4180"/>
      <c r="I147" s="169">
        <v>1102219236</v>
      </c>
    </row>
    <row r="148" spans="2:9" ht="9.75" hidden="1" customHeight="1" x14ac:dyDescent="0.2">
      <c r="B148" s="170">
        <v>1503002096</v>
      </c>
      <c r="C148" s="170"/>
      <c r="D148" s="4179" t="s">
        <v>316</v>
      </c>
      <c r="E148" s="4179"/>
      <c r="F148" s="4179"/>
      <c r="G148" s="4179"/>
      <c r="H148" s="4179"/>
      <c r="I148" s="169">
        <v>250000000</v>
      </c>
    </row>
    <row r="149" spans="2:9" ht="9.75" hidden="1" customHeight="1" x14ac:dyDescent="0.2">
      <c r="B149" s="177">
        <v>1503002173</v>
      </c>
      <c r="C149" s="177"/>
      <c r="D149" s="4180" t="s">
        <v>317</v>
      </c>
      <c r="E149" s="4180"/>
      <c r="F149" s="4180"/>
      <c r="G149" s="4180"/>
      <c r="H149" s="4180"/>
      <c r="I149" s="169">
        <v>843260632</v>
      </c>
    </row>
    <row r="150" spans="2:9" ht="9.75" hidden="1" customHeight="1" x14ac:dyDescent="0.2">
      <c r="B150" s="98" t="s">
        <v>281</v>
      </c>
      <c r="C150" s="98"/>
      <c r="D150" s="4181" t="s">
        <v>351</v>
      </c>
      <c r="E150" s="4181"/>
      <c r="F150" s="4181"/>
      <c r="G150" s="4181"/>
      <c r="H150" s="4181"/>
      <c r="I150" s="169">
        <v>21772710</v>
      </c>
    </row>
    <row r="151" spans="2:9" ht="9.75" hidden="1" customHeight="1" x14ac:dyDescent="0.2">
      <c r="B151" s="98" t="s">
        <v>498</v>
      </c>
      <c r="C151" s="98"/>
      <c r="D151" s="4181" t="s">
        <v>499</v>
      </c>
      <c r="E151" s="4181"/>
      <c r="F151" s="4181"/>
      <c r="G151" s="4181"/>
      <c r="H151" s="4181"/>
      <c r="I151" s="169">
        <v>364783804</v>
      </c>
    </row>
    <row r="152" spans="2:9" ht="9.75" hidden="1" customHeight="1" x14ac:dyDescent="0.2">
      <c r="B152" s="98" t="s">
        <v>500</v>
      </c>
      <c r="C152" s="98"/>
      <c r="D152" s="4181" t="s">
        <v>232</v>
      </c>
      <c r="E152" s="4181"/>
      <c r="F152" s="4181"/>
      <c r="G152" s="4181"/>
      <c r="H152" s="4181"/>
      <c r="I152" s="169">
        <v>50000000</v>
      </c>
    </row>
    <row r="153" spans="2:9" ht="9.75" hidden="1" customHeight="1" thickBot="1" x14ac:dyDescent="0.25">
      <c r="B153" s="4182" t="s">
        <v>417</v>
      </c>
      <c r="C153" s="4182"/>
      <c r="D153" s="4182"/>
      <c r="E153" s="4182"/>
      <c r="F153" s="4182"/>
      <c r="G153" s="4182"/>
      <c r="H153" s="4182"/>
      <c r="I153" s="175">
        <f>SUM(I146:I152)</f>
        <v>4859042570</v>
      </c>
    </row>
    <row r="154" spans="2:9" ht="9.75" hidden="1" customHeight="1" thickTop="1" x14ac:dyDescent="0.2">
      <c r="B154" s="140"/>
      <c r="C154" s="140"/>
      <c r="D154" s="58"/>
      <c r="E154" s="58"/>
      <c r="F154" s="58"/>
      <c r="G154" s="58"/>
      <c r="H154" s="58"/>
      <c r="I154" s="58"/>
    </row>
    <row r="155" spans="2:9" ht="12" customHeight="1" thickTop="1" x14ac:dyDescent="0.2">
      <c r="B155" s="140"/>
      <c r="C155" s="140"/>
      <c r="D155" s="58"/>
      <c r="E155" s="58"/>
      <c r="F155" s="58"/>
      <c r="G155" s="58"/>
      <c r="H155" s="58"/>
      <c r="I155" s="58"/>
    </row>
    <row r="156" spans="2:9" ht="12" customHeight="1" x14ac:dyDescent="0.2">
      <c r="B156" s="140"/>
      <c r="C156" s="140"/>
      <c r="D156" s="58"/>
      <c r="E156" s="58"/>
      <c r="F156" s="58"/>
      <c r="G156" s="58"/>
      <c r="H156" s="58"/>
      <c r="I156" s="58"/>
    </row>
    <row r="157" spans="2:9" ht="12" customHeight="1" x14ac:dyDescent="0.2"/>
    <row r="158" spans="2:9" ht="12" customHeight="1" x14ac:dyDescent="0.2"/>
    <row r="159" spans="2:9" ht="12" customHeight="1" x14ac:dyDescent="0.2"/>
    <row r="160" spans="2:9" ht="12" customHeight="1" x14ac:dyDescent="0.2"/>
    <row r="161" spans="2:10" ht="12" customHeight="1" x14ac:dyDescent="0.2"/>
    <row r="162" spans="2:10" ht="12" customHeight="1" x14ac:dyDescent="0.2"/>
    <row r="163" spans="2:10" ht="12" customHeight="1" x14ac:dyDescent="0.2"/>
    <row r="164" spans="2:10" ht="33" customHeight="1" x14ac:dyDescent="0.35">
      <c r="B164" s="4183" t="s">
        <v>2194</v>
      </c>
      <c r="C164" s="4183"/>
      <c r="D164" s="4183"/>
      <c r="E164" s="4183"/>
      <c r="F164" s="4183"/>
      <c r="G164" s="4183"/>
      <c r="H164" s="4183"/>
      <c r="I164" s="4183"/>
      <c r="J164" s="721"/>
    </row>
    <row r="165" spans="2:10" ht="28.9" customHeight="1" x14ac:dyDescent="0.4">
      <c r="B165" s="1502"/>
      <c r="C165" s="1502"/>
      <c r="E165" s="179"/>
      <c r="F165" s="179"/>
      <c r="G165" s="97"/>
      <c r="H165" s="97"/>
      <c r="I165" s="190" t="s">
        <v>1193</v>
      </c>
    </row>
    <row r="166" spans="2:10" ht="26.25" customHeight="1" x14ac:dyDescent="0.45">
      <c r="B166" s="180"/>
      <c r="C166" s="180"/>
      <c r="D166" s="58"/>
      <c r="E166" s="181"/>
      <c r="F166" s="181"/>
      <c r="G166" s="137" t="s">
        <v>1980</v>
      </c>
      <c r="H166" s="182"/>
      <c r="I166" s="137" t="s">
        <v>1380</v>
      </c>
    </row>
    <row r="167" spans="2:10" ht="26.25" customHeight="1" x14ac:dyDescent="0.5">
      <c r="B167" s="183"/>
      <c r="C167" s="183"/>
      <c r="D167" s="184"/>
      <c r="E167" s="185"/>
      <c r="F167" s="185"/>
      <c r="G167" s="186"/>
      <c r="H167" s="187"/>
      <c r="I167" s="186"/>
    </row>
    <row r="168" spans="2:10" ht="26.25" customHeight="1" x14ac:dyDescent="0.5">
      <c r="B168" s="188" t="s">
        <v>501</v>
      </c>
      <c r="C168" s="188"/>
      <c r="D168" s="184"/>
      <c r="E168" s="185"/>
      <c r="F168" s="185"/>
      <c r="G168" s="436">
        <v>7580299858339</v>
      </c>
      <c r="H168" s="187"/>
      <c r="I168" s="436">
        <v>5702737013868</v>
      </c>
    </row>
    <row r="169" spans="2:10" ht="26.25" customHeight="1" x14ac:dyDescent="0.5">
      <c r="B169" s="188" t="s">
        <v>502</v>
      </c>
      <c r="C169" s="188"/>
      <c r="D169" s="184"/>
      <c r="E169" s="185"/>
      <c r="F169" s="185"/>
      <c r="G169" s="436">
        <v>677493313817</v>
      </c>
      <c r="H169" s="187"/>
      <c r="I169" s="436">
        <v>494382994689</v>
      </c>
    </row>
    <row r="170" spans="2:10" ht="26.25" customHeight="1" x14ac:dyDescent="0.5">
      <c r="B170" s="188" t="s">
        <v>503</v>
      </c>
      <c r="C170" s="188"/>
      <c r="D170" s="184"/>
      <c r="E170" s="185"/>
      <c r="F170" s="185"/>
      <c r="G170" s="436">
        <v>582221488668</v>
      </c>
      <c r="H170" s="187"/>
      <c r="I170" s="436">
        <v>479151488668</v>
      </c>
    </row>
    <row r="171" spans="2:10" ht="26.25" customHeight="1" thickBot="1" x14ac:dyDescent="0.25">
      <c r="B171" s="140"/>
      <c r="C171" s="140"/>
      <c r="D171" s="58"/>
      <c r="E171" s="58"/>
      <c r="F171" s="58"/>
      <c r="G171" s="243">
        <f>SUM(G168:G170)</f>
        <v>8840014660824</v>
      </c>
      <c r="H171" s="184"/>
      <c r="I171" s="243">
        <f>SUM(I168:I170)</f>
        <v>6676271497225</v>
      </c>
    </row>
    <row r="172" spans="2:10" ht="26.25" customHeight="1" thickTop="1" x14ac:dyDescent="0.2">
      <c r="B172" s="140"/>
      <c r="C172" s="140"/>
      <c r="D172" s="58"/>
      <c r="E172" s="58"/>
      <c r="F172" s="58"/>
      <c r="G172" s="58"/>
      <c r="H172" s="58"/>
      <c r="I172" s="58"/>
    </row>
    <row r="173" spans="2:10" ht="26.25" customHeight="1" x14ac:dyDescent="0.2">
      <c r="B173" s="140"/>
      <c r="C173" s="140"/>
      <c r="D173" s="58"/>
      <c r="E173" s="58"/>
      <c r="F173" s="58"/>
      <c r="G173" s="58"/>
      <c r="H173" s="58"/>
      <c r="I173" s="58"/>
    </row>
    <row r="174" spans="2:10" ht="26.25" customHeight="1" x14ac:dyDescent="0.2">
      <c r="B174" s="4190" t="s">
        <v>2195</v>
      </c>
      <c r="C174" s="4190"/>
      <c r="D174" s="4190"/>
      <c r="E174" s="4190"/>
      <c r="F174" s="4190"/>
      <c r="G174" s="4190"/>
      <c r="H174" s="58"/>
      <c r="I174" s="58"/>
    </row>
    <row r="175" spans="2:10" ht="27.6" customHeight="1" x14ac:dyDescent="0.2">
      <c r="B175" s="4185" t="s">
        <v>996</v>
      </c>
      <c r="C175" s="4185"/>
      <c r="D175" s="4185"/>
      <c r="E175" s="4185"/>
      <c r="F175" s="4185"/>
      <c r="G175" s="4185"/>
      <c r="H175" s="4185"/>
      <c r="I175" s="4185"/>
    </row>
    <row r="176" spans="2:10" ht="27" customHeight="1" x14ac:dyDescent="0.2">
      <c r="B176" s="4185"/>
      <c r="C176" s="4185"/>
      <c r="D176" s="4185"/>
      <c r="E176" s="4185"/>
      <c r="F176" s="4185"/>
      <c r="G176" s="4185"/>
      <c r="H176" s="4185"/>
      <c r="I176" s="4185"/>
    </row>
    <row r="177" spans="1:11" ht="12" customHeight="1" x14ac:dyDescent="0.2">
      <c r="B177" s="140"/>
      <c r="C177" s="140"/>
      <c r="D177" s="58"/>
      <c r="E177" s="58"/>
      <c r="F177" s="58"/>
      <c r="G177" s="58"/>
      <c r="H177" s="58"/>
      <c r="I177" s="58"/>
    </row>
    <row r="178" spans="1:11" ht="12" customHeight="1" x14ac:dyDescent="0.2"/>
    <row r="179" spans="1:11" ht="12" customHeight="1" x14ac:dyDescent="0.2"/>
    <row r="180" spans="1:11" ht="12" customHeight="1" x14ac:dyDescent="0.2"/>
    <row r="181" spans="1:11" ht="12.75" customHeight="1" x14ac:dyDescent="0.2">
      <c r="B181" s="4183"/>
      <c r="C181" s="4183"/>
      <c r="D181" s="4183"/>
    </row>
    <row r="182" spans="1:11" ht="3.6" customHeight="1" x14ac:dyDescent="0.2"/>
    <row r="183" spans="1:11" ht="3.6" customHeight="1" x14ac:dyDescent="0.2"/>
    <row r="184" spans="1:11" ht="3.6" customHeight="1" x14ac:dyDescent="0.2"/>
    <row r="185" spans="1:11" ht="3.6" customHeight="1" x14ac:dyDescent="0.2"/>
    <row r="186" spans="1:11" ht="3.6" customHeight="1" x14ac:dyDescent="0.2"/>
    <row r="187" spans="1:11" ht="3.6" customHeight="1" x14ac:dyDescent="0.2"/>
    <row r="188" spans="1:11" ht="26.45" customHeight="1" x14ac:dyDescent="0.2"/>
    <row r="189" spans="1:11" ht="9" customHeight="1" x14ac:dyDescent="0.2"/>
    <row r="190" spans="1:11" ht="24" customHeight="1" x14ac:dyDescent="0.2">
      <c r="A190" s="4184">
        <v>109</v>
      </c>
      <c r="B190" s="4184"/>
      <c r="C190" s="4184"/>
      <c r="D190" s="4184"/>
      <c r="E190" s="4184"/>
      <c r="F190" s="4184"/>
      <c r="G190" s="4184"/>
      <c r="H190" s="4184"/>
      <c r="I190" s="4184"/>
    </row>
    <row r="191" spans="1:11" ht="22.9" customHeight="1" x14ac:dyDescent="0.2">
      <c r="B191" s="4178"/>
      <c r="C191" s="4178"/>
      <c r="D191" s="4178"/>
      <c r="E191" s="4178"/>
      <c r="F191" s="4178"/>
      <c r="G191" s="4178"/>
      <c r="H191" s="4178"/>
      <c r="I191" s="4178"/>
      <c r="J191" s="4178"/>
      <c r="K191" s="4178"/>
    </row>
    <row r="192" spans="1:11" ht="12" customHeight="1" x14ac:dyDescent="0.2">
      <c r="B192" s="4178"/>
      <c r="C192" s="4178"/>
      <c r="D192" s="4178"/>
      <c r="E192" s="4178"/>
      <c r="F192" s="4178"/>
      <c r="G192" s="4178"/>
      <c r="H192" s="4178"/>
      <c r="I192" s="4178"/>
      <c r="J192" s="4178"/>
      <c r="K192" s="4178"/>
    </row>
    <row r="193" spans="2:8" ht="12" customHeight="1" x14ac:dyDescent="0.2"/>
    <row r="194" spans="2:8" ht="12" customHeight="1" x14ac:dyDescent="0.2"/>
    <row r="195" spans="2:8" ht="12" customHeight="1" x14ac:dyDescent="0.2"/>
    <row r="196" spans="2:8" ht="12" customHeight="1" x14ac:dyDescent="0.2"/>
    <row r="197" spans="2:8" ht="12" customHeight="1" x14ac:dyDescent="0.2"/>
    <row r="198" spans="2:8" ht="12" customHeight="1" x14ac:dyDescent="0.2"/>
    <row r="199" spans="2:8" ht="18" customHeight="1" x14ac:dyDescent="0.2">
      <c r="D199" s="57"/>
      <c r="E199" s="57"/>
      <c r="F199" s="57"/>
      <c r="G199" s="57"/>
      <c r="H199" s="57"/>
    </row>
    <row r="200" spans="2:8" x14ac:dyDescent="0.2">
      <c r="D200" s="57"/>
      <c r="E200" s="57"/>
      <c r="F200" s="57"/>
      <c r="G200" s="57"/>
      <c r="H200" s="57"/>
    </row>
    <row r="201" spans="2:8" x14ac:dyDescent="0.2">
      <c r="D201" s="57"/>
      <c r="E201" s="57"/>
      <c r="F201" s="57"/>
      <c r="G201" s="57"/>
      <c r="H201" s="57"/>
    </row>
    <row r="202" spans="2:8" ht="18" customHeight="1" x14ac:dyDescent="0.2">
      <c r="D202" s="57"/>
      <c r="E202" s="57"/>
      <c r="F202" s="57"/>
      <c r="G202" s="57"/>
      <c r="H202" s="57"/>
    </row>
    <row r="203" spans="2:8" ht="18" customHeight="1" x14ac:dyDescent="0.2">
      <c r="B203" s="191"/>
      <c r="C203" s="191"/>
      <c r="D203" s="192"/>
      <c r="E203" s="192"/>
      <c r="F203" s="192"/>
      <c r="G203" s="192"/>
      <c r="H203" s="192"/>
    </row>
    <row r="204" spans="2:8" ht="18" x14ac:dyDescent="0.2">
      <c r="B204" s="191"/>
      <c r="C204" s="191"/>
      <c r="D204" s="192"/>
      <c r="E204" s="192"/>
      <c r="F204" s="192"/>
      <c r="G204" s="192"/>
      <c r="H204" s="192"/>
    </row>
    <row r="205" spans="2:8" ht="18" x14ac:dyDescent="0.2">
      <c r="B205" s="191"/>
      <c r="C205" s="191"/>
      <c r="D205" s="192"/>
      <c r="E205" s="192"/>
      <c r="F205" s="192"/>
      <c r="G205" s="192"/>
      <c r="H205" s="192"/>
    </row>
    <row r="206" spans="2:8" ht="18" x14ac:dyDescent="0.2">
      <c r="B206" s="191"/>
      <c r="C206" s="191"/>
      <c r="D206" s="192"/>
      <c r="E206" s="192"/>
      <c r="F206" s="192"/>
      <c r="G206" s="192"/>
      <c r="H206" s="192"/>
    </row>
    <row r="207" spans="2:8" ht="18" customHeight="1" x14ac:dyDescent="0.2">
      <c r="B207" s="191"/>
      <c r="C207" s="191"/>
      <c r="D207" s="192"/>
      <c r="E207" s="192"/>
      <c r="F207" s="192"/>
      <c r="G207" s="192"/>
      <c r="H207" s="192"/>
    </row>
    <row r="208" spans="2:8" ht="18" customHeight="1" x14ac:dyDescent="0.2">
      <c r="B208" s="191"/>
      <c r="C208" s="191"/>
      <c r="D208" s="192"/>
      <c r="E208" s="192"/>
      <c r="F208" s="192"/>
      <c r="G208" s="192"/>
      <c r="H208" s="192"/>
    </row>
    <row r="209" spans="2:8" ht="18" customHeight="1" x14ac:dyDescent="0.2">
      <c r="B209" s="191"/>
      <c r="C209" s="191"/>
      <c r="D209" s="192"/>
      <c r="E209" s="192"/>
      <c r="F209" s="192"/>
      <c r="G209" s="192"/>
      <c r="H209" s="192"/>
    </row>
    <row r="210" spans="2:8" ht="18" customHeight="1" x14ac:dyDescent="0.2">
      <c r="B210" s="191"/>
      <c r="C210" s="191"/>
      <c r="D210" s="192"/>
      <c r="E210" s="192"/>
      <c r="F210" s="192"/>
      <c r="G210" s="192"/>
      <c r="H210" s="192"/>
    </row>
    <row r="211" spans="2:8" ht="18" x14ac:dyDescent="0.2">
      <c r="B211" s="191"/>
      <c r="C211" s="191"/>
      <c r="D211" s="192"/>
      <c r="E211" s="192"/>
      <c r="F211" s="192"/>
      <c r="G211" s="192"/>
      <c r="H211" s="192"/>
    </row>
    <row r="212" spans="2:8" ht="18" x14ac:dyDescent="0.2">
      <c r="B212" s="191"/>
      <c r="C212" s="191"/>
      <c r="D212" s="192"/>
      <c r="E212" s="192"/>
      <c r="F212" s="192"/>
      <c r="G212" s="192"/>
      <c r="H212" s="192"/>
    </row>
    <row r="213" spans="2:8" ht="18" x14ac:dyDescent="0.2">
      <c r="B213" s="191"/>
      <c r="C213" s="191"/>
      <c r="D213" s="192"/>
      <c r="E213" s="192"/>
      <c r="F213" s="192"/>
      <c r="G213" s="192"/>
      <c r="H213" s="192"/>
    </row>
    <row r="214" spans="2:8" ht="18" x14ac:dyDescent="0.2">
      <c r="B214" s="191"/>
      <c r="C214" s="191"/>
      <c r="D214" s="192"/>
      <c r="E214" s="192"/>
      <c r="F214" s="192"/>
      <c r="G214" s="192"/>
      <c r="H214" s="192"/>
    </row>
    <row r="215" spans="2:8" ht="18" x14ac:dyDescent="0.2">
      <c r="B215" s="191"/>
      <c r="C215" s="191"/>
      <c r="D215" s="192"/>
      <c r="E215" s="192"/>
      <c r="F215" s="192"/>
      <c r="G215" s="192"/>
      <c r="H215" s="192"/>
    </row>
    <row r="216" spans="2:8" x14ac:dyDescent="0.2">
      <c r="D216" s="57"/>
      <c r="E216" s="57"/>
      <c r="F216" s="57"/>
      <c r="G216" s="57"/>
      <c r="H216" s="57"/>
    </row>
    <row r="217" spans="2:8" x14ac:dyDescent="0.2">
      <c r="D217" s="57"/>
      <c r="E217" s="57"/>
      <c r="F217" s="57"/>
      <c r="G217" s="57"/>
      <c r="H217" s="57"/>
    </row>
    <row r="218" spans="2:8" x14ac:dyDescent="0.2">
      <c r="D218" s="57"/>
      <c r="E218" s="57"/>
      <c r="F218" s="57"/>
      <c r="G218" s="57"/>
      <c r="H218" s="57"/>
    </row>
    <row r="219" spans="2:8" x14ac:dyDescent="0.2">
      <c r="D219" s="57"/>
      <c r="E219" s="57"/>
      <c r="F219" s="57"/>
      <c r="G219" s="57"/>
      <c r="H219" s="57"/>
    </row>
    <row r="220" spans="2:8" x14ac:dyDescent="0.2">
      <c r="D220" s="57"/>
      <c r="E220" s="57"/>
      <c r="F220" s="57"/>
      <c r="G220" s="57"/>
      <c r="H220" s="57"/>
    </row>
    <row r="221" spans="2:8" x14ac:dyDescent="0.2">
      <c r="D221" s="57"/>
      <c r="E221" s="57"/>
      <c r="F221" s="57"/>
      <c r="G221" s="57"/>
      <c r="H221" s="57"/>
    </row>
    <row r="222" spans="2:8" x14ac:dyDescent="0.2">
      <c r="D222" s="57"/>
      <c r="E222" s="57"/>
      <c r="F222" s="57"/>
      <c r="G222" s="57"/>
      <c r="H222" s="57"/>
    </row>
    <row r="223" spans="2:8" x14ac:dyDescent="0.2">
      <c r="D223" s="57"/>
      <c r="E223" s="57"/>
      <c r="F223" s="57"/>
      <c r="G223" s="57"/>
      <c r="H223" s="57"/>
    </row>
    <row r="224" spans="2:8" x14ac:dyDescent="0.2">
      <c r="D224" s="57"/>
      <c r="E224" s="57"/>
      <c r="F224" s="57"/>
      <c r="G224" s="57"/>
      <c r="H224" s="57"/>
    </row>
    <row r="225" spans="4:8" x14ac:dyDescent="0.2">
      <c r="D225" s="57"/>
      <c r="E225" s="57"/>
      <c r="F225" s="57"/>
      <c r="G225" s="57"/>
      <c r="H225" s="57"/>
    </row>
    <row r="226" spans="4:8" x14ac:dyDescent="0.2">
      <c r="D226" s="57"/>
      <c r="E226" s="57"/>
      <c r="F226" s="57"/>
      <c r="G226" s="57"/>
      <c r="H226" s="57"/>
    </row>
    <row r="227" spans="4:8" x14ac:dyDescent="0.2">
      <c r="D227" s="57"/>
      <c r="E227" s="57"/>
      <c r="F227" s="57"/>
      <c r="G227" s="57"/>
      <c r="H227" s="57"/>
    </row>
    <row r="228" spans="4:8" x14ac:dyDescent="0.2">
      <c r="D228" s="57"/>
      <c r="E228" s="57"/>
      <c r="F228" s="57"/>
      <c r="G228" s="57"/>
      <c r="H228" s="57"/>
    </row>
    <row r="229" spans="4:8" x14ac:dyDescent="0.2">
      <c r="D229" s="57"/>
      <c r="E229" s="57"/>
      <c r="F229" s="57"/>
      <c r="G229" s="57"/>
      <c r="H229" s="57"/>
    </row>
    <row r="230" spans="4:8" x14ac:dyDescent="0.2">
      <c r="D230" s="57"/>
      <c r="E230" s="57"/>
      <c r="F230" s="57"/>
      <c r="G230" s="57"/>
      <c r="H230" s="57"/>
    </row>
    <row r="231" spans="4:8" x14ac:dyDescent="0.2">
      <c r="D231" s="57"/>
      <c r="E231" s="57"/>
      <c r="F231" s="57"/>
      <c r="G231" s="57"/>
      <c r="H231" s="57"/>
    </row>
    <row r="232" spans="4:8" x14ac:dyDescent="0.2">
      <c r="D232" s="57"/>
      <c r="E232" s="57"/>
      <c r="F232" s="57"/>
      <c r="G232" s="57"/>
      <c r="H232" s="57"/>
    </row>
    <row r="233" spans="4:8" x14ac:dyDescent="0.2">
      <c r="D233" s="57"/>
      <c r="E233" s="57"/>
      <c r="F233" s="57"/>
      <c r="G233" s="57"/>
      <c r="H233" s="57"/>
    </row>
    <row r="234" spans="4:8" x14ac:dyDescent="0.2">
      <c r="D234" s="57"/>
      <c r="E234" s="57"/>
      <c r="F234" s="57"/>
      <c r="G234" s="57"/>
      <c r="H234" s="57"/>
    </row>
    <row r="235" spans="4:8" x14ac:dyDescent="0.2">
      <c r="D235" s="57"/>
      <c r="E235" s="57"/>
      <c r="F235" s="57"/>
      <c r="G235" s="57"/>
      <c r="H235" s="57"/>
    </row>
    <row r="236" spans="4:8" x14ac:dyDescent="0.2">
      <c r="D236" s="57"/>
      <c r="E236" s="57"/>
      <c r="F236" s="57"/>
      <c r="G236" s="57"/>
      <c r="H236" s="57"/>
    </row>
    <row r="237" spans="4:8" x14ac:dyDescent="0.2">
      <c r="D237" s="57"/>
      <c r="E237" s="57"/>
      <c r="F237" s="57"/>
      <c r="G237" s="57"/>
      <c r="H237" s="57"/>
    </row>
    <row r="238" spans="4:8" x14ac:dyDescent="0.2">
      <c r="D238" s="57"/>
      <c r="E238" s="57"/>
      <c r="F238" s="57"/>
      <c r="G238" s="57"/>
      <c r="H238" s="57"/>
    </row>
    <row r="239" spans="4:8" x14ac:dyDescent="0.2">
      <c r="D239" s="57"/>
      <c r="E239" s="57"/>
      <c r="F239" s="57"/>
      <c r="G239" s="57"/>
      <c r="H239" s="57"/>
    </row>
    <row r="240" spans="4:8" x14ac:dyDescent="0.2">
      <c r="D240" s="57"/>
      <c r="E240" s="57"/>
      <c r="F240" s="57"/>
      <c r="G240" s="57"/>
      <c r="H240" s="57"/>
    </row>
    <row r="241" spans="4:8" x14ac:dyDescent="0.2">
      <c r="D241" s="57"/>
      <c r="E241" s="57"/>
      <c r="F241" s="57"/>
      <c r="G241" s="57"/>
      <c r="H241" s="57"/>
    </row>
    <row r="242" spans="4:8" x14ac:dyDescent="0.2">
      <c r="D242" s="57"/>
      <c r="E242" s="57"/>
      <c r="F242" s="57"/>
      <c r="G242" s="57"/>
      <c r="H242" s="57"/>
    </row>
    <row r="243" spans="4:8" x14ac:dyDescent="0.2">
      <c r="D243" s="57"/>
      <c r="E243" s="57"/>
      <c r="F243" s="57"/>
      <c r="G243" s="57"/>
      <c r="H243" s="57"/>
    </row>
    <row r="244" spans="4:8" x14ac:dyDescent="0.2">
      <c r="D244" s="57"/>
      <c r="E244" s="57"/>
      <c r="F244" s="57"/>
      <c r="G244" s="57"/>
      <c r="H244" s="57"/>
    </row>
    <row r="245" spans="4:8" x14ac:dyDescent="0.2">
      <c r="D245" s="57"/>
      <c r="E245" s="57"/>
      <c r="F245" s="57"/>
      <c r="G245" s="57"/>
      <c r="H245" s="57"/>
    </row>
    <row r="246" spans="4:8" x14ac:dyDescent="0.2">
      <c r="D246" s="57"/>
      <c r="E246" s="57"/>
      <c r="F246" s="57"/>
      <c r="G246" s="57"/>
      <c r="H246" s="57"/>
    </row>
    <row r="247" spans="4:8" x14ac:dyDescent="0.2">
      <c r="D247" s="57"/>
      <c r="E247" s="57"/>
      <c r="F247" s="57"/>
      <c r="G247" s="57"/>
      <c r="H247" s="57"/>
    </row>
    <row r="248" spans="4:8" x14ac:dyDescent="0.2">
      <c r="D248" s="57"/>
      <c r="E248" s="57"/>
      <c r="F248" s="57"/>
      <c r="G248" s="57"/>
      <c r="H248" s="57"/>
    </row>
    <row r="249" spans="4:8" x14ac:dyDescent="0.2">
      <c r="D249" s="57"/>
      <c r="E249" s="57"/>
      <c r="F249" s="57"/>
      <c r="G249" s="57"/>
      <c r="H249" s="57"/>
    </row>
    <row r="250" spans="4:8" x14ac:dyDescent="0.2">
      <c r="D250" s="57"/>
      <c r="E250" s="57"/>
      <c r="F250" s="57"/>
      <c r="G250" s="57"/>
      <c r="H250" s="57"/>
    </row>
    <row r="251" spans="4:8" x14ac:dyDescent="0.2">
      <c r="D251" s="57"/>
      <c r="E251" s="57"/>
      <c r="F251" s="57"/>
      <c r="G251" s="57"/>
      <c r="H251" s="57"/>
    </row>
    <row r="252" spans="4:8" x14ac:dyDescent="0.2">
      <c r="D252" s="57"/>
      <c r="E252" s="57"/>
      <c r="F252" s="57"/>
      <c r="G252" s="57"/>
      <c r="H252" s="57"/>
    </row>
  </sheetData>
  <mergeCells count="147">
    <mergeCell ref="B12:D12"/>
    <mergeCell ref="B15:I15"/>
    <mergeCell ref="B1:K1"/>
    <mergeCell ref="B2:K2"/>
    <mergeCell ref="B3:K3"/>
    <mergeCell ref="B4:K4"/>
    <mergeCell ref="B9:D9"/>
    <mergeCell ref="B10:D10"/>
    <mergeCell ref="B6:D6"/>
    <mergeCell ref="B13:D13"/>
    <mergeCell ref="H16:I16"/>
    <mergeCell ref="B17:B18"/>
    <mergeCell ref="D17:H17"/>
    <mergeCell ref="I17:I18"/>
    <mergeCell ref="D18:F18"/>
    <mergeCell ref="D19:F19"/>
    <mergeCell ref="D20:F20"/>
    <mergeCell ref="D21:F21"/>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D38:F38"/>
    <mergeCell ref="D39:F39"/>
    <mergeCell ref="D40:F40"/>
    <mergeCell ref="D41:F41"/>
    <mergeCell ref="D42:F42"/>
    <mergeCell ref="D43:F43"/>
    <mergeCell ref="D44:F44"/>
    <mergeCell ref="D45:F45"/>
    <mergeCell ref="D46:F46"/>
    <mergeCell ref="D47:F47"/>
    <mergeCell ref="D48:F48"/>
    <mergeCell ref="D49:F49"/>
    <mergeCell ref="D50:F50"/>
    <mergeCell ref="D51:F51"/>
    <mergeCell ref="D52:F52"/>
    <mergeCell ref="D53:F53"/>
    <mergeCell ref="D54:F54"/>
    <mergeCell ref="D55:F55"/>
    <mergeCell ref="D56:F56"/>
    <mergeCell ref="D57:F57"/>
    <mergeCell ref="D58:F58"/>
    <mergeCell ref="D59:F59"/>
    <mergeCell ref="D60:F60"/>
    <mergeCell ref="B62:I62"/>
    <mergeCell ref="B64:I64"/>
    <mergeCell ref="B65:I65"/>
    <mergeCell ref="B66:I66"/>
    <mergeCell ref="B70:B71"/>
    <mergeCell ref="D70:H71"/>
    <mergeCell ref="I70:I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D88:H88"/>
    <mergeCell ref="D89:H89"/>
    <mergeCell ref="D90:H90"/>
    <mergeCell ref="D91:H91"/>
    <mergeCell ref="D92:H92"/>
    <mergeCell ref="D93:H93"/>
    <mergeCell ref="D94:H94"/>
    <mergeCell ref="D95:H95"/>
    <mergeCell ref="D96:H96"/>
    <mergeCell ref="D97:H97"/>
    <mergeCell ref="D98:H98"/>
    <mergeCell ref="D99:H99"/>
    <mergeCell ref="D100:H100"/>
    <mergeCell ref="D101:H101"/>
    <mergeCell ref="D102:H102"/>
    <mergeCell ref="D103:H103"/>
    <mergeCell ref="B104:H104"/>
    <mergeCell ref="B109:B110"/>
    <mergeCell ref="D109:H110"/>
    <mergeCell ref="I109:I110"/>
    <mergeCell ref="D111:H111"/>
    <mergeCell ref="D112:H112"/>
    <mergeCell ref="D113:H113"/>
    <mergeCell ref="D114:H114"/>
    <mergeCell ref="D115:H115"/>
    <mergeCell ref="D116:H116"/>
    <mergeCell ref="D117:H117"/>
    <mergeCell ref="D118:H118"/>
    <mergeCell ref="D119:H119"/>
    <mergeCell ref="D120:H120"/>
    <mergeCell ref="D121:H121"/>
    <mergeCell ref="D122:H122"/>
    <mergeCell ref="D123:H123"/>
    <mergeCell ref="D124:H124"/>
    <mergeCell ref="D125:H125"/>
    <mergeCell ref="D126:H126"/>
    <mergeCell ref="D127:H127"/>
    <mergeCell ref="D128:H128"/>
    <mergeCell ref="D129:H129"/>
    <mergeCell ref="D130:H130"/>
    <mergeCell ref="D131:H131"/>
    <mergeCell ref="D132:H132"/>
    <mergeCell ref="D133:H133"/>
    <mergeCell ref="D134:H134"/>
    <mergeCell ref="D135:H135"/>
    <mergeCell ref="D136:H136"/>
    <mergeCell ref="D137:H137"/>
    <mergeCell ref="D138:H138"/>
    <mergeCell ref="D139:H139"/>
    <mergeCell ref="B140:H140"/>
    <mergeCell ref="B142:I142"/>
    <mergeCell ref="B144:B145"/>
    <mergeCell ref="D144:H145"/>
    <mergeCell ref="I144:I145"/>
    <mergeCell ref="D146:H146"/>
    <mergeCell ref="D147:H147"/>
    <mergeCell ref="B174:G174"/>
    <mergeCell ref="B191:K192"/>
    <mergeCell ref="D148:H148"/>
    <mergeCell ref="D149:H149"/>
    <mergeCell ref="D150:H150"/>
    <mergeCell ref="D151:H151"/>
    <mergeCell ref="D152:H152"/>
    <mergeCell ref="B153:H153"/>
    <mergeCell ref="B164:I164"/>
    <mergeCell ref="A190:I190"/>
    <mergeCell ref="B181:D181"/>
    <mergeCell ref="B175:I176"/>
  </mergeCells>
  <pageMargins left="0.70866141732283505" right="0.78740157480314998" top="1.14173228346457" bottom="0" header="0.31496062992126" footer="0.31496062992126"/>
  <pageSetup paperSize="9" scale="77" fitToWidth="0" fitToHeight="0"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2060"/>
  </sheetPr>
  <dimension ref="B1:BF209"/>
  <sheetViews>
    <sheetView rightToLeft="1" view="pageBreakPreview" zoomScale="14" zoomScaleNormal="24" zoomScaleSheetLayoutView="14" workbookViewId="0">
      <selection activeCell="A120" sqref="A1:XFD1048576"/>
    </sheetView>
  </sheetViews>
  <sheetFormatPr defaultColWidth="9.140625" defaultRowHeight="39" x14ac:dyDescent="0.2"/>
  <cols>
    <col min="1" max="1" width="3.28515625" style="2800" customWidth="1"/>
    <col min="2" max="2" width="9.28515625" style="2800" customWidth="1"/>
    <col min="3" max="3" width="28.7109375" style="2833" customWidth="1"/>
    <col min="4" max="4" width="75.28515625" style="2919" customWidth="1"/>
    <col min="5" max="5" width="29.28515625" style="2833" customWidth="1"/>
    <col min="6" max="6" width="21.85546875" style="2833" hidden="1" customWidth="1"/>
    <col min="7" max="7" width="14.42578125" style="2833" hidden="1" customWidth="1"/>
    <col min="8" max="8" width="22.85546875" style="2833" customWidth="1"/>
    <col min="9" max="9" width="25.5703125" style="2833" customWidth="1"/>
    <col min="10" max="10" width="26.28515625" style="2833" customWidth="1"/>
    <col min="11" max="11" width="24.42578125" style="2833" customWidth="1"/>
    <col min="12" max="12" width="22.140625" style="2833" customWidth="1"/>
    <col min="13" max="13" width="26.7109375" style="2833" customWidth="1"/>
    <col min="14" max="14" width="22.140625" style="2833" customWidth="1"/>
    <col min="15" max="18" width="22.140625" style="2833" hidden="1" customWidth="1"/>
    <col min="19" max="19" width="22.140625" style="2833" customWidth="1"/>
    <col min="20" max="20" width="20.140625" style="2833" hidden="1" customWidth="1"/>
    <col min="21" max="21" width="21.5703125" style="2833" customWidth="1"/>
    <col min="22" max="22" width="22.85546875" style="2833" customWidth="1"/>
    <col min="23" max="23" width="23.5703125" style="2833" customWidth="1"/>
    <col min="24" max="24" width="0.28515625" style="2833" customWidth="1"/>
    <col min="25" max="25" width="22.28515625" style="2833" customWidth="1"/>
    <col min="26" max="26" width="0.28515625" style="2833" hidden="1" customWidth="1"/>
    <col min="27" max="28" width="23.7109375" style="2833" customWidth="1"/>
    <col min="29" max="29" width="27.5703125" style="2833" customWidth="1"/>
    <col min="30" max="33" width="27.5703125" style="2833" hidden="1" customWidth="1"/>
    <col min="34" max="34" width="27.5703125" style="2833" customWidth="1"/>
    <col min="35" max="35" width="28.28515625" style="2833" customWidth="1"/>
    <col min="36" max="36" width="16.140625" style="2833" customWidth="1"/>
    <col min="37" max="37" width="18.7109375" style="2833" customWidth="1"/>
    <col min="38" max="38" width="0.5703125" style="2833" hidden="1" customWidth="1"/>
    <col min="39" max="39" width="19" style="2833" customWidth="1"/>
    <col min="40" max="40" width="22.140625" style="2833" customWidth="1"/>
    <col min="41" max="41" width="8" style="2833" customWidth="1"/>
    <col min="42" max="54" width="22.140625" style="2833" customWidth="1"/>
    <col min="55" max="55" width="16.28515625" style="2800" customWidth="1"/>
    <col min="56" max="56" width="19.85546875" style="2800" customWidth="1"/>
    <col min="57" max="57" width="24.28515625" style="2800" customWidth="1"/>
    <col min="58" max="58" width="28.42578125" style="2800" customWidth="1"/>
    <col min="59" max="59" width="22.85546875" style="2800" customWidth="1"/>
    <col min="60" max="61" width="9.28515625" style="2800" bestFit="1" customWidth="1"/>
    <col min="62" max="62" width="13" style="2800" bestFit="1" customWidth="1"/>
    <col min="63" max="63" width="14.7109375" style="2800" bestFit="1" customWidth="1"/>
    <col min="64" max="67" width="9.28515625" style="2800" bestFit="1" customWidth="1"/>
    <col min="68" max="68" width="13" style="2800" bestFit="1" customWidth="1"/>
    <col min="69" max="70" width="9.28515625" style="2800" bestFit="1" customWidth="1"/>
    <col min="71" max="71" width="10.85546875" style="2800" bestFit="1" customWidth="1"/>
    <col min="72" max="72" width="13" style="2800" bestFit="1" customWidth="1"/>
    <col min="73" max="73" width="14.7109375" style="2800" bestFit="1" customWidth="1"/>
    <col min="74" max="80" width="9.28515625" style="2800" bestFit="1" customWidth="1"/>
    <col min="81" max="16384" width="9.140625" style="2800"/>
  </cols>
  <sheetData>
    <row r="1" spans="2:58" ht="51.6" customHeight="1" x14ac:dyDescent="0.2">
      <c r="B1" s="4219" t="s">
        <v>24</v>
      </c>
      <c r="C1" s="4219"/>
      <c r="D1" s="4219"/>
      <c r="E1" s="4219"/>
      <c r="F1" s="4219"/>
      <c r="G1" s="4219"/>
      <c r="H1" s="4219"/>
      <c r="I1" s="4219"/>
      <c r="J1" s="4219"/>
      <c r="K1" s="4219"/>
      <c r="L1" s="4219"/>
      <c r="M1" s="4219"/>
      <c r="N1" s="4219"/>
      <c r="O1" s="4219"/>
      <c r="P1" s="4219"/>
      <c r="Q1" s="4219"/>
      <c r="R1" s="4219"/>
      <c r="S1" s="4219"/>
      <c r="T1" s="4219"/>
      <c r="U1" s="4219"/>
      <c r="V1" s="4219"/>
      <c r="W1" s="4219"/>
      <c r="X1" s="4219"/>
      <c r="Y1" s="4219"/>
      <c r="Z1" s="4219"/>
      <c r="AA1" s="4219"/>
      <c r="AB1" s="4219"/>
      <c r="AC1" s="4219"/>
      <c r="AD1" s="4219"/>
      <c r="AE1" s="4219"/>
      <c r="AF1" s="4219"/>
      <c r="AG1" s="4219"/>
      <c r="AH1" s="4219"/>
      <c r="AI1" s="4219"/>
      <c r="AJ1" s="4219"/>
      <c r="AK1" s="4219"/>
      <c r="AL1" s="4219"/>
      <c r="AM1" s="4219"/>
      <c r="AN1" s="4219"/>
      <c r="AO1" s="2950"/>
      <c r="AP1" s="2950"/>
      <c r="AQ1" s="2950"/>
      <c r="AR1" s="2950"/>
      <c r="AS1" s="2950"/>
      <c r="AT1" s="2950"/>
      <c r="AU1" s="2950"/>
      <c r="AV1" s="2950"/>
      <c r="AW1" s="2950"/>
      <c r="AX1" s="2950"/>
      <c r="AY1" s="2950"/>
      <c r="AZ1" s="2950"/>
      <c r="BA1" s="2950"/>
      <c r="BB1" s="2950"/>
    </row>
    <row r="2" spans="2:58" ht="51.6" customHeight="1" x14ac:dyDescent="0.2">
      <c r="B2" s="4219" t="s">
        <v>51</v>
      </c>
      <c r="C2" s="4219"/>
      <c r="D2" s="4219"/>
      <c r="E2" s="4219"/>
      <c r="F2" s="4219"/>
      <c r="G2" s="4219"/>
      <c r="H2" s="4219"/>
      <c r="I2" s="4219"/>
      <c r="J2" s="4219"/>
      <c r="K2" s="4219"/>
      <c r="L2" s="4219"/>
      <c r="M2" s="4219"/>
      <c r="N2" s="4219"/>
      <c r="O2" s="4219"/>
      <c r="P2" s="4219"/>
      <c r="Q2" s="4219"/>
      <c r="R2" s="4219"/>
      <c r="S2" s="4219"/>
      <c r="T2" s="4219"/>
      <c r="U2" s="4219"/>
      <c r="V2" s="4219"/>
      <c r="W2" s="4219"/>
      <c r="X2" s="4219"/>
      <c r="Y2" s="4219"/>
      <c r="Z2" s="4219"/>
      <c r="AA2" s="4219"/>
      <c r="AB2" s="4219"/>
      <c r="AC2" s="4219"/>
      <c r="AD2" s="4219"/>
      <c r="AE2" s="4219"/>
      <c r="AF2" s="4219"/>
      <c r="AG2" s="4219"/>
      <c r="AH2" s="4219"/>
      <c r="AI2" s="4219"/>
      <c r="AJ2" s="4219"/>
      <c r="AK2" s="4219"/>
      <c r="AL2" s="4219"/>
      <c r="AM2" s="4219"/>
      <c r="AN2" s="4219"/>
      <c r="AO2" s="2950"/>
      <c r="AP2" s="2950"/>
      <c r="AQ2" s="2950"/>
      <c r="AR2" s="2950"/>
      <c r="AS2" s="2950"/>
      <c r="AT2" s="2950"/>
      <c r="AU2" s="2950"/>
      <c r="AV2" s="2950"/>
      <c r="AW2" s="2950"/>
      <c r="AX2" s="2950"/>
      <c r="AY2" s="2950"/>
      <c r="AZ2" s="2950"/>
      <c r="BA2" s="2950"/>
      <c r="BB2" s="2950"/>
    </row>
    <row r="3" spans="2:58" ht="51.6" customHeight="1" x14ac:dyDescent="0.2">
      <c r="B3" s="4219" t="s">
        <v>337</v>
      </c>
      <c r="C3" s="4219"/>
      <c r="D3" s="4219"/>
      <c r="E3" s="4219"/>
      <c r="F3" s="4219"/>
      <c r="G3" s="4219"/>
      <c r="H3" s="4219"/>
      <c r="I3" s="4219"/>
      <c r="J3" s="4219"/>
      <c r="K3" s="4219"/>
      <c r="L3" s="4219"/>
      <c r="M3" s="4219"/>
      <c r="N3" s="4219"/>
      <c r="O3" s="4219"/>
      <c r="P3" s="4219"/>
      <c r="Q3" s="4219"/>
      <c r="R3" s="4219"/>
      <c r="S3" s="4219"/>
      <c r="T3" s="4219"/>
      <c r="U3" s="4219"/>
      <c r="V3" s="4219"/>
      <c r="W3" s="4219"/>
      <c r="X3" s="4219"/>
      <c r="Y3" s="4219"/>
      <c r="Z3" s="4219"/>
      <c r="AA3" s="4219"/>
      <c r="AB3" s="4219"/>
      <c r="AC3" s="4219"/>
      <c r="AD3" s="4219"/>
      <c r="AE3" s="4219"/>
      <c r="AF3" s="4219"/>
      <c r="AG3" s="4219"/>
      <c r="AH3" s="4219"/>
      <c r="AI3" s="4219"/>
      <c r="AJ3" s="4219"/>
      <c r="AK3" s="4219"/>
      <c r="AL3" s="4219"/>
      <c r="AM3" s="4219"/>
      <c r="AN3" s="4219"/>
      <c r="AO3" s="2950"/>
      <c r="AP3" s="2950"/>
      <c r="AQ3" s="2950"/>
      <c r="AR3" s="2950"/>
      <c r="AS3" s="2950"/>
      <c r="AT3" s="2950"/>
      <c r="AU3" s="2950"/>
      <c r="AV3" s="2950"/>
      <c r="AW3" s="2950"/>
      <c r="AX3" s="2950"/>
      <c r="AY3" s="2950"/>
      <c r="AZ3" s="2950"/>
      <c r="BA3" s="2950"/>
      <c r="BB3" s="2950"/>
    </row>
    <row r="4" spans="2:58" ht="51.6" customHeight="1" x14ac:dyDescent="0.2">
      <c r="B4" s="4219" t="s">
        <v>1998</v>
      </c>
      <c r="C4" s="4219"/>
      <c r="D4" s="4219"/>
      <c r="E4" s="4219"/>
      <c r="F4" s="4219"/>
      <c r="G4" s="4219"/>
      <c r="H4" s="4219"/>
      <c r="I4" s="4219"/>
      <c r="J4" s="4219"/>
      <c r="K4" s="4219"/>
      <c r="L4" s="4219"/>
      <c r="M4" s="4219"/>
      <c r="N4" s="4219"/>
      <c r="O4" s="4219"/>
      <c r="P4" s="4219"/>
      <c r="Q4" s="4219"/>
      <c r="R4" s="4219"/>
      <c r="S4" s="4219"/>
      <c r="T4" s="4219"/>
      <c r="U4" s="4219"/>
      <c r="V4" s="4219"/>
      <c r="W4" s="4219"/>
      <c r="X4" s="4219"/>
      <c r="Y4" s="4219"/>
      <c r="Z4" s="4219"/>
      <c r="AA4" s="4219"/>
      <c r="AB4" s="4219"/>
      <c r="AC4" s="4219"/>
      <c r="AD4" s="4219"/>
      <c r="AE4" s="4219"/>
      <c r="AF4" s="4219"/>
      <c r="AG4" s="4219"/>
      <c r="AH4" s="4219"/>
      <c r="AI4" s="4219"/>
      <c r="AJ4" s="4219"/>
      <c r="AK4" s="4219"/>
      <c r="AL4" s="4219"/>
      <c r="AM4" s="4219"/>
      <c r="AN4" s="4219"/>
      <c r="AO4" s="2950"/>
      <c r="AP4" s="2950"/>
      <c r="AQ4" s="2950"/>
      <c r="AR4" s="2950"/>
      <c r="AS4" s="2950"/>
      <c r="AT4" s="2950"/>
      <c r="AU4" s="2950"/>
      <c r="AV4" s="2950"/>
      <c r="AW4" s="2950"/>
      <c r="AX4" s="2950"/>
      <c r="AY4" s="2950"/>
      <c r="AZ4" s="2950"/>
      <c r="BA4" s="2950"/>
      <c r="BB4" s="2950"/>
    </row>
    <row r="5" spans="2:58" ht="80.45" customHeight="1" x14ac:dyDescent="0.2">
      <c r="B5" s="2950"/>
      <c r="C5" s="2950"/>
      <c r="D5" s="2950"/>
      <c r="E5" s="2950"/>
      <c r="F5" s="2950"/>
      <c r="G5" s="2950"/>
      <c r="H5" s="2950"/>
      <c r="I5" s="2950"/>
      <c r="J5" s="2950"/>
      <c r="K5" s="2950"/>
      <c r="L5" s="2950"/>
      <c r="M5" s="2950"/>
      <c r="N5" s="2950"/>
      <c r="O5" s="2950"/>
      <c r="P5" s="2950"/>
      <c r="Q5" s="2950"/>
      <c r="R5" s="2950"/>
      <c r="S5" s="2950"/>
      <c r="T5" s="2950"/>
      <c r="U5" s="2950"/>
      <c r="V5" s="2950"/>
      <c r="W5" s="2950"/>
      <c r="X5" s="2950"/>
      <c r="Y5" s="2950"/>
      <c r="Z5" s="2950"/>
      <c r="AA5" s="2950"/>
      <c r="AB5" s="2950"/>
      <c r="AC5" s="2950"/>
      <c r="AD5" s="2950"/>
      <c r="AE5" s="2950"/>
      <c r="AF5" s="2950"/>
      <c r="AG5" s="2950"/>
      <c r="AH5" s="2950"/>
      <c r="AI5" s="2950"/>
      <c r="AJ5" s="2950"/>
      <c r="AK5" s="2950"/>
      <c r="AL5" s="2950"/>
      <c r="AM5" s="2950"/>
      <c r="AN5" s="2950"/>
      <c r="AO5" s="2950"/>
      <c r="AP5" s="2950"/>
      <c r="AQ5" s="2950"/>
      <c r="AR5" s="2950"/>
      <c r="AS5" s="2950"/>
      <c r="AT5" s="2950"/>
      <c r="AU5" s="2950"/>
      <c r="AV5" s="2950"/>
      <c r="AW5" s="2950"/>
      <c r="AX5" s="2950"/>
      <c r="AY5" s="2950"/>
      <c r="AZ5" s="2950"/>
      <c r="BA5" s="2950"/>
      <c r="BB5" s="2950"/>
    </row>
    <row r="6" spans="2:58" ht="51.6" customHeight="1" x14ac:dyDescent="0.2">
      <c r="B6" s="4251" t="s">
        <v>1909</v>
      </c>
      <c r="C6" s="4251"/>
      <c r="D6" s="4251"/>
      <c r="E6" s="4251"/>
      <c r="F6" s="4251"/>
      <c r="G6" s="4251"/>
      <c r="H6" s="4251"/>
      <c r="I6" s="4251"/>
      <c r="J6" s="4251"/>
      <c r="K6" s="4251"/>
      <c r="L6" s="4251"/>
      <c r="M6" s="4251"/>
      <c r="N6" s="4251"/>
      <c r="O6" s="4251"/>
      <c r="P6" s="4251"/>
      <c r="Q6" s="4251"/>
      <c r="R6" s="2801"/>
      <c r="S6" s="2801"/>
      <c r="T6" s="2801"/>
      <c r="U6" s="2801"/>
      <c r="V6" s="2801"/>
      <c r="W6" s="2801"/>
      <c r="X6" s="2801"/>
      <c r="Y6" s="2801"/>
      <c r="Z6" s="2801"/>
      <c r="AA6" s="2801"/>
      <c r="AB6" s="2801"/>
      <c r="AC6" s="2801"/>
      <c r="AD6" s="2801"/>
      <c r="AE6" s="2801"/>
      <c r="AF6" s="2801"/>
      <c r="AG6" s="2801"/>
      <c r="AH6" s="2801"/>
      <c r="AI6" s="2801"/>
      <c r="AJ6" s="2801"/>
      <c r="AK6" s="2801"/>
      <c r="AL6" s="2801"/>
      <c r="AM6" s="2801"/>
      <c r="AN6" s="2801"/>
      <c r="AO6" s="2801"/>
      <c r="AP6" s="2801"/>
      <c r="AQ6" s="2801"/>
      <c r="AR6" s="2801"/>
      <c r="AS6" s="2801"/>
      <c r="AT6" s="2801"/>
      <c r="AU6" s="2801"/>
      <c r="AV6" s="2801"/>
      <c r="AW6" s="2801"/>
      <c r="AX6" s="2801"/>
      <c r="AY6" s="2801"/>
      <c r="AZ6" s="2801"/>
      <c r="BA6" s="2801"/>
      <c r="BB6" s="2801"/>
      <c r="BE6" s="2800">
        <f>U11+AE11+AI11</f>
        <v>1945261000000</v>
      </c>
    </row>
    <row r="7" spans="2:58" ht="40.5" x14ac:dyDescent="0.2">
      <c r="B7" s="4216" t="s">
        <v>1849</v>
      </c>
      <c r="C7" s="4216"/>
      <c r="D7" s="4216"/>
      <c r="E7" s="4216"/>
      <c r="F7" s="4216"/>
      <c r="G7" s="4216"/>
      <c r="H7" s="4216"/>
      <c r="I7" s="4216"/>
      <c r="J7" s="4216"/>
      <c r="K7" s="4216"/>
      <c r="L7" s="4216"/>
      <c r="M7" s="4216"/>
      <c r="N7" s="4216"/>
      <c r="O7" s="4216"/>
      <c r="P7" s="4216"/>
      <c r="Q7" s="4216"/>
      <c r="R7" s="4216"/>
      <c r="S7" s="4216"/>
      <c r="T7" s="4216"/>
      <c r="U7" s="4216"/>
      <c r="V7" s="4216"/>
      <c r="W7" s="4216"/>
      <c r="X7" s="4216"/>
      <c r="Y7" s="4216"/>
      <c r="Z7" s="4216"/>
      <c r="AA7" s="4216"/>
      <c r="AB7" s="4216"/>
      <c r="AC7" s="4216"/>
      <c r="AD7" s="4216"/>
      <c r="AE7" s="4216"/>
      <c r="AF7" s="4216"/>
      <c r="AG7" s="4216"/>
      <c r="AH7" s="4216"/>
      <c r="AI7" s="4216"/>
      <c r="AJ7" s="4216"/>
      <c r="AK7" s="2802"/>
      <c r="AL7" s="2802"/>
      <c r="AM7" s="2802"/>
      <c r="AN7" s="2802"/>
      <c r="AO7" s="2802"/>
      <c r="AP7" s="2802"/>
      <c r="AQ7" s="2802"/>
      <c r="AR7" s="2802"/>
      <c r="AS7" s="2802"/>
      <c r="AT7" s="2802"/>
      <c r="AU7" s="2802"/>
      <c r="AV7" s="2802"/>
      <c r="AW7" s="2802"/>
      <c r="AX7" s="2802"/>
      <c r="AY7" s="2802"/>
      <c r="AZ7" s="2802"/>
      <c r="BA7" s="2802"/>
      <c r="BB7" s="2802"/>
    </row>
    <row r="8" spans="2:58" x14ac:dyDescent="0.2">
      <c r="C8" s="2803"/>
      <c r="D8" s="2804"/>
      <c r="E8" s="2803"/>
      <c r="F8" s="2803"/>
      <c r="G8" s="2803"/>
      <c r="H8" s="2803"/>
      <c r="I8" s="2803"/>
      <c r="J8" s="2803"/>
      <c r="K8" s="2803"/>
      <c r="L8" s="2803"/>
      <c r="M8" s="2803"/>
      <c r="N8" s="2803"/>
      <c r="O8" s="2803"/>
      <c r="P8" s="2803"/>
      <c r="Q8" s="2803"/>
      <c r="R8" s="2803"/>
      <c r="S8" s="2803"/>
      <c r="T8" s="2803"/>
      <c r="U8" s="2803"/>
      <c r="V8" s="2803"/>
      <c r="W8" s="2803"/>
      <c r="X8" s="2803"/>
      <c r="Y8" s="2803"/>
      <c r="Z8" s="2803"/>
      <c r="AA8" s="2803"/>
      <c r="AB8" s="2803"/>
      <c r="AC8" s="2803"/>
      <c r="AD8" s="2803"/>
      <c r="AE8" s="2803"/>
      <c r="AF8" s="2803"/>
      <c r="AG8" s="2803"/>
      <c r="AH8" s="2803"/>
      <c r="AI8" s="2803"/>
      <c r="AJ8" s="2803"/>
      <c r="AK8" s="2803"/>
      <c r="AL8" s="2803"/>
      <c r="AM8" s="4250" t="s">
        <v>523</v>
      </c>
      <c r="AN8" s="4250"/>
      <c r="AO8" s="2952"/>
      <c r="AP8" s="2952"/>
      <c r="AQ8" s="2952"/>
      <c r="AR8" s="2952"/>
      <c r="AS8" s="2952"/>
      <c r="AT8" s="2952"/>
      <c r="AU8" s="2952"/>
      <c r="AV8" s="2952"/>
      <c r="AW8" s="2952"/>
      <c r="AX8" s="2952"/>
      <c r="AY8" s="2952"/>
      <c r="AZ8" s="2952"/>
      <c r="BA8" s="2952"/>
      <c r="BB8" s="2952"/>
    </row>
    <row r="9" spans="2:58" ht="117.6" customHeight="1" x14ac:dyDescent="0.2">
      <c r="B9" s="4222" t="s">
        <v>419</v>
      </c>
      <c r="C9" s="4233" t="s">
        <v>196</v>
      </c>
      <c r="D9" s="4234" t="s">
        <v>197</v>
      </c>
      <c r="E9" s="4223" t="s">
        <v>2017</v>
      </c>
      <c r="F9" s="4223"/>
      <c r="G9" s="4223"/>
      <c r="H9" s="4235"/>
      <c r="I9" s="4233" t="s">
        <v>505</v>
      </c>
      <c r="J9" s="4233"/>
      <c r="K9" s="4233"/>
      <c r="L9" s="4233"/>
      <c r="M9" s="4233"/>
      <c r="N9" s="4233"/>
      <c r="O9" s="4233"/>
      <c r="P9" s="4233"/>
      <c r="Q9" s="4233"/>
      <c r="R9" s="4233"/>
      <c r="S9" s="4233"/>
      <c r="T9" s="4233"/>
      <c r="U9" s="4233"/>
      <c r="V9" s="4233" t="s">
        <v>900</v>
      </c>
      <c r="W9" s="4233"/>
      <c r="X9" s="4233"/>
      <c r="Y9" s="4233"/>
      <c r="Z9" s="4233"/>
      <c r="AA9" s="4233"/>
      <c r="AB9" s="4233"/>
      <c r="AC9" s="4233"/>
      <c r="AD9" s="4233"/>
      <c r="AE9" s="4233"/>
      <c r="AF9" s="2805"/>
      <c r="AG9" s="4223" t="s">
        <v>526</v>
      </c>
      <c r="AH9" s="4223" t="s">
        <v>518</v>
      </c>
      <c r="AI9" s="4223" t="s">
        <v>2021</v>
      </c>
      <c r="AJ9" s="4223" t="s">
        <v>527</v>
      </c>
      <c r="AK9" s="4223" t="s">
        <v>506</v>
      </c>
      <c r="AL9" s="2806"/>
      <c r="AM9" s="4223" t="s">
        <v>507</v>
      </c>
      <c r="AN9" s="4223"/>
      <c r="AO9" s="2807"/>
      <c r="AP9" s="2807"/>
      <c r="AQ9" s="2807"/>
      <c r="AR9" s="2807"/>
      <c r="AS9" s="2807"/>
      <c r="AT9" s="2807"/>
      <c r="AU9" s="2807"/>
      <c r="AV9" s="2807"/>
      <c r="AW9" s="2807"/>
      <c r="AX9" s="2807"/>
      <c r="AY9" s="2807"/>
      <c r="AZ9" s="2807"/>
      <c r="BA9" s="2807"/>
      <c r="BB9" s="2807"/>
    </row>
    <row r="10" spans="2:58" ht="291" customHeight="1" x14ac:dyDescent="0.2">
      <c r="B10" s="4222"/>
      <c r="C10" s="4233"/>
      <c r="D10" s="4234"/>
      <c r="E10" s="2951" t="s">
        <v>1915</v>
      </c>
      <c r="F10" s="2951" t="s">
        <v>508</v>
      </c>
      <c r="G10" s="2951" t="s">
        <v>1919</v>
      </c>
      <c r="H10" s="2951" t="s">
        <v>510</v>
      </c>
      <c r="I10" s="1438" t="s">
        <v>511</v>
      </c>
      <c r="J10" s="1438" t="s">
        <v>314</v>
      </c>
      <c r="K10" s="1438" t="s">
        <v>920</v>
      </c>
      <c r="L10" s="1438" t="s">
        <v>512</v>
      </c>
      <c r="M10" s="2808" t="s">
        <v>975</v>
      </c>
      <c r="N10" s="1438" t="s">
        <v>1104</v>
      </c>
      <c r="O10" s="2808" t="s">
        <v>975</v>
      </c>
      <c r="P10" s="2808" t="s">
        <v>2228</v>
      </c>
      <c r="Q10" s="2808" t="s">
        <v>974</v>
      </c>
      <c r="R10" s="1438" t="s">
        <v>533</v>
      </c>
      <c r="S10" s="1438" t="s">
        <v>1180</v>
      </c>
      <c r="T10" s="2808" t="s">
        <v>1339</v>
      </c>
      <c r="U10" s="1438" t="s">
        <v>27</v>
      </c>
      <c r="V10" s="1438" t="s">
        <v>2018</v>
      </c>
      <c r="W10" s="1438" t="s">
        <v>520</v>
      </c>
      <c r="X10" s="2951" t="s">
        <v>1960</v>
      </c>
      <c r="Y10" s="1438" t="s">
        <v>2019</v>
      </c>
      <c r="Z10" s="1438" t="s">
        <v>509</v>
      </c>
      <c r="AA10" s="1438" t="s">
        <v>2020</v>
      </c>
      <c r="AB10" s="2808" t="s">
        <v>936</v>
      </c>
      <c r="AC10" s="2808" t="s">
        <v>1070</v>
      </c>
      <c r="AD10" s="2808" t="s">
        <v>1339</v>
      </c>
      <c r="AE10" s="1438" t="s">
        <v>27</v>
      </c>
      <c r="AF10" s="2951" t="s">
        <v>534</v>
      </c>
      <c r="AG10" s="4223"/>
      <c r="AH10" s="4223"/>
      <c r="AI10" s="4236"/>
      <c r="AJ10" s="4223"/>
      <c r="AK10" s="4223"/>
      <c r="AL10" s="2806"/>
      <c r="AM10" s="2951" t="s">
        <v>513</v>
      </c>
      <c r="AN10" s="2951" t="s">
        <v>514</v>
      </c>
      <c r="AO10" s="2807"/>
      <c r="AP10" s="2807"/>
      <c r="AQ10" s="2807"/>
      <c r="AR10" s="2807"/>
      <c r="AS10" s="2807"/>
      <c r="AT10" s="2807"/>
      <c r="AU10" s="2807"/>
      <c r="AV10" s="2807"/>
      <c r="AW10" s="2807"/>
      <c r="AX10" s="2807"/>
      <c r="AY10" s="2807"/>
      <c r="AZ10" s="2807"/>
      <c r="BA10" s="2807"/>
      <c r="BB10" s="2807"/>
    </row>
    <row r="11" spans="2:58" ht="90.6" customHeight="1" x14ac:dyDescent="0.2">
      <c r="B11" s="4249" t="s">
        <v>180</v>
      </c>
      <c r="C11" s="2809">
        <v>1307002010</v>
      </c>
      <c r="D11" s="2810" t="s">
        <v>203</v>
      </c>
      <c r="E11" s="2811">
        <f>'يادداشت 15سایر درآمد ها و انتقا'!P22</f>
        <v>1945261000000</v>
      </c>
      <c r="F11" s="2811"/>
      <c r="G11" s="2811"/>
      <c r="H11" s="2811">
        <f>SUM(E11:G11)</f>
        <v>1945261000000</v>
      </c>
      <c r="I11" s="2811">
        <f>'یادداشت 7 دارایییی اصلاحی'!J19</f>
        <v>1165577567838</v>
      </c>
      <c r="J11" s="2811">
        <f>'يادداشت_-5موجودی_جنسی__(2)'!F15</f>
        <v>99281462520</v>
      </c>
      <c r="K11" s="2811">
        <f>'پيش پرداخت سرمايه اي يادداشت 6'!H12</f>
        <v>10100200222</v>
      </c>
      <c r="L11" s="2812">
        <f>'ياد 15  سايرهزينه '!I17</f>
        <v>5729000000</v>
      </c>
      <c r="M11" s="2813">
        <v>80163314675</v>
      </c>
      <c r="N11" s="2814">
        <f>Q11+R11</f>
        <v>1917728578075</v>
      </c>
      <c r="O11" s="2813"/>
      <c r="P11" s="2813"/>
      <c r="Q11" s="2815">
        <f>-'يادداشت 11 -سايربدهي_هاي_جاري'!I23</f>
        <v>128974890163</v>
      </c>
      <c r="R11" s="2816">
        <f>-'يادداشت 1-1-10 حسابهاي پرداخخخ '!L52</f>
        <v>1788753687912</v>
      </c>
      <c r="S11" s="2816">
        <f>-'يادداشت 15سایر درآمد ها و انتقا'!N22</f>
        <v>26945000000</v>
      </c>
      <c r="T11" s="2816"/>
      <c r="U11" s="2811">
        <f>N11+L11+K11+J11+I11+M11+S11</f>
        <v>3305525123330</v>
      </c>
      <c r="V11" s="2811">
        <f>'حفظ قدرت خرید'!L13</f>
        <v>-38578980000</v>
      </c>
      <c r="W11" s="2811" cm="1">
        <f t="array" ref="W11:X11">-'ي_3_موجودي_نقد '!J169:K169</f>
        <v>-171004520127</v>
      </c>
      <c r="X11" s="2811">
        <v>0</v>
      </c>
      <c r="Y11" s="2811" cm="1">
        <f t="array" ref="Y11:Z11">-'يادداشت 15سایر درآمد ها و انتقا'!H22:I22</f>
        <v>-6740000000</v>
      </c>
      <c r="Z11" s="2811">
        <v>0</v>
      </c>
      <c r="AA11" s="2811">
        <f>-'يادداشت 15سایر درآمد ها و انتقا'!K22</f>
        <v>-134128000000</v>
      </c>
      <c r="AB11" s="2811">
        <f>-83442894281</f>
        <v>-83442894281</v>
      </c>
      <c r="AC11" s="2811">
        <f>(H11-AI11)-AG11</f>
        <v>-1705238604440</v>
      </c>
      <c r="AD11" s="2811"/>
      <c r="AE11" s="2811">
        <f>SUM(V11:AD11)</f>
        <v>-2139132998848</v>
      </c>
      <c r="AF11" s="2811">
        <f>AA11+Y11+W11+V11+AB11+X11</f>
        <v>-433894394408</v>
      </c>
      <c r="AG11" s="2812">
        <f>U11+AF11</f>
        <v>2871630728922</v>
      </c>
      <c r="AH11" s="2811">
        <f>H11-AI11</f>
        <v>1166392124482</v>
      </c>
      <c r="AI11" s="2815">
        <f>'ي_3_موجودي_نقد '!I169</f>
        <v>778868875518</v>
      </c>
      <c r="AJ11" s="2816">
        <v>1318941000000</v>
      </c>
      <c r="AK11" s="2816">
        <v>1945261000000</v>
      </c>
      <c r="AL11" s="2817"/>
      <c r="AM11" s="2811"/>
      <c r="AN11" s="2811">
        <f>AK11-AH11</f>
        <v>778868875518</v>
      </c>
      <c r="AO11" s="2818"/>
      <c r="AP11" s="2818"/>
      <c r="AQ11" s="2818"/>
      <c r="AR11" s="2818"/>
      <c r="AS11" s="2818"/>
      <c r="AT11" s="2818"/>
      <c r="AU11" s="2818"/>
      <c r="AV11" s="2818"/>
      <c r="AW11" s="2818"/>
      <c r="AX11" s="2818"/>
      <c r="AY11" s="2818"/>
      <c r="AZ11" s="2818"/>
      <c r="BA11" s="2818">
        <f>AE11+U11</f>
        <v>1166392124482</v>
      </c>
      <c r="BB11" s="2818">
        <f>AH11-BA11</f>
        <v>0</v>
      </c>
      <c r="BD11" s="2800">
        <f t="shared" ref="BD11:BD23" si="0">U11+AE11+AI11</f>
        <v>1945261000000</v>
      </c>
      <c r="BE11" s="2800">
        <f t="shared" ref="BE11:BE23" si="1">E11-BD11</f>
        <v>0</v>
      </c>
      <c r="BF11" s="2800">
        <f>-AI11</f>
        <v>-778868875518</v>
      </c>
    </row>
    <row r="12" spans="2:58" ht="90.6" customHeight="1" x14ac:dyDescent="0.2">
      <c r="B12" s="4249"/>
      <c r="C12" s="2819">
        <v>1503002046</v>
      </c>
      <c r="D12" s="2810" t="s">
        <v>83</v>
      </c>
      <c r="E12" s="2811">
        <f>'يادداشت 15سایر درآمد ها و انتقا'!P17</f>
        <v>327800000000</v>
      </c>
      <c r="F12" s="2811">
        <f>'يادداشت 15سایر درآمد ها و انتقا'!S17</f>
        <v>0</v>
      </c>
      <c r="G12" s="2811"/>
      <c r="H12" s="2811">
        <f t="shared" ref="H12:H27" si="2">SUM(E12:G12)</f>
        <v>327800000000</v>
      </c>
      <c r="I12" s="2811">
        <f>'یادداشت 7 دارایییی اصلاحی'!J21</f>
        <v>904642224854</v>
      </c>
      <c r="J12" s="2811">
        <f>'يادداشت_-5موجودی_جنسی__(2)'!F16</f>
        <v>0</v>
      </c>
      <c r="K12" s="2811">
        <f>'پيش پرداخت سرمايه اي يادداشت 6'!H9</f>
        <v>54969107987</v>
      </c>
      <c r="L12" s="2812">
        <f>'ياد 15  سايرهزينه '!I14</f>
        <v>9287000000</v>
      </c>
      <c r="M12" s="2813"/>
      <c r="N12" s="2814">
        <f>Q12+R12+P12</f>
        <v>968093896082</v>
      </c>
      <c r="O12" s="2813"/>
      <c r="P12" s="2813">
        <f>-'يادداشت 11 -سايربدهي_هاي_جاري'!J20</f>
        <v>219789737</v>
      </c>
      <c r="Q12" s="2813">
        <f>-'يادداشت 11 -سايربدهي_هاي_جاري'!I20</f>
        <v>38064694391</v>
      </c>
      <c r="R12" s="2816">
        <f>-'يادداشت 1-1-10 حسابهاي پرداخخخ '!L49</f>
        <v>929809411954</v>
      </c>
      <c r="S12" s="2816">
        <f>-'يادداشت 15سایر درآمد ها و انتقا'!N17</f>
        <v>9621000000</v>
      </c>
      <c r="T12" s="2816"/>
      <c r="U12" s="2811">
        <f t="shared" ref="U12:U27" si="3">N12+L12+K12+J12+I12+M12+S12</f>
        <v>1946613228923</v>
      </c>
      <c r="V12" s="2811">
        <f>'حفظ قدرت خرید'!L10</f>
        <v>-34582000000</v>
      </c>
      <c r="W12" s="2811">
        <f>-17719750652</f>
        <v>-17719750652</v>
      </c>
      <c r="X12" s="2811"/>
      <c r="Y12" s="2811" cm="1">
        <f t="array" ref="Y12:Z12">-'يادداشت 15سایر درآمد ها و انتقا'!H17:I17</f>
        <v>0</v>
      </c>
      <c r="Z12" s="2811">
        <v>0</v>
      </c>
      <c r="AA12" s="2811">
        <f>-'يادداشت 15سایر درآمد ها و انتقا'!K17</f>
        <v>-48000000000</v>
      </c>
      <c r="AB12" s="2811">
        <f>-24428458884</f>
        <v>-24428458884</v>
      </c>
      <c r="AC12" s="2811">
        <f t="shared" ref="AC12:AC27" si="4">(H12-AI12)-AG12</f>
        <v>-1494083019387</v>
      </c>
      <c r="AD12" s="2811"/>
      <c r="AE12" s="2811">
        <f t="shared" ref="AE12:AE26" si="5">SUM(V12:AD12)</f>
        <v>-1618813228923</v>
      </c>
      <c r="AF12" s="2811">
        <f t="shared" ref="AF12:AF26" si="6">AA12+Y12+W12+V12+AB12+X12</f>
        <v>-124730209536</v>
      </c>
      <c r="AG12" s="2812">
        <f t="shared" ref="AG12:AG27" si="7">U12+AF12</f>
        <v>1821883019387</v>
      </c>
      <c r="AH12" s="2811">
        <f t="shared" ref="AH12:AH27" si="8">H12-AI12</f>
        <v>327800000000</v>
      </c>
      <c r="AI12" s="2815"/>
      <c r="AJ12" s="2816">
        <v>435100000000</v>
      </c>
      <c r="AK12" s="2816">
        <v>557800000000</v>
      </c>
      <c r="AL12" s="2816">
        <v>339000000000</v>
      </c>
      <c r="AM12" s="2811"/>
      <c r="AN12" s="2811">
        <f t="shared" ref="AN12:AN28" si="9">AK12-AH12</f>
        <v>230000000000</v>
      </c>
      <c r="AO12" s="2818"/>
      <c r="AP12" s="2818"/>
      <c r="AQ12" s="2818"/>
      <c r="AR12" s="2818"/>
      <c r="AS12" s="2818"/>
      <c r="AT12" s="2818"/>
      <c r="AU12" s="2818"/>
      <c r="AV12" s="2818"/>
      <c r="AW12" s="2818"/>
      <c r="AX12" s="2818"/>
      <c r="AY12" s="2818"/>
      <c r="AZ12" s="2818"/>
      <c r="BA12" s="2818">
        <f t="shared" ref="BA12:BA79" si="10">AE12+U12</f>
        <v>327800000000</v>
      </c>
      <c r="BB12" s="2818">
        <f t="shared" ref="BB12:BB79" si="11">AH12-BA12</f>
        <v>0</v>
      </c>
      <c r="BD12" s="2800">
        <f t="shared" si="0"/>
        <v>327800000000</v>
      </c>
      <c r="BE12" s="2800">
        <f t="shared" si="1"/>
        <v>0</v>
      </c>
      <c r="BF12" s="2800">
        <f t="shared" ref="BF12:BF79" si="12">-AI12</f>
        <v>0</v>
      </c>
    </row>
    <row r="13" spans="2:58" ht="90.6" customHeight="1" x14ac:dyDescent="0.2">
      <c r="B13" s="4249"/>
      <c r="C13" s="2819">
        <v>1503002096</v>
      </c>
      <c r="D13" s="2810" t="s">
        <v>84</v>
      </c>
      <c r="E13" s="2811">
        <f>'يادداشت 15سایر درآمد ها و انتقا'!P18</f>
        <v>0</v>
      </c>
      <c r="F13" s="2811"/>
      <c r="G13" s="2811"/>
      <c r="H13" s="2811">
        <f t="shared" si="2"/>
        <v>0</v>
      </c>
      <c r="I13" s="2811">
        <f>'یادداشت 7 دارایییی اصلاحی'!J22</f>
        <v>58449850334</v>
      </c>
      <c r="J13" s="2811"/>
      <c r="K13" s="2811">
        <f>'پيش پرداخت سرمايه اي يادداشت 6'!H10</f>
        <v>0</v>
      </c>
      <c r="L13" s="2812">
        <f>'ياد 15  سايرهزينه '!I16</f>
        <v>0</v>
      </c>
      <c r="M13" s="2813"/>
      <c r="N13" s="2814">
        <f t="shared" ref="N13:N27" si="13">Q13+R13</f>
        <v>19004687942</v>
      </c>
      <c r="O13" s="2813"/>
      <c r="P13" s="2813"/>
      <c r="Q13" s="2813">
        <f>-'يادداشت 11 -سايربدهي_هاي_جاري'!I21</f>
        <v>359210217</v>
      </c>
      <c r="R13" s="2816">
        <f>-'يادداشت 1-1-10 حسابهاي پرداخخخ '!L76</f>
        <v>18645477725</v>
      </c>
      <c r="S13" s="2816">
        <f>-'يادداشت 15سایر درآمد ها و انتقا'!N18</f>
        <v>912000000</v>
      </c>
      <c r="T13" s="2816"/>
      <c r="U13" s="2811">
        <f t="shared" si="3"/>
        <v>78366538276</v>
      </c>
      <c r="V13" s="2811">
        <f>'حفظ قدرت خرید'!L11</f>
        <v>-1693000000</v>
      </c>
      <c r="W13" s="2811"/>
      <c r="X13" s="2811"/>
      <c r="Y13" s="2811" cm="1">
        <f t="array" ref="Y13:Z13">-'يادداشت 15سایر درآمد ها و انتقا'!H18:I18</f>
        <v>0</v>
      </c>
      <c r="Z13" s="2811">
        <v>0</v>
      </c>
      <c r="AA13" s="2811">
        <f>-'يادداشت 15سایر درآمد ها و انتقا'!K18</f>
        <v>-3860000000</v>
      </c>
      <c r="AB13" s="2811"/>
      <c r="AC13" s="2811">
        <f t="shared" si="4"/>
        <v>-72813538276</v>
      </c>
      <c r="AD13" s="2811"/>
      <c r="AE13" s="2811">
        <f t="shared" si="5"/>
        <v>-78366538276</v>
      </c>
      <c r="AF13" s="2811">
        <f t="shared" si="6"/>
        <v>-5553000000</v>
      </c>
      <c r="AG13" s="2812">
        <f t="shared" si="7"/>
        <v>72813538276</v>
      </c>
      <c r="AH13" s="2811">
        <f t="shared" si="8"/>
        <v>0</v>
      </c>
      <c r="AI13" s="2815"/>
      <c r="AJ13" s="2816">
        <v>28733000000</v>
      </c>
      <c r="AK13" s="2816">
        <v>28733000000</v>
      </c>
      <c r="AL13" s="2817"/>
      <c r="AM13" s="2811"/>
      <c r="AN13" s="2811">
        <f t="shared" si="9"/>
        <v>28733000000</v>
      </c>
      <c r="AO13" s="2818"/>
      <c r="AP13" s="2818"/>
      <c r="AQ13" s="2818"/>
      <c r="AR13" s="2818"/>
      <c r="AS13" s="2818"/>
      <c r="AT13" s="2818"/>
      <c r="AU13" s="2818"/>
      <c r="AV13" s="2818"/>
      <c r="AW13" s="2818"/>
      <c r="AX13" s="2818"/>
      <c r="AY13" s="2818"/>
      <c r="AZ13" s="2818"/>
      <c r="BA13" s="2818">
        <f t="shared" si="10"/>
        <v>0</v>
      </c>
      <c r="BB13" s="2818">
        <f t="shared" si="11"/>
        <v>0</v>
      </c>
      <c r="BD13" s="2800">
        <f t="shared" si="0"/>
        <v>0</v>
      </c>
      <c r="BE13" s="2800">
        <f t="shared" si="1"/>
        <v>0</v>
      </c>
      <c r="BF13" s="2800">
        <f t="shared" si="12"/>
        <v>0</v>
      </c>
    </row>
    <row r="14" spans="2:58" ht="90.6" customHeight="1" x14ac:dyDescent="0.2">
      <c r="B14" s="4249"/>
      <c r="C14" s="2819">
        <v>1503002173</v>
      </c>
      <c r="D14" s="2810" t="s">
        <v>85</v>
      </c>
      <c r="E14" s="2811">
        <f>'يادداشت 15سایر درآمد ها و انتقا'!P19</f>
        <v>0</v>
      </c>
      <c r="F14" s="2811">
        <f>'يادداشت 15سایر درآمد ها و انتقا'!S19</f>
        <v>0</v>
      </c>
      <c r="G14" s="2811"/>
      <c r="H14" s="2811">
        <f t="shared" si="2"/>
        <v>0</v>
      </c>
      <c r="I14" s="2811">
        <f>'یادداشت 7 دارایییی اصلاحی'!J23</f>
        <v>437848190035</v>
      </c>
      <c r="J14" s="2811">
        <f>'يادداشت_-5موجودی_جنسی__(2)'!F17</f>
        <v>9962000000</v>
      </c>
      <c r="K14" s="2811">
        <f>'پيش پرداخت سرمايه اي يادداشت 6'!H11</f>
        <v>0</v>
      </c>
      <c r="L14" s="2812">
        <f>'ياد 15  سايرهزينه '!I15</f>
        <v>702000000</v>
      </c>
      <c r="M14" s="2813"/>
      <c r="N14" s="2814">
        <f t="shared" si="13"/>
        <v>32344286521</v>
      </c>
      <c r="O14" s="2813"/>
      <c r="P14" s="2813"/>
      <c r="Q14" s="2813">
        <f>-'يادداشت 11 -سايربدهي_هاي_جاري'!I22</f>
        <v>1487453140</v>
      </c>
      <c r="R14" s="2816">
        <f>-'يادداشت 1-1-10 حسابهاي پرداخخخ '!L51</f>
        <v>30856833381</v>
      </c>
      <c r="S14" s="2816">
        <f>-'يادداشت 15سایر درآمد ها و انتقا'!N19</f>
        <v>3332000000</v>
      </c>
      <c r="T14" s="2816"/>
      <c r="U14" s="2811">
        <f t="shared" si="3"/>
        <v>484188476556</v>
      </c>
      <c r="V14" s="2811">
        <f>'حفظ قدرت خرید'!L12</f>
        <v>-14269000000</v>
      </c>
      <c r="W14" s="2811">
        <f>-19632415403</f>
        <v>-19632415403</v>
      </c>
      <c r="X14" s="2811"/>
      <c r="Y14" s="2811" cm="1">
        <f t="array" ref="Y14:Z14">-'يادداشت 15سایر درآمد ها و انتقا'!H19:I19</f>
        <v>0</v>
      </c>
      <c r="Z14" s="2811">
        <v>0</v>
      </c>
      <c r="AA14" s="2811">
        <f>-'يادداشت 15سایر درآمد ها و انتقا'!K19</f>
        <v>-16000000000</v>
      </c>
      <c r="AB14" s="2811"/>
      <c r="AC14" s="2811">
        <f t="shared" si="4"/>
        <v>-434287061153</v>
      </c>
      <c r="AD14" s="2811"/>
      <c r="AE14" s="2811">
        <f t="shared" si="5"/>
        <v>-484188476556</v>
      </c>
      <c r="AF14" s="2811">
        <f t="shared" si="6"/>
        <v>-49901415403</v>
      </c>
      <c r="AG14" s="2812">
        <f t="shared" si="7"/>
        <v>434287061153</v>
      </c>
      <c r="AH14" s="2811">
        <f t="shared" si="8"/>
        <v>0</v>
      </c>
      <c r="AI14" s="2815"/>
      <c r="AJ14" s="2816">
        <v>246282000000</v>
      </c>
      <c r="AK14" s="2816">
        <v>310000000000</v>
      </c>
      <c r="AL14" s="2817"/>
      <c r="AM14" s="2811"/>
      <c r="AN14" s="2811">
        <f t="shared" si="9"/>
        <v>310000000000</v>
      </c>
      <c r="AO14" s="2818"/>
      <c r="AP14" s="2818"/>
      <c r="AQ14" s="2818"/>
      <c r="AR14" s="2818"/>
      <c r="AS14" s="2818"/>
      <c r="AT14" s="2818"/>
      <c r="AU14" s="2818"/>
      <c r="AV14" s="2818"/>
      <c r="AW14" s="2818"/>
      <c r="AX14" s="2818"/>
      <c r="AY14" s="2818"/>
      <c r="AZ14" s="2818"/>
      <c r="BA14" s="2818">
        <f t="shared" si="10"/>
        <v>0</v>
      </c>
      <c r="BB14" s="2818">
        <f t="shared" si="11"/>
        <v>0</v>
      </c>
      <c r="BD14" s="2800">
        <f t="shared" si="0"/>
        <v>0</v>
      </c>
      <c r="BE14" s="2800">
        <f t="shared" si="1"/>
        <v>0</v>
      </c>
      <c r="BF14" s="2800">
        <f t="shared" si="12"/>
        <v>0</v>
      </c>
    </row>
    <row r="15" spans="2:58" ht="90.6" customHeight="1" x14ac:dyDescent="0.2">
      <c r="B15" s="4249"/>
      <c r="C15" s="2819">
        <v>1503002067</v>
      </c>
      <c r="D15" s="2810" t="s">
        <v>86</v>
      </c>
      <c r="E15" s="2811">
        <f>'يادداشت 15سایر درآمد ها و انتقا'!P20</f>
        <v>8558000000</v>
      </c>
      <c r="F15" s="2811"/>
      <c r="G15" s="2811"/>
      <c r="H15" s="2811">
        <f t="shared" si="2"/>
        <v>8558000000</v>
      </c>
      <c r="I15" s="2811">
        <f>'یادداشت 7 دارایییی اصلاحی'!J24</f>
        <v>7230171004</v>
      </c>
      <c r="J15" s="2811"/>
      <c r="K15" s="2811"/>
      <c r="L15" s="2812"/>
      <c r="M15" s="2813">
        <v>451286163</v>
      </c>
      <c r="N15" s="2814">
        <f t="shared" si="13"/>
        <v>14537983102</v>
      </c>
      <c r="O15" s="2813"/>
      <c r="P15" s="2813"/>
      <c r="Q15" s="2815">
        <f>-'يادداشت 11 -سايربدهي_هاي_جاري'!I25</f>
        <v>757206682</v>
      </c>
      <c r="R15" s="2816">
        <f>-'يادداشت 1-1-10 حسابهاي پرداخخخ '!L174</f>
        <v>13780776420</v>
      </c>
      <c r="S15" s="2816">
        <f>-'يادداشت 15سایر درآمد ها و انتقا'!N20</f>
        <v>374000000</v>
      </c>
      <c r="T15" s="2816"/>
      <c r="U15" s="2811">
        <f t="shared" si="3"/>
        <v>22593440269</v>
      </c>
      <c r="V15" s="2811">
        <f>'حفظ قدرت خرید'!L14</f>
        <v>0</v>
      </c>
      <c r="W15" s="2811" cm="1">
        <f t="array" ref="W15:X15">-'ي_3_موجودي_نقد '!J195:K195</f>
        <v>-2685000000</v>
      </c>
      <c r="X15" s="2811">
        <v>0</v>
      </c>
      <c r="Y15" s="2811" cm="1">
        <f t="array" ref="Y15:Z15">-'يادداشت 15سایر درآمد ها و انتقا'!H20:I20</f>
        <v>-922000000</v>
      </c>
      <c r="Z15" s="2811">
        <v>0</v>
      </c>
      <c r="AA15" s="2811">
        <f>-'يادداشت 15سایر درآمد ها و انتقا'!K20</f>
        <v>-1538000000</v>
      </c>
      <c r="AB15" s="2811"/>
      <c r="AC15" s="2811">
        <f t="shared" si="4"/>
        <v>-13673440269</v>
      </c>
      <c r="AD15" s="2811"/>
      <c r="AE15" s="2811">
        <f t="shared" si="5"/>
        <v>-18818440269</v>
      </c>
      <c r="AF15" s="2811">
        <f t="shared" si="6"/>
        <v>-5145000000</v>
      </c>
      <c r="AG15" s="2812">
        <f t="shared" si="7"/>
        <v>17448440269</v>
      </c>
      <c r="AH15" s="2811">
        <f t="shared" si="8"/>
        <v>3775000000</v>
      </c>
      <c r="AI15" s="2815">
        <f>'ي_3_موجودي_نقد '!I195</f>
        <v>4783000000</v>
      </c>
      <c r="AJ15" s="2816">
        <v>16419000000</v>
      </c>
      <c r="AK15" s="2816">
        <v>10398000000</v>
      </c>
      <c r="AL15" s="2817"/>
      <c r="AM15" s="2811"/>
      <c r="AN15" s="2811">
        <f t="shared" si="9"/>
        <v>6623000000</v>
      </c>
      <c r="AO15" s="2818"/>
      <c r="AP15" s="2818"/>
      <c r="AQ15" s="2818"/>
      <c r="AR15" s="2818"/>
      <c r="AS15" s="2818"/>
      <c r="AT15" s="2818"/>
      <c r="AU15" s="2818"/>
      <c r="AV15" s="2818"/>
      <c r="AW15" s="2818"/>
      <c r="AX15" s="2818"/>
      <c r="AY15" s="2818"/>
      <c r="AZ15" s="2818"/>
      <c r="BA15" s="2818">
        <f t="shared" si="10"/>
        <v>3775000000</v>
      </c>
      <c r="BB15" s="2818">
        <f t="shared" si="11"/>
        <v>0</v>
      </c>
      <c r="BD15" s="2800">
        <f t="shared" si="0"/>
        <v>8558000000</v>
      </c>
      <c r="BE15" s="2800">
        <f t="shared" si="1"/>
        <v>0</v>
      </c>
      <c r="BF15" s="2800">
        <f t="shared" si="12"/>
        <v>-4783000000</v>
      </c>
    </row>
    <row r="16" spans="2:58" ht="90.6" customHeight="1" x14ac:dyDescent="0.2">
      <c r="B16" s="4249"/>
      <c r="C16" s="2819" t="s">
        <v>1291</v>
      </c>
      <c r="D16" s="2810" t="s">
        <v>87</v>
      </c>
      <c r="E16" s="2811">
        <f>'يادداشت 15سایر درآمد ها و انتقا'!P21</f>
        <v>70000000000</v>
      </c>
      <c r="F16" s="2811"/>
      <c r="G16" s="2811"/>
      <c r="H16" s="2811">
        <f t="shared" si="2"/>
        <v>70000000000</v>
      </c>
      <c r="I16" s="2811">
        <f>'یادداشت 7 دارایییی اصلاحی'!J25</f>
        <v>723504859743</v>
      </c>
      <c r="J16" s="2811"/>
      <c r="K16" s="2811">
        <f>'پيش پرداخت سرمايه اي يادداشت 6'!H20</f>
        <v>33454825950</v>
      </c>
      <c r="L16" s="2812"/>
      <c r="M16" s="2813"/>
      <c r="N16" s="2814">
        <f t="shared" si="13"/>
        <v>657491345161</v>
      </c>
      <c r="O16" s="2820"/>
      <c r="P16" s="2820"/>
      <c r="Q16" s="2820">
        <f>-'يادداشت 11 -سايربدهي_هاي_جاري'!I28</f>
        <v>71296141256</v>
      </c>
      <c r="R16" s="2811">
        <f>-'يادداشت 1-1-10 حسابهاي پرداخخخ '!L61</f>
        <v>586195203905</v>
      </c>
      <c r="S16" s="2811">
        <f>-'يادداشت 15سایر درآمد ها و انتقا'!N21</f>
        <v>108614000000</v>
      </c>
      <c r="T16" s="2811"/>
      <c r="U16" s="2811">
        <f t="shared" si="3"/>
        <v>1523065030854</v>
      </c>
      <c r="V16" s="2811">
        <f>'حفظ قدرت خرید'!L15</f>
        <v>-1779000000</v>
      </c>
      <c r="W16" s="2811" cm="1">
        <f t="array" ref="W16:X16">-'ي_3_موجودي_نقد '!J193:K193</f>
        <v>-101472000000</v>
      </c>
      <c r="X16" s="2811">
        <v>0</v>
      </c>
      <c r="Y16" s="2811" cm="1">
        <f t="array" ref="Y16:Z16">-'يادداشت 15سایر درآمد ها و انتقا'!H21:I21</f>
        <v>-157653000000</v>
      </c>
      <c r="Z16" s="2811">
        <v>0</v>
      </c>
      <c r="AA16" s="2811">
        <f>-'يادداشت 15سایر درآمد ها و انتقا'!K21</f>
        <v>-457833000000</v>
      </c>
      <c r="AB16" s="2811"/>
      <c r="AC16" s="2811">
        <f t="shared" si="4"/>
        <v>-751141498509</v>
      </c>
      <c r="AD16" s="2811"/>
      <c r="AE16" s="2811">
        <f t="shared" si="5"/>
        <v>-1469878498509</v>
      </c>
      <c r="AF16" s="2811">
        <f t="shared" si="6"/>
        <v>-718737000000</v>
      </c>
      <c r="AG16" s="2812">
        <f t="shared" si="7"/>
        <v>804328030854</v>
      </c>
      <c r="AH16" s="2811">
        <f t="shared" si="8"/>
        <v>53186532345</v>
      </c>
      <c r="AI16" s="2815">
        <f>'ي_3_موجودي_نقد '!I193</f>
        <v>16813467655</v>
      </c>
      <c r="AJ16" s="2816">
        <v>70000000000</v>
      </c>
      <c r="AK16" s="2816">
        <v>70000000000</v>
      </c>
      <c r="AL16" s="2817"/>
      <c r="AM16" s="2811"/>
      <c r="AN16" s="2811">
        <f t="shared" si="9"/>
        <v>16813467655</v>
      </c>
      <c r="AO16" s="2818"/>
      <c r="AP16" s="2818"/>
      <c r="AQ16" s="2818"/>
      <c r="AR16" s="2818"/>
      <c r="AS16" s="2818"/>
      <c r="AT16" s="2818"/>
      <c r="AU16" s="2818"/>
      <c r="AV16" s="2818"/>
      <c r="AW16" s="2818"/>
      <c r="AX16" s="2818"/>
      <c r="AY16" s="2818"/>
      <c r="AZ16" s="2818"/>
      <c r="BA16" s="2818">
        <f t="shared" si="10"/>
        <v>53186532345</v>
      </c>
      <c r="BB16" s="2818">
        <f t="shared" si="11"/>
        <v>0</v>
      </c>
      <c r="BD16" s="2800">
        <f t="shared" si="0"/>
        <v>70000000000</v>
      </c>
      <c r="BE16" s="2800">
        <f t="shared" si="1"/>
        <v>0</v>
      </c>
      <c r="BF16" s="2800">
        <f t="shared" si="12"/>
        <v>-16813467655</v>
      </c>
    </row>
    <row r="17" spans="2:58" ht="90.6" customHeight="1" x14ac:dyDescent="0.2">
      <c r="B17" s="4249"/>
      <c r="C17" s="2954">
        <v>1307002080</v>
      </c>
      <c r="D17" s="2821" t="s">
        <v>418</v>
      </c>
      <c r="E17" s="2816">
        <f>'يادداشت 15سایر درآمد ها و انتقا'!P24</f>
        <v>5502000000000</v>
      </c>
      <c r="F17" s="2816">
        <f>'يادداشت 15سایر درآمد ها و انتقا'!S24</f>
        <v>0</v>
      </c>
      <c r="G17" s="2811"/>
      <c r="H17" s="2811">
        <f t="shared" si="2"/>
        <v>5502000000000</v>
      </c>
      <c r="I17" s="2811">
        <f>'یادداشت 7 دارایییی اصلاحی'!J20</f>
        <v>6135109838377</v>
      </c>
      <c r="J17" s="2811">
        <f>'يادداشت_-5موجودی_جنسی__(2)'!F35</f>
        <v>244118764746</v>
      </c>
      <c r="K17" s="2811">
        <f>'پيش پرداخت سرمايه اي يادداشت 6'!H27</f>
        <v>824305573909</v>
      </c>
      <c r="L17" s="2812">
        <f>'ياد 15  سايرهزينه '!I18</f>
        <v>3348000000</v>
      </c>
      <c r="M17" s="2813">
        <v>289437189025</v>
      </c>
      <c r="N17" s="2814">
        <f t="shared" si="13"/>
        <v>8423347234923</v>
      </c>
      <c r="O17" s="2811"/>
      <c r="P17" s="2811"/>
      <c r="Q17" s="2811">
        <f>-'يادداشت 11 -سايربدهي_هاي_جاري'!I30</f>
        <v>349115469180</v>
      </c>
      <c r="R17" s="2811">
        <f>-'يادداشت 1-1-10 حسابهاي پرداخخخ '!L48</f>
        <v>8074231765743</v>
      </c>
      <c r="S17" s="2811">
        <f>-'يادداشت 15سایر درآمد ها و انتقا'!V24-'يادداشت 15سایر درآمد ها و انتقا'!N24</f>
        <v>36835000000</v>
      </c>
      <c r="T17" s="2811"/>
      <c r="U17" s="2811">
        <f t="shared" si="3"/>
        <v>15956501600980</v>
      </c>
      <c r="V17" s="2811">
        <f>'حفظ قدرت خرید'!L16</f>
        <v>-145461000000</v>
      </c>
      <c r="W17" s="2811" cm="1">
        <f t="array" ref="W17:X17">-'ي_3_موجودي_نقد '!J173:K173</f>
        <v>-1395871897351</v>
      </c>
      <c r="X17" s="2811">
        <v>0</v>
      </c>
      <c r="Y17" s="2811" cm="1">
        <f t="array" ref="Y17:Z17">-'يادداشت 15سایر درآمد ها و انتقا'!H24:I24</f>
        <v>0</v>
      </c>
      <c r="Z17" s="2811">
        <v>0</v>
      </c>
      <c r="AA17" s="2811">
        <f>-'يادداشت 15سایر درآمد ها و انتقا'!K24</f>
        <v>-164807000000</v>
      </c>
      <c r="AB17" s="2811">
        <f>-434892980733</f>
        <v>-434892980733</v>
      </c>
      <c r="AC17" s="2811">
        <f t="shared" si="4"/>
        <v>-8627118851343</v>
      </c>
      <c r="AD17" s="2811"/>
      <c r="AE17" s="2811">
        <f t="shared" si="5"/>
        <v>-10768151729427</v>
      </c>
      <c r="AF17" s="2811">
        <f t="shared" si="6"/>
        <v>-2141032878084</v>
      </c>
      <c r="AG17" s="2812">
        <f t="shared" si="7"/>
        <v>13815468722896</v>
      </c>
      <c r="AH17" s="2811">
        <f t="shared" si="8"/>
        <v>5188349871553</v>
      </c>
      <c r="AI17" s="2822">
        <f>'ي_3_موجودي_نقد '!I173</f>
        <v>313650128447</v>
      </c>
      <c r="AJ17" s="2816">
        <v>6502000000000</v>
      </c>
      <c r="AK17" s="2816">
        <v>6502000000000</v>
      </c>
      <c r="AL17" s="2816">
        <v>1893000000000</v>
      </c>
      <c r="AM17" s="2811"/>
      <c r="AN17" s="2811">
        <f t="shared" si="9"/>
        <v>1313650128447</v>
      </c>
      <c r="AO17" s="2818"/>
      <c r="AP17" s="2818"/>
      <c r="AQ17" s="2818"/>
      <c r="AR17" s="2818"/>
      <c r="AS17" s="2818"/>
      <c r="AT17" s="2818"/>
      <c r="AU17" s="2818"/>
      <c r="AV17" s="2818"/>
      <c r="AW17" s="2818"/>
      <c r="AX17" s="2818"/>
      <c r="AY17" s="2818"/>
      <c r="AZ17" s="2818"/>
      <c r="BA17" s="2818">
        <f t="shared" si="10"/>
        <v>5188349871553</v>
      </c>
      <c r="BB17" s="2818">
        <f t="shared" si="11"/>
        <v>0</v>
      </c>
      <c r="BD17" s="2800">
        <f t="shared" si="0"/>
        <v>5502000000000</v>
      </c>
      <c r="BE17" s="2800">
        <f t="shared" si="1"/>
        <v>0</v>
      </c>
      <c r="BF17" s="2800">
        <f t="shared" si="12"/>
        <v>-313650128447</v>
      </c>
    </row>
    <row r="18" spans="2:58" ht="90.6" customHeight="1" x14ac:dyDescent="0.2">
      <c r="B18" s="4249"/>
      <c r="C18" s="2954">
        <v>1502001005</v>
      </c>
      <c r="D18" s="2821" t="s">
        <v>233</v>
      </c>
      <c r="E18" s="2816">
        <f>'يادداشت 15سایر درآمد ها و انتقا'!P25</f>
        <v>0</v>
      </c>
      <c r="F18" s="2816"/>
      <c r="G18" s="2811"/>
      <c r="H18" s="2811">
        <f t="shared" si="2"/>
        <v>0</v>
      </c>
      <c r="I18" s="2811">
        <f>'یادداشت 7 دارایییی اصلاحی'!J54</f>
        <v>164857692737</v>
      </c>
      <c r="J18" s="2811">
        <f>'يادداشت_-5موجودی_جنسی__(2)'!F24</f>
        <v>0</v>
      </c>
      <c r="K18" s="2811">
        <f>'پيش پرداخت سرمايه اي يادداشت 6'!H48</f>
        <v>23249514986</v>
      </c>
      <c r="L18" s="2812"/>
      <c r="M18" s="2813"/>
      <c r="N18" s="2814">
        <f t="shared" si="13"/>
        <v>85271069023</v>
      </c>
      <c r="O18" s="2811"/>
      <c r="P18" s="2811"/>
      <c r="Q18" s="2811">
        <f>-'يادداشت 11 -سايربدهي_هاي_جاري'!I37</f>
        <v>18222405711</v>
      </c>
      <c r="R18" s="2811">
        <f>-'يادداشت 1-1-10 حسابهاي پرداخخخ '!L75</f>
        <v>67048663312</v>
      </c>
      <c r="S18" s="2823">
        <f>-'يادداشت 15سایر درآمد ها و انتقا'!N25</f>
        <v>22215000000</v>
      </c>
      <c r="T18" s="2823"/>
      <c r="U18" s="2811">
        <f t="shared" si="3"/>
        <v>295593276746</v>
      </c>
      <c r="V18" s="2811">
        <f>'حفظ قدرت خرید'!L18</f>
        <v>-5024000000</v>
      </c>
      <c r="W18" s="2811"/>
      <c r="X18" s="2811"/>
      <c r="Y18" s="2811" cm="1">
        <f t="array" ref="Y18:Z18">-'يادداشت 15سایر درآمد ها و انتقا'!H25:I25</f>
        <v>-13800000000</v>
      </c>
      <c r="Z18" s="2811">
        <v>0</v>
      </c>
      <c r="AA18" s="2811">
        <f>-'يادداشت 15سایر درآمد ها و انتقا'!K25</f>
        <v>-90000000000</v>
      </c>
      <c r="AB18" s="2811">
        <f>-497500000</f>
        <v>-497500000</v>
      </c>
      <c r="AC18" s="2811">
        <f t="shared" si="4"/>
        <v>-186271776746</v>
      </c>
      <c r="AD18" s="2811"/>
      <c r="AE18" s="2811">
        <f t="shared" si="5"/>
        <v>-295593276746</v>
      </c>
      <c r="AF18" s="2811">
        <f t="shared" si="6"/>
        <v>-109321500000</v>
      </c>
      <c r="AG18" s="2812">
        <f t="shared" si="7"/>
        <v>186271776746</v>
      </c>
      <c r="AH18" s="2811">
        <f t="shared" si="8"/>
        <v>0</v>
      </c>
      <c r="AI18" s="2815"/>
      <c r="AJ18" s="2816">
        <v>1280000000000</v>
      </c>
      <c r="AK18" s="2816">
        <v>1280000000000</v>
      </c>
      <c r="AL18" s="2817"/>
      <c r="AM18" s="2811"/>
      <c r="AN18" s="2811">
        <f t="shared" si="9"/>
        <v>1280000000000</v>
      </c>
      <c r="AO18" s="2818"/>
      <c r="AP18" s="2818"/>
      <c r="AQ18" s="2818"/>
      <c r="AR18" s="2818"/>
      <c r="AS18" s="2818"/>
      <c r="AT18" s="2818"/>
      <c r="AU18" s="2818"/>
      <c r="AV18" s="2818"/>
      <c r="AW18" s="2818"/>
      <c r="AX18" s="2818"/>
      <c r="AY18" s="2818"/>
      <c r="AZ18" s="2818"/>
      <c r="BA18" s="2818">
        <f t="shared" si="10"/>
        <v>0</v>
      </c>
      <c r="BB18" s="2818">
        <f t="shared" si="11"/>
        <v>0</v>
      </c>
      <c r="BD18" s="2800">
        <f t="shared" si="0"/>
        <v>0</v>
      </c>
      <c r="BE18" s="2800">
        <f t="shared" si="1"/>
        <v>0</v>
      </c>
      <c r="BF18" s="2800">
        <f t="shared" si="12"/>
        <v>0</v>
      </c>
    </row>
    <row r="19" spans="2:58" ht="90.6" customHeight="1" x14ac:dyDescent="0.2">
      <c r="B19" s="4249"/>
      <c r="C19" s="2824">
        <v>1503003007</v>
      </c>
      <c r="D19" s="2825" t="s">
        <v>155</v>
      </c>
      <c r="E19" s="2816">
        <f>'يادداشت 15سایر درآمد ها و انتقا'!P26</f>
        <v>0</v>
      </c>
      <c r="F19" s="2816"/>
      <c r="G19" s="2811"/>
      <c r="H19" s="2811">
        <f t="shared" si="2"/>
        <v>0</v>
      </c>
      <c r="I19" s="2811">
        <f>'یادداشت 7 دارایییی اصلاحی'!J111</f>
        <v>619000000</v>
      </c>
      <c r="J19" s="2811">
        <f>'يادداشت_-5موجودی_جنسی__(2)'!F36</f>
        <v>6608000000</v>
      </c>
      <c r="K19" s="2811"/>
      <c r="L19" s="2812"/>
      <c r="M19" s="2813"/>
      <c r="N19" s="2814">
        <f t="shared" si="13"/>
        <v>5188321104</v>
      </c>
      <c r="O19" s="2811"/>
      <c r="P19" s="2811"/>
      <c r="Q19" s="2811">
        <f>-'يادداشت 11 -سايربدهي_هاي_جاري'!I69</f>
        <v>381163482</v>
      </c>
      <c r="R19" s="2812">
        <f>-'يادداشت 1-1-10 حسابهاي پرداخخخ '!L116</f>
        <v>4807157622</v>
      </c>
      <c r="S19" s="2813">
        <f>-'يادداشت 15سایر درآمد ها و انتقا'!N26</f>
        <v>1064000000</v>
      </c>
      <c r="T19" s="2813"/>
      <c r="U19" s="2811">
        <f t="shared" si="3"/>
        <v>13479321104</v>
      </c>
      <c r="V19" s="2811"/>
      <c r="W19" s="2811"/>
      <c r="X19" s="2811"/>
      <c r="Y19" s="2811" cm="1">
        <f t="array" ref="Y19:Z19">-'يادداشت 15سایر درآمد ها و انتقا'!H26:I26</f>
        <v>0</v>
      </c>
      <c r="Z19" s="2811">
        <v>0</v>
      </c>
      <c r="AA19" s="2811">
        <f>-'يادداشت 15سایر درآمد ها و انتقا'!K26</f>
        <v>-5000000000</v>
      </c>
      <c r="AB19" s="2811"/>
      <c r="AC19" s="2811">
        <f t="shared" si="4"/>
        <v>-8479321104</v>
      </c>
      <c r="AD19" s="2811"/>
      <c r="AE19" s="2811">
        <f t="shared" si="5"/>
        <v>-13479321104</v>
      </c>
      <c r="AF19" s="2811">
        <f t="shared" si="6"/>
        <v>-5000000000</v>
      </c>
      <c r="AG19" s="2812">
        <f t="shared" si="7"/>
        <v>8479321104</v>
      </c>
      <c r="AH19" s="2811">
        <f t="shared" si="8"/>
        <v>0</v>
      </c>
      <c r="AI19" s="2815"/>
      <c r="AJ19" s="2816">
        <v>20000000000</v>
      </c>
      <c r="AK19" s="2816">
        <v>20000000000</v>
      </c>
      <c r="AL19" s="2816">
        <v>20000000000</v>
      </c>
      <c r="AM19" s="2812"/>
      <c r="AN19" s="2811">
        <f t="shared" si="9"/>
        <v>20000000000</v>
      </c>
      <c r="AO19" s="2818"/>
      <c r="AP19" s="2818"/>
      <c r="AQ19" s="2818"/>
      <c r="AR19" s="2818"/>
      <c r="AS19" s="2818"/>
      <c r="AT19" s="2818"/>
      <c r="AU19" s="2818"/>
      <c r="AV19" s="2818"/>
      <c r="AW19" s="2818"/>
      <c r="AX19" s="2818"/>
      <c r="AY19" s="2818"/>
      <c r="AZ19" s="2818"/>
      <c r="BA19" s="2818">
        <f t="shared" si="10"/>
        <v>0</v>
      </c>
      <c r="BB19" s="2818">
        <f t="shared" si="11"/>
        <v>0</v>
      </c>
      <c r="BD19" s="2800">
        <f t="shared" si="0"/>
        <v>0</v>
      </c>
      <c r="BE19" s="2800">
        <f t="shared" si="1"/>
        <v>0</v>
      </c>
      <c r="BF19" s="2800">
        <f t="shared" si="12"/>
        <v>0</v>
      </c>
    </row>
    <row r="20" spans="2:58" ht="90.6" customHeight="1" x14ac:dyDescent="0.2">
      <c r="B20" s="4249"/>
      <c r="C20" s="1184" t="s">
        <v>366</v>
      </c>
      <c r="D20" s="2825" t="s">
        <v>367</v>
      </c>
      <c r="E20" s="2814">
        <f>'يادداشت 15سایر درآمد ها و انتقا'!P28</f>
        <v>5000000000</v>
      </c>
      <c r="F20" s="2814"/>
      <c r="G20" s="2813"/>
      <c r="H20" s="2811">
        <f t="shared" si="2"/>
        <v>5000000000</v>
      </c>
      <c r="I20" s="2813">
        <f>'یادداشت 7 دارایییی اصلاحی'!J112</f>
        <v>316000000</v>
      </c>
      <c r="J20" s="2813">
        <f>'يادداشت_-5موجودی_جنسی__(2)'!F33</f>
        <v>2665000000</v>
      </c>
      <c r="K20" s="2813"/>
      <c r="L20" s="2813"/>
      <c r="M20" s="2813"/>
      <c r="N20" s="2814">
        <f t="shared" si="13"/>
        <v>1016000000</v>
      </c>
      <c r="O20" s="2813"/>
      <c r="P20" s="2813"/>
      <c r="Q20" s="2813"/>
      <c r="R20" s="2826">
        <f>-'يادداشت 1-1-10 حسابهاي پرداخخخ '!L131</f>
        <v>1016000000</v>
      </c>
      <c r="S20" s="2813">
        <f>-'يادداشت 15سایر درآمد ها و انتقا'!N28</f>
        <v>326000000</v>
      </c>
      <c r="T20" s="2813"/>
      <c r="U20" s="2811">
        <f t="shared" si="3"/>
        <v>4323000000</v>
      </c>
      <c r="V20" s="2813">
        <f>'حفظ قدرت خرید'!L21</f>
        <v>-158000000</v>
      </c>
      <c r="W20" s="2813"/>
      <c r="X20" s="2813"/>
      <c r="Y20" s="2813" cm="1">
        <f t="array" ref="Y20:Z20">-'يادداشت 15سایر درآمد ها و انتقا'!H28:I28</f>
        <v>0</v>
      </c>
      <c r="Z20" s="2813">
        <v>0</v>
      </c>
      <c r="AA20" s="2813">
        <f>-'يادداشت 15سایر درآمد ها و انتقا'!K28</f>
        <v>-1500000000</v>
      </c>
      <c r="AB20" s="2813"/>
      <c r="AC20" s="2811">
        <f t="shared" si="4"/>
        <v>-2665000000</v>
      </c>
      <c r="AD20" s="2811"/>
      <c r="AE20" s="2811">
        <f t="shared" si="5"/>
        <v>-4323000000</v>
      </c>
      <c r="AF20" s="2811">
        <f t="shared" si="6"/>
        <v>-1658000000</v>
      </c>
      <c r="AG20" s="2812">
        <f t="shared" si="7"/>
        <v>2665000000</v>
      </c>
      <c r="AH20" s="2811">
        <f t="shared" si="8"/>
        <v>0</v>
      </c>
      <c r="AI20" s="2815">
        <f>'ي_3_موجودي_نقد '!I194</f>
        <v>5000000000</v>
      </c>
      <c r="AJ20" s="2813">
        <v>9000000000</v>
      </c>
      <c r="AK20" s="2813">
        <v>9000000000</v>
      </c>
      <c r="AL20" s="2815"/>
      <c r="AM20" s="2812"/>
      <c r="AN20" s="2811">
        <f>AK20-AH20</f>
        <v>9000000000</v>
      </c>
      <c r="AO20" s="2818"/>
      <c r="AP20" s="2818"/>
      <c r="AQ20" s="2818"/>
      <c r="AR20" s="2818"/>
      <c r="AS20" s="2818"/>
      <c r="AT20" s="2818"/>
      <c r="AU20" s="2818"/>
      <c r="AV20" s="2818"/>
      <c r="AW20" s="2818"/>
      <c r="AX20" s="2818"/>
      <c r="AY20" s="2818"/>
      <c r="AZ20" s="2818"/>
      <c r="BA20" s="2818">
        <f t="shared" si="10"/>
        <v>0</v>
      </c>
      <c r="BB20" s="2818">
        <f t="shared" si="11"/>
        <v>0</v>
      </c>
      <c r="BD20" s="2800">
        <f t="shared" si="0"/>
        <v>5000000000</v>
      </c>
      <c r="BE20" s="2800">
        <f t="shared" si="1"/>
        <v>0</v>
      </c>
      <c r="BF20" s="2800">
        <f t="shared" si="12"/>
        <v>-5000000000</v>
      </c>
    </row>
    <row r="21" spans="2:58" ht="129" customHeight="1" x14ac:dyDescent="0.2">
      <c r="B21" s="4249"/>
      <c r="C21" s="2954">
        <v>1307006002</v>
      </c>
      <c r="D21" s="2821" t="s">
        <v>88</v>
      </c>
      <c r="E21" s="2813"/>
      <c r="F21" s="2813"/>
      <c r="G21" s="2813"/>
      <c r="H21" s="2811">
        <f t="shared" si="2"/>
        <v>0</v>
      </c>
      <c r="I21" s="2813">
        <f>'یادداشت 7 دارایییی اصلاحی'!J141</f>
        <v>0</v>
      </c>
      <c r="J21" s="2813">
        <f>'يادداشت_-5موجودی_جنسی__(2)'!F34</f>
        <v>0</v>
      </c>
      <c r="K21" s="2813">
        <f>'پيش پرداخت سرمايه اي يادداشت 6'!H100</f>
        <v>0</v>
      </c>
      <c r="L21" s="2813"/>
      <c r="M21" s="2813"/>
      <c r="N21" s="2814">
        <f t="shared" si="13"/>
        <v>1295486015</v>
      </c>
      <c r="O21" s="2813"/>
      <c r="P21" s="2813"/>
      <c r="Q21" s="2813">
        <f>-'يادداشت 11 -سايربدهي_هاي_جاري'!I72</f>
        <v>1295486015</v>
      </c>
      <c r="R21" s="2826">
        <f>-'يادداشت 1-1-10 حسابهاي پرداخخخ '!L322</f>
        <v>0</v>
      </c>
      <c r="S21" s="2813"/>
      <c r="T21" s="2813"/>
      <c r="U21" s="2811">
        <f t="shared" si="3"/>
        <v>1295486015</v>
      </c>
      <c r="V21" s="2813"/>
      <c r="W21" s="2813"/>
      <c r="X21" s="2813"/>
      <c r="Y21" s="2813"/>
      <c r="Z21" s="2813"/>
      <c r="AA21" s="2813"/>
      <c r="AB21" s="2813"/>
      <c r="AC21" s="2811">
        <f t="shared" si="4"/>
        <v>-1295486015</v>
      </c>
      <c r="AD21" s="2813"/>
      <c r="AE21" s="2811">
        <f t="shared" si="5"/>
        <v>-1295486015</v>
      </c>
      <c r="AF21" s="2811">
        <f t="shared" si="6"/>
        <v>0</v>
      </c>
      <c r="AG21" s="2812">
        <f t="shared" si="7"/>
        <v>1295486015</v>
      </c>
      <c r="AH21" s="2811">
        <f t="shared" si="8"/>
        <v>0</v>
      </c>
      <c r="AI21" s="2815"/>
      <c r="AJ21" s="2813"/>
      <c r="AK21" s="2813"/>
      <c r="AL21" s="2815"/>
      <c r="AM21" s="2826"/>
      <c r="AN21" s="2811">
        <f t="shared" si="9"/>
        <v>0</v>
      </c>
      <c r="AO21" s="2818"/>
      <c r="AP21" s="2818"/>
      <c r="AQ21" s="2818"/>
      <c r="AR21" s="2818"/>
      <c r="AS21" s="2818"/>
      <c r="AT21" s="2818"/>
      <c r="AU21" s="2818"/>
      <c r="AV21" s="2818"/>
      <c r="AW21" s="2818"/>
      <c r="AX21" s="2818"/>
      <c r="AY21" s="2818"/>
      <c r="AZ21" s="2818"/>
      <c r="BA21" s="2818">
        <f t="shared" si="10"/>
        <v>0</v>
      </c>
      <c r="BB21" s="2818">
        <f t="shared" si="11"/>
        <v>0</v>
      </c>
      <c r="BD21" s="2800">
        <f t="shared" si="0"/>
        <v>0</v>
      </c>
      <c r="BE21" s="2800">
        <f t="shared" si="1"/>
        <v>0</v>
      </c>
      <c r="BF21" s="2800">
        <f t="shared" si="12"/>
        <v>0</v>
      </c>
    </row>
    <row r="22" spans="2:58" ht="130.9" customHeight="1" x14ac:dyDescent="0.2">
      <c r="B22" s="4249"/>
      <c r="C22" s="2954" t="s">
        <v>608</v>
      </c>
      <c r="D22" s="2827" t="s">
        <v>1289</v>
      </c>
      <c r="E22" s="2814">
        <f>'يادداشت 15سایر درآمد ها و انتقا'!P27</f>
        <v>862400000000</v>
      </c>
      <c r="F22" s="2814">
        <f>'يادداشت 15سایر درآمد ها و انتقا'!S27</f>
        <v>0</v>
      </c>
      <c r="G22" s="2813"/>
      <c r="H22" s="2811">
        <f t="shared" si="2"/>
        <v>862400000000</v>
      </c>
      <c r="I22" s="2813">
        <f>'یادداشت 7 دارایییی اصلاحی'!J166</f>
        <v>745696093166</v>
      </c>
      <c r="J22" s="2813">
        <f>'يادداشت_-5موجودی_جنسی__(2)'!F40</f>
        <v>186923894589</v>
      </c>
      <c r="K22" s="1185">
        <f>'پيش پرداخت سرمايه اي يادداشت 6'!H61</f>
        <v>45039274390</v>
      </c>
      <c r="L22" s="2813">
        <f>'ياد 15  سايرهزينه '!I23</f>
        <v>7958000000</v>
      </c>
      <c r="M22" s="2813">
        <v>37675738847</v>
      </c>
      <c r="N22" s="2814">
        <f t="shared" si="13"/>
        <v>3002024032045</v>
      </c>
      <c r="O22" s="2813"/>
      <c r="P22" s="2813"/>
      <c r="Q22" s="2813">
        <f>-'يادداشت 11 -سايربدهي_هاي_جاري'!I31</f>
        <v>152311465314</v>
      </c>
      <c r="R22" s="2826">
        <f>-'يادداشت 1-1-10 حسابهاي پرداخخخ '!L50</f>
        <v>2849712566731</v>
      </c>
      <c r="S22" s="2813">
        <f>-'يادداشت 15سایر درآمد ها و انتقا'!N27</f>
        <v>116525000000</v>
      </c>
      <c r="T22" s="2813"/>
      <c r="U22" s="2811">
        <f t="shared" si="3"/>
        <v>4141842033037</v>
      </c>
      <c r="V22" s="2813">
        <f>'حفظ قدرت خرید'!L17</f>
        <v>-77810000000</v>
      </c>
      <c r="W22" s="2813" cm="1">
        <f t="array" ref="W22:X22">-'ي_3_موجودي_نقد '!J190:K190</f>
        <v>-131781726884</v>
      </c>
      <c r="X22" s="2813">
        <v>0</v>
      </c>
      <c r="Y22" s="2813" cm="1">
        <f t="array" ref="Y22:Z22">-'يادداشت 15سایر درآمد ها و انتقا'!H27:I27</f>
        <v>0</v>
      </c>
      <c r="Z22" s="2813">
        <v>0</v>
      </c>
      <c r="AA22" s="2813">
        <f>-'يادداشت 15سایر درآمد ها و انتقا'!K27</f>
        <v>-567376000000</v>
      </c>
      <c r="AB22" s="2813">
        <f>-19374096204</f>
        <v>-19374096204</v>
      </c>
      <c r="AC22" s="2811">
        <f t="shared" si="4"/>
        <v>-2506016572001</v>
      </c>
      <c r="AD22" s="2813"/>
      <c r="AE22" s="2811">
        <f t="shared" si="5"/>
        <v>-3302358395089</v>
      </c>
      <c r="AF22" s="2811">
        <f t="shared" si="6"/>
        <v>-796341823088</v>
      </c>
      <c r="AG22" s="2812">
        <f t="shared" si="7"/>
        <v>3345500209949</v>
      </c>
      <c r="AH22" s="2811">
        <f t="shared" si="8"/>
        <v>839483637948</v>
      </c>
      <c r="AI22" s="2828">
        <f>'ي_3_موجودي_نقد '!I190</f>
        <v>22916362052</v>
      </c>
      <c r="AJ22" s="2813">
        <v>1862400000000</v>
      </c>
      <c r="AK22" s="2813">
        <v>1862400000000</v>
      </c>
      <c r="AL22" s="2813">
        <v>1862400000000</v>
      </c>
      <c r="AM22" s="2826"/>
      <c r="AN22" s="2811">
        <f t="shared" si="9"/>
        <v>1022916362052</v>
      </c>
      <c r="AO22" s="2818"/>
      <c r="AP22" s="2818"/>
      <c r="AQ22" s="2818"/>
      <c r="AR22" s="2818"/>
      <c r="AS22" s="2818"/>
      <c r="AT22" s="2818"/>
      <c r="AU22" s="2818"/>
      <c r="AV22" s="2818"/>
      <c r="AW22" s="2818"/>
      <c r="AX22" s="2818"/>
      <c r="AY22" s="2818"/>
      <c r="AZ22" s="2818"/>
      <c r="BA22" s="2818">
        <f t="shared" si="10"/>
        <v>839483637948</v>
      </c>
      <c r="BB22" s="2818">
        <f t="shared" si="11"/>
        <v>0</v>
      </c>
      <c r="BD22" s="2800">
        <f t="shared" si="0"/>
        <v>862400000000</v>
      </c>
      <c r="BE22" s="2800">
        <f t="shared" si="1"/>
        <v>0</v>
      </c>
      <c r="BF22" s="2800">
        <f t="shared" si="12"/>
        <v>-22916362052</v>
      </c>
    </row>
    <row r="23" spans="2:58" ht="90.6" customHeight="1" x14ac:dyDescent="0.2">
      <c r="B23" s="4249"/>
      <c r="C23" s="2954" t="s">
        <v>610</v>
      </c>
      <c r="D23" s="2827" t="s">
        <v>596</v>
      </c>
      <c r="E23" s="2814"/>
      <c r="F23" s="2814"/>
      <c r="G23" s="2813"/>
      <c r="H23" s="2811">
        <f t="shared" si="2"/>
        <v>0</v>
      </c>
      <c r="I23" s="2813">
        <f>'یادداشت 7 دارایییی اصلاحی'!J168</f>
        <v>7278386404</v>
      </c>
      <c r="J23" s="2813">
        <f>'يادداشت_-5موجودی_جنسی__(2)'!F65</f>
        <v>1500000000</v>
      </c>
      <c r="K23" s="2813"/>
      <c r="L23" s="2813">
        <f>'ياد 15  سايرهزينه '!I25</f>
        <v>58000000</v>
      </c>
      <c r="M23" s="2813"/>
      <c r="N23" s="2814">
        <f t="shared" si="13"/>
        <v>63082014077</v>
      </c>
      <c r="O23" s="2813"/>
      <c r="P23" s="2813"/>
      <c r="Q23" s="2813">
        <f>-'يادداشت 11 -سايربدهي_هاي_جاري'!I109</f>
        <v>2244741549</v>
      </c>
      <c r="R23" s="2826">
        <f>-'يادداشت 1-1-10 حسابهاي پرداخخخ '!L103</f>
        <v>60837272528</v>
      </c>
      <c r="S23" s="2813"/>
      <c r="T23" s="2813"/>
      <c r="U23" s="2811">
        <f t="shared" si="3"/>
        <v>71918400481</v>
      </c>
      <c r="V23" s="2813">
        <f>'حفظ قدرت خرید'!L20</f>
        <v>-529000000</v>
      </c>
      <c r="W23" s="2813">
        <f>-1542943223</f>
        <v>-1542943223</v>
      </c>
      <c r="X23" s="2813"/>
      <c r="Y23" s="2813"/>
      <c r="Z23" s="2813"/>
      <c r="AA23" s="2813"/>
      <c r="AB23" s="2813">
        <f>-5727278882</f>
        <v>-5727278882</v>
      </c>
      <c r="AC23" s="2811">
        <f t="shared" si="4"/>
        <v>-64119178376</v>
      </c>
      <c r="AD23" s="2813"/>
      <c r="AE23" s="2811">
        <f t="shared" si="5"/>
        <v>-71918400481</v>
      </c>
      <c r="AF23" s="2811">
        <f t="shared" si="6"/>
        <v>-7799222105</v>
      </c>
      <c r="AG23" s="2812">
        <f t="shared" si="7"/>
        <v>64119178376</v>
      </c>
      <c r="AH23" s="2811">
        <f t="shared" si="8"/>
        <v>0</v>
      </c>
      <c r="AI23" s="2829"/>
      <c r="AJ23" s="2813"/>
      <c r="AK23" s="2813"/>
      <c r="AL23" s="2830"/>
      <c r="AM23" s="2813"/>
      <c r="AN23" s="2811">
        <f t="shared" si="9"/>
        <v>0</v>
      </c>
      <c r="AO23" s="2818"/>
      <c r="AP23" s="2818"/>
      <c r="AQ23" s="2818"/>
      <c r="AR23" s="2818"/>
      <c r="AS23" s="2818"/>
      <c r="AT23" s="2818"/>
      <c r="AU23" s="2818"/>
      <c r="AV23" s="2818"/>
      <c r="AW23" s="2818"/>
      <c r="AX23" s="2818"/>
      <c r="AY23" s="2818"/>
      <c r="AZ23" s="2818"/>
      <c r="BA23" s="2818">
        <f t="shared" si="10"/>
        <v>0</v>
      </c>
      <c r="BB23" s="2818">
        <f t="shared" si="11"/>
        <v>0</v>
      </c>
      <c r="BD23" s="2800">
        <f t="shared" si="0"/>
        <v>0</v>
      </c>
      <c r="BE23" s="2800">
        <f t="shared" si="1"/>
        <v>0</v>
      </c>
      <c r="BF23" s="2800">
        <f t="shared" si="12"/>
        <v>0</v>
      </c>
    </row>
    <row r="24" spans="2:58" ht="90.6" customHeight="1" x14ac:dyDescent="0.4">
      <c r="B24" s="4249"/>
      <c r="C24" s="2831" t="s">
        <v>1790</v>
      </c>
      <c r="D24" s="2827" t="s">
        <v>1349</v>
      </c>
      <c r="E24" s="2814"/>
      <c r="F24" s="2814"/>
      <c r="G24" s="2813"/>
      <c r="H24" s="2811">
        <f t="shared" si="2"/>
        <v>0</v>
      </c>
      <c r="I24" s="2813">
        <f>'یادداشت 7 دارایییی اصلاحی'!J356</f>
        <v>658896863513</v>
      </c>
      <c r="J24" s="2813">
        <f>'يادداشت_-5موجودی_جنسی__(2)'!F61</f>
        <v>0</v>
      </c>
      <c r="K24" s="2813">
        <f>'پيش پرداخت سرمايه اي يادداشت 6'!H98</f>
        <v>0</v>
      </c>
      <c r="L24" s="2813">
        <f>'ياد 15  سايرهزينه '!I39</f>
        <v>11432000000</v>
      </c>
      <c r="M24" s="2813"/>
      <c r="N24" s="2814">
        <f t="shared" si="13"/>
        <v>12721409450</v>
      </c>
      <c r="O24" s="2813"/>
      <c r="P24" s="2813"/>
      <c r="Q24" s="2813"/>
      <c r="R24" s="2826">
        <f>-'يادداشت 1-1-10 حسابهاي پرداخخخ '!L53</f>
        <v>12721409450</v>
      </c>
      <c r="S24" s="2813"/>
      <c r="T24" s="2813"/>
      <c r="U24" s="2811">
        <f t="shared" si="3"/>
        <v>683050272963</v>
      </c>
      <c r="V24" s="2813">
        <f>'حفظ قدرت خرید'!L22</f>
        <v>-266462000000</v>
      </c>
      <c r="W24" s="2813">
        <v>0</v>
      </c>
      <c r="X24" s="2813"/>
      <c r="Y24" s="2813"/>
      <c r="Z24" s="2813"/>
      <c r="AA24" s="2813"/>
      <c r="AB24" s="2813">
        <f>-9550140601</f>
        <v>-9550140601</v>
      </c>
      <c r="AC24" s="2811">
        <f t="shared" si="4"/>
        <v>-407038132362</v>
      </c>
      <c r="AD24" s="2832"/>
      <c r="AE24" s="2811">
        <f t="shared" si="5"/>
        <v>-683050272963</v>
      </c>
      <c r="AF24" s="2811">
        <f t="shared" si="6"/>
        <v>-276012140601</v>
      </c>
      <c r="AG24" s="2812">
        <f t="shared" si="7"/>
        <v>407038132362</v>
      </c>
      <c r="AH24" s="2811">
        <f t="shared" si="8"/>
        <v>0</v>
      </c>
      <c r="AI24" s="2829"/>
      <c r="AJ24" s="2813">
        <v>4700000000000</v>
      </c>
      <c r="AK24" s="2813">
        <v>4700000000000</v>
      </c>
      <c r="AL24" s="2830"/>
      <c r="AM24" s="2813"/>
      <c r="AN24" s="2811">
        <f t="shared" si="9"/>
        <v>4700000000000</v>
      </c>
      <c r="AO24" s="2818"/>
      <c r="AP24" s="2818"/>
      <c r="AS24" s="2624"/>
      <c r="AT24" s="2624"/>
      <c r="AU24" s="2625"/>
      <c r="AV24" s="2818"/>
      <c r="AW24" s="2818"/>
      <c r="AX24" s="2818"/>
      <c r="AY24" s="2818"/>
      <c r="AZ24" s="2818"/>
      <c r="BA24" s="2818">
        <f t="shared" si="10"/>
        <v>0</v>
      </c>
      <c r="BB24" s="2818">
        <f t="shared" si="11"/>
        <v>0</v>
      </c>
      <c r="BF24" s="2800">
        <f t="shared" si="12"/>
        <v>0</v>
      </c>
    </row>
    <row r="25" spans="2:58" ht="90.6" customHeight="1" x14ac:dyDescent="0.2">
      <c r="B25" s="4249"/>
      <c r="C25" s="1833" t="s">
        <v>1378</v>
      </c>
      <c r="D25" s="2825" t="s">
        <v>144</v>
      </c>
      <c r="E25" s="2814">
        <f>'يادداشت 15سایر درآمد ها و انتقا'!P30</f>
        <v>0</v>
      </c>
      <c r="F25" s="2814"/>
      <c r="G25" s="2813"/>
      <c r="H25" s="2811">
        <f t="shared" si="2"/>
        <v>0</v>
      </c>
      <c r="I25" s="2813"/>
      <c r="J25" s="2813"/>
      <c r="K25" s="2813"/>
      <c r="L25" s="2813">
        <f>'ياد 15  سايرهزينه '!G10</f>
        <v>0</v>
      </c>
      <c r="M25" s="2813"/>
      <c r="N25" s="2814">
        <f t="shared" si="13"/>
        <v>0</v>
      </c>
      <c r="O25" s="2813"/>
      <c r="P25" s="2813"/>
      <c r="Q25" s="2813"/>
      <c r="R25" s="2826"/>
      <c r="S25" s="2813"/>
      <c r="T25" s="2813"/>
      <c r="U25" s="2811">
        <f t="shared" si="3"/>
        <v>0</v>
      </c>
      <c r="V25" s="2813"/>
      <c r="W25" s="2813"/>
      <c r="X25" s="2813"/>
      <c r="Y25" s="2813"/>
      <c r="Z25" s="2813"/>
      <c r="AA25" s="2813"/>
      <c r="AB25" s="2813"/>
      <c r="AC25" s="2811">
        <f t="shared" si="4"/>
        <v>0</v>
      </c>
      <c r="AD25" s="2813"/>
      <c r="AE25" s="2811">
        <f t="shared" si="5"/>
        <v>0</v>
      </c>
      <c r="AF25" s="2811">
        <f t="shared" si="6"/>
        <v>0</v>
      </c>
      <c r="AG25" s="2812">
        <f t="shared" si="7"/>
        <v>0</v>
      </c>
      <c r="AH25" s="2811">
        <f t="shared" si="8"/>
        <v>0</v>
      </c>
      <c r="AI25" s="2829"/>
      <c r="AJ25" s="2813">
        <v>29304937000000</v>
      </c>
      <c r="AK25" s="2813">
        <v>29304937000000</v>
      </c>
      <c r="AL25" s="2813">
        <v>29304937000000</v>
      </c>
      <c r="AM25" s="2813"/>
      <c r="AN25" s="2811">
        <f t="shared" si="9"/>
        <v>29304937000000</v>
      </c>
      <c r="AO25" s="2818"/>
      <c r="AP25" s="2818"/>
      <c r="AQ25" s="2818"/>
      <c r="AR25" s="2818"/>
      <c r="AS25" s="2818"/>
      <c r="AT25" s="2818"/>
      <c r="AU25" s="2818"/>
      <c r="AV25" s="2818"/>
      <c r="AW25" s="2818"/>
      <c r="AX25" s="2818"/>
      <c r="AY25" s="2818"/>
      <c r="AZ25" s="2818"/>
      <c r="BA25" s="2818"/>
      <c r="BB25" s="2818"/>
    </row>
    <row r="26" spans="2:58" ht="117.6" customHeight="1" x14ac:dyDescent="0.2">
      <c r="B26" s="4249"/>
      <c r="C26" s="2834" t="s">
        <v>2041</v>
      </c>
      <c r="D26" s="2835" t="s">
        <v>2040</v>
      </c>
      <c r="E26" s="2813">
        <f>'يادداشت 15سایر درآمد ها و انتقا'!P23</f>
        <v>1080000000000</v>
      </c>
      <c r="F26" s="2813"/>
      <c r="G26" s="2813"/>
      <c r="H26" s="2811">
        <f t="shared" si="2"/>
        <v>1080000000000</v>
      </c>
      <c r="I26" s="2813">
        <f>'یادداشت 7 دارایییی اصلاحی'!J392</f>
        <v>1129994964064</v>
      </c>
      <c r="J26" s="2813"/>
      <c r="K26" s="2813">
        <f>'پيش پرداخت سرمايه اي يادداشت 6'!H109</f>
        <v>55345042491</v>
      </c>
      <c r="L26" s="2813"/>
      <c r="M26" s="2813"/>
      <c r="N26" s="2814">
        <f t="shared" si="13"/>
        <v>1046520212060</v>
      </c>
      <c r="O26" s="2813"/>
      <c r="P26" s="2813"/>
      <c r="Q26" s="2813">
        <f>-'يادداشت 11 -سايربدهي_هاي_جاري'!I156</f>
        <v>34627178341</v>
      </c>
      <c r="R26" s="2826">
        <f>-'يادداشت 1-1-10 حسابهاي پرداخخخ '!L57</f>
        <v>1011893033719</v>
      </c>
      <c r="S26" s="2813"/>
      <c r="T26" s="2813"/>
      <c r="U26" s="2811">
        <f t="shared" si="3"/>
        <v>2231860218615</v>
      </c>
      <c r="V26" s="2813"/>
      <c r="W26" s="2813"/>
      <c r="X26" s="2813"/>
      <c r="Y26" s="2813"/>
      <c r="Z26" s="2813"/>
      <c r="AA26" s="2813"/>
      <c r="AB26" s="2813">
        <f>-48112237792</f>
        <v>-48112237792</v>
      </c>
      <c r="AC26" s="2811">
        <f t="shared" si="4"/>
        <v>-1186166469069</v>
      </c>
      <c r="AD26" s="2813"/>
      <c r="AE26" s="2811">
        <f t="shared" si="5"/>
        <v>-1234278706861</v>
      </c>
      <c r="AF26" s="2811">
        <f t="shared" si="6"/>
        <v>-48112237792</v>
      </c>
      <c r="AG26" s="2812">
        <f t="shared" si="7"/>
        <v>2183747980823</v>
      </c>
      <c r="AH26" s="2811">
        <f t="shared" si="8"/>
        <v>997581511754</v>
      </c>
      <c r="AI26" s="2829">
        <f>'ي_3_موجودي_نقد '!I185</f>
        <v>82418488246</v>
      </c>
      <c r="AJ26" s="2813">
        <v>1080000000000</v>
      </c>
      <c r="AK26" s="2813">
        <v>1080000000000</v>
      </c>
      <c r="AL26" s="2830"/>
      <c r="AM26" s="2813"/>
      <c r="AN26" s="2811">
        <f t="shared" si="9"/>
        <v>82418488246</v>
      </c>
      <c r="AO26" s="2818"/>
      <c r="AP26" s="2818"/>
      <c r="AQ26" s="2818"/>
      <c r="AR26" s="2818"/>
      <c r="AS26" s="2818"/>
      <c r="AT26" s="2818"/>
      <c r="AU26" s="2818"/>
      <c r="AV26" s="2818"/>
      <c r="AW26" s="2818"/>
      <c r="AX26" s="2818"/>
      <c r="AY26" s="2818"/>
      <c r="AZ26" s="2818"/>
      <c r="BA26" s="2818"/>
      <c r="BB26" s="2818"/>
    </row>
    <row r="27" spans="2:58" ht="136.15" customHeight="1" x14ac:dyDescent="0.4">
      <c r="B27" s="4249"/>
      <c r="C27" s="2836" t="s">
        <v>2143</v>
      </c>
      <c r="D27" s="2835" t="s">
        <v>2142</v>
      </c>
      <c r="E27" s="2813"/>
      <c r="F27" s="2813"/>
      <c r="G27" s="2813"/>
      <c r="H27" s="2811">
        <f t="shared" si="2"/>
        <v>0</v>
      </c>
      <c r="I27" s="2813">
        <f>'یادداشت 7 دارایییی اصلاحی'!J361</f>
        <v>69333000000</v>
      </c>
      <c r="J27" s="2813"/>
      <c r="K27" s="2813"/>
      <c r="L27" s="2813">
        <f>'ياد 15  سايرهزينه '!I40</f>
        <v>2909000000</v>
      </c>
      <c r="M27" s="2813"/>
      <c r="N27" s="2814">
        <f t="shared" si="13"/>
        <v>12288819521</v>
      </c>
      <c r="O27" s="2813"/>
      <c r="P27" s="2813"/>
      <c r="Q27" s="2813">
        <f>-'يادداشت 11 -سايربدهي_هاي_جاري'!I136</f>
        <v>12288819521</v>
      </c>
      <c r="R27" s="2826"/>
      <c r="S27" s="2813">
        <f>-'يادداشت 15سایر درآمد ها و انتقا'!N29</f>
        <v>12758000000</v>
      </c>
      <c r="T27" s="2813"/>
      <c r="U27" s="2811">
        <f t="shared" si="3"/>
        <v>97288819521</v>
      </c>
      <c r="V27" s="2813"/>
      <c r="W27" s="2813"/>
      <c r="X27" s="2813"/>
      <c r="Y27" s="2813" cm="1">
        <f t="array" ref="Y27:Z27">-'يادداشت 15سایر درآمد ها و انتقا'!H29:I29</f>
        <v>-30000000000</v>
      </c>
      <c r="Z27" s="2813">
        <v>0</v>
      </c>
      <c r="AA27" s="2813">
        <f>-'يادداشت 15سایر درآمد ها و انتقا'!K29</f>
        <v>-55000000000</v>
      </c>
      <c r="AB27" s="2813"/>
      <c r="AC27" s="2811">
        <f t="shared" si="4"/>
        <v>-12288819521</v>
      </c>
      <c r="AD27" s="2813"/>
      <c r="AE27" s="2811">
        <f>SUM(V27:AD27)</f>
        <v>-97288819521</v>
      </c>
      <c r="AF27" s="2811">
        <f>AA27+Y27+W27+V27+AB27+X27</f>
        <v>-85000000000</v>
      </c>
      <c r="AG27" s="2812">
        <f t="shared" si="7"/>
        <v>12288819521</v>
      </c>
      <c r="AH27" s="2811">
        <f t="shared" si="8"/>
        <v>0</v>
      </c>
      <c r="AI27" s="2829"/>
      <c r="AJ27" s="2813"/>
      <c r="AK27" s="2813"/>
      <c r="AL27" s="2830"/>
      <c r="AM27" s="2813"/>
      <c r="AN27" s="2811">
        <f>AK27-AH27</f>
        <v>0</v>
      </c>
      <c r="AO27" s="2818"/>
      <c r="AP27" s="2818"/>
      <c r="AQ27" s="2800"/>
      <c r="AR27" s="2800"/>
      <c r="AS27" s="2799"/>
      <c r="AT27" s="2799"/>
      <c r="AU27" s="2837"/>
      <c r="AV27" s="2818"/>
      <c r="AW27" s="2818"/>
      <c r="AX27" s="2818"/>
      <c r="AY27" s="2818"/>
      <c r="AZ27" s="2818"/>
      <c r="BA27" s="2818"/>
      <c r="BB27" s="2818"/>
    </row>
    <row r="28" spans="2:58" ht="90.6" customHeight="1" x14ac:dyDescent="0.2">
      <c r="B28" s="4249"/>
      <c r="C28" s="4252" t="s">
        <v>1293</v>
      </c>
      <c r="D28" s="4253"/>
      <c r="E28" s="2813">
        <f>SUM(E11:E27)</f>
        <v>9801019000000</v>
      </c>
      <c r="F28" s="2813">
        <f t="shared" ref="F28:AK28" si="14">SUM(F11:F27)</f>
        <v>0</v>
      </c>
      <c r="G28" s="2813">
        <f t="shared" si="14"/>
        <v>0</v>
      </c>
      <c r="H28" s="2813">
        <f t="shared" si="14"/>
        <v>9801019000000</v>
      </c>
      <c r="I28" s="2813">
        <f t="shared" si="14"/>
        <v>12209354702069</v>
      </c>
      <c r="J28" s="2813">
        <f t="shared" si="14"/>
        <v>551059121855</v>
      </c>
      <c r="K28" s="2813">
        <f t="shared" si="14"/>
        <v>1046463539935</v>
      </c>
      <c r="L28" s="2813">
        <f t="shared" si="14"/>
        <v>41423000000</v>
      </c>
      <c r="M28" s="2813">
        <f t="shared" si="14"/>
        <v>407727528710</v>
      </c>
      <c r="N28" s="2813">
        <f t="shared" si="14"/>
        <v>16261955375101</v>
      </c>
      <c r="O28" s="2813">
        <f t="shared" si="14"/>
        <v>0</v>
      </c>
      <c r="P28" s="2813">
        <f t="shared" si="14"/>
        <v>219789737</v>
      </c>
      <c r="Q28" s="2813">
        <f t="shared" si="14"/>
        <v>811426324962</v>
      </c>
      <c r="R28" s="2813">
        <f t="shared" si="14"/>
        <v>15450309260402</v>
      </c>
      <c r="S28" s="2813">
        <f t="shared" si="14"/>
        <v>339521000000</v>
      </c>
      <c r="T28" s="2813">
        <f t="shared" si="14"/>
        <v>0</v>
      </c>
      <c r="U28" s="2813">
        <f t="shared" si="14"/>
        <v>30857504267670</v>
      </c>
      <c r="V28" s="2813">
        <f t="shared" si="14"/>
        <v>-586345980000</v>
      </c>
      <c r="W28" s="2813">
        <f t="shared" si="14"/>
        <v>-1841710253640</v>
      </c>
      <c r="X28" s="2813">
        <f t="shared" si="14"/>
        <v>0</v>
      </c>
      <c r="Y28" s="2813">
        <f t="shared" si="14"/>
        <v>-209115000000</v>
      </c>
      <c r="Z28" s="2813">
        <f t="shared" si="14"/>
        <v>0</v>
      </c>
      <c r="AA28" s="2813">
        <f t="shared" si="14"/>
        <v>-1545042000000</v>
      </c>
      <c r="AB28" s="2813">
        <f t="shared" si="14"/>
        <v>-626025587377</v>
      </c>
      <c r="AC28" s="2813">
        <f t="shared" si="14"/>
        <v>-17472696768571</v>
      </c>
      <c r="AD28" s="2813">
        <f t="shared" si="14"/>
        <v>0</v>
      </c>
      <c r="AE28" s="2813">
        <f>SUM(AE11:AE27)</f>
        <v>-22280935589588</v>
      </c>
      <c r="AF28" s="2813">
        <f t="shared" si="14"/>
        <v>-4808238821017</v>
      </c>
      <c r="AG28" s="2813">
        <f t="shared" si="14"/>
        <v>26049265446653</v>
      </c>
      <c r="AH28" s="2813">
        <f t="shared" si="14"/>
        <v>8576568678082</v>
      </c>
      <c r="AI28" s="2813">
        <f t="shared" si="14"/>
        <v>1224450321918</v>
      </c>
      <c r="AJ28" s="2813">
        <f>SUM(AJ11:AJ27)</f>
        <v>46873812000000</v>
      </c>
      <c r="AK28" s="2813">
        <f t="shared" si="14"/>
        <v>47680529000000</v>
      </c>
      <c r="AL28" s="2813">
        <f t="shared" ref="AL28:AM28" si="15">SUM(AL11:AL27)</f>
        <v>33419337000000</v>
      </c>
      <c r="AM28" s="2813">
        <f t="shared" si="15"/>
        <v>0</v>
      </c>
      <c r="AN28" s="2811">
        <f t="shared" si="9"/>
        <v>39103960321918</v>
      </c>
      <c r="AO28" s="2818"/>
      <c r="AP28" s="2818"/>
      <c r="AQ28" s="2818"/>
      <c r="AR28" s="2818"/>
      <c r="AS28" s="2818"/>
      <c r="AT28" s="2818"/>
      <c r="AU28" s="2818"/>
      <c r="AV28" s="2818"/>
      <c r="AW28" s="2818"/>
      <c r="AX28" s="2818"/>
      <c r="AY28" s="2818"/>
      <c r="AZ28" s="2818"/>
      <c r="BA28" s="2818">
        <f t="shared" si="10"/>
        <v>8576568678082</v>
      </c>
      <c r="BB28" s="2818">
        <f t="shared" si="11"/>
        <v>0</v>
      </c>
      <c r="BD28" s="2800">
        <f t="shared" ref="BD28:BD37" si="16">U28+AE28+AI28</f>
        <v>9801019000000</v>
      </c>
      <c r="BE28" s="2800">
        <f t="shared" ref="BE28:BE37" si="17">E28-BD28</f>
        <v>0</v>
      </c>
      <c r="BF28" s="2800">
        <f t="shared" si="12"/>
        <v>-1224450321918</v>
      </c>
    </row>
    <row r="29" spans="2:58" ht="58.9" customHeight="1" x14ac:dyDescent="0.2">
      <c r="B29" s="4249"/>
      <c r="AO29" s="2818"/>
      <c r="AP29" s="2818"/>
      <c r="AQ29" s="2818"/>
      <c r="AR29" s="2818"/>
      <c r="AS29" s="2818"/>
      <c r="AT29" s="2818"/>
      <c r="AU29" s="2818"/>
      <c r="AV29" s="2818"/>
      <c r="AW29" s="2818"/>
      <c r="AX29" s="2818"/>
      <c r="AY29" s="2818"/>
      <c r="AZ29" s="2818"/>
      <c r="BA29" s="2818">
        <f>AE42+U42</f>
        <v>0</v>
      </c>
      <c r="BB29" s="2818">
        <f>AH42-BA29</f>
        <v>0</v>
      </c>
      <c r="BD29" s="2800">
        <f>U42+AE42+AI42</f>
        <v>0</v>
      </c>
      <c r="BE29" s="2800">
        <f>E42-BD29</f>
        <v>0</v>
      </c>
      <c r="BF29" s="2800">
        <f>-AI42</f>
        <v>0</v>
      </c>
    </row>
    <row r="30" spans="2:58" ht="122.45" hidden="1" customHeight="1" x14ac:dyDescent="0.2">
      <c r="B30" s="4249"/>
      <c r="AO30" s="2818"/>
      <c r="AP30" s="2818"/>
      <c r="AQ30" s="2818"/>
      <c r="AR30" s="2818"/>
      <c r="AS30" s="2818"/>
      <c r="AT30" s="2818"/>
      <c r="AU30" s="2818"/>
      <c r="AV30" s="2818"/>
      <c r="AW30" s="2818"/>
      <c r="AX30" s="2818"/>
      <c r="AY30" s="2818"/>
      <c r="AZ30" s="2818"/>
      <c r="BA30" s="2818">
        <f>AE44+U44</f>
        <v>0</v>
      </c>
      <c r="BB30" s="2818">
        <f>AH44-BA30</f>
        <v>0</v>
      </c>
      <c r="BD30" s="2800">
        <f>U44+AE44+AI44</f>
        <v>0</v>
      </c>
      <c r="BE30" s="2800">
        <f>E44-BD30</f>
        <v>0</v>
      </c>
      <c r="BF30" s="2800">
        <f>-AI44</f>
        <v>0</v>
      </c>
    </row>
    <row r="31" spans="2:58" ht="64.150000000000006" customHeight="1" x14ac:dyDescent="0.2">
      <c r="B31" s="4248">
        <v>110</v>
      </c>
      <c r="C31" s="4248"/>
      <c r="D31" s="4248"/>
      <c r="E31" s="4248"/>
      <c r="F31" s="4248"/>
      <c r="G31" s="4248"/>
      <c r="H31" s="4248"/>
      <c r="I31" s="4248"/>
      <c r="J31" s="4248"/>
      <c r="K31" s="4248"/>
      <c r="L31" s="4248"/>
      <c r="M31" s="4248"/>
      <c r="N31" s="4248"/>
      <c r="O31" s="4248"/>
      <c r="P31" s="4248"/>
      <c r="Q31" s="4248"/>
      <c r="R31" s="4248"/>
      <c r="S31" s="4248"/>
      <c r="T31" s="4248"/>
      <c r="U31" s="4248"/>
      <c r="V31" s="4248"/>
      <c r="W31" s="4248"/>
      <c r="X31" s="4248"/>
      <c r="Y31" s="4248"/>
      <c r="Z31" s="4248"/>
      <c r="AA31" s="4248"/>
      <c r="AB31" s="4248"/>
      <c r="AC31" s="4248"/>
      <c r="AD31" s="4248"/>
      <c r="AE31" s="4248"/>
      <c r="AF31" s="4248"/>
      <c r="AG31" s="4248"/>
      <c r="AH31" s="4248"/>
      <c r="AI31" s="4248"/>
      <c r="AJ31" s="4248"/>
      <c r="AK31" s="4248"/>
      <c r="AL31" s="4248"/>
      <c r="AM31" s="4248"/>
      <c r="AN31" s="4248"/>
      <c r="AO31" s="2953"/>
      <c r="AP31" s="2953"/>
      <c r="AQ31" s="2953"/>
      <c r="AR31" s="2953"/>
      <c r="AS31" s="2953"/>
      <c r="AT31" s="2953"/>
      <c r="AU31" s="2953"/>
      <c r="AV31" s="2953"/>
      <c r="AW31" s="2953"/>
      <c r="AX31" s="2953"/>
      <c r="AY31" s="2953"/>
      <c r="AZ31" s="2953"/>
      <c r="BA31" s="2818"/>
      <c r="BB31" s="2818">
        <f t="shared" si="11"/>
        <v>0</v>
      </c>
      <c r="BD31" s="2800">
        <f t="shared" si="16"/>
        <v>0</v>
      </c>
      <c r="BE31" s="2800">
        <f t="shared" si="17"/>
        <v>0</v>
      </c>
      <c r="BF31" s="2800">
        <f t="shared" si="12"/>
        <v>0</v>
      </c>
    </row>
    <row r="32" spans="2:58" ht="81.599999999999994" customHeight="1" x14ac:dyDescent="0.2">
      <c r="B32" s="2849"/>
      <c r="C32" s="4219" t="s">
        <v>24</v>
      </c>
      <c r="D32" s="4219"/>
      <c r="E32" s="4219"/>
      <c r="F32" s="4219"/>
      <c r="G32" s="4219"/>
      <c r="H32" s="4219"/>
      <c r="I32" s="4219"/>
      <c r="J32" s="4219"/>
      <c r="K32" s="4219"/>
      <c r="L32" s="4219"/>
      <c r="M32" s="4219"/>
      <c r="N32" s="4219"/>
      <c r="O32" s="4219"/>
      <c r="P32" s="4219"/>
      <c r="Q32" s="4219"/>
      <c r="R32" s="4219"/>
      <c r="S32" s="4219"/>
      <c r="T32" s="4219"/>
      <c r="U32" s="4219"/>
      <c r="V32" s="4219"/>
      <c r="W32" s="4219"/>
      <c r="X32" s="4219"/>
      <c r="Y32" s="4219"/>
      <c r="Z32" s="4219"/>
      <c r="AA32" s="4219"/>
      <c r="AB32" s="4219"/>
      <c r="AC32" s="4219"/>
      <c r="AD32" s="4219"/>
      <c r="AE32" s="4219"/>
      <c r="AF32" s="4219"/>
      <c r="AG32" s="4219"/>
      <c r="AH32" s="4219"/>
      <c r="AI32" s="4219"/>
      <c r="AJ32" s="4219"/>
      <c r="AK32" s="4219"/>
      <c r="AL32" s="4219"/>
      <c r="AM32" s="4219"/>
      <c r="AN32" s="4219"/>
      <c r="AO32" s="2950"/>
      <c r="AP32" s="2950"/>
      <c r="AQ32" s="2950"/>
      <c r="AR32" s="2950"/>
      <c r="AS32" s="2950"/>
      <c r="AT32" s="2950"/>
      <c r="AU32" s="2950"/>
      <c r="AV32" s="2950"/>
      <c r="AW32" s="2950"/>
      <c r="AX32" s="2950"/>
      <c r="AY32" s="2950"/>
      <c r="AZ32" s="2950"/>
      <c r="BA32" s="2818">
        <f t="shared" si="10"/>
        <v>0</v>
      </c>
      <c r="BB32" s="2818">
        <f t="shared" si="11"/>
        <v>0</v>
      </c>
      <c r="BD32" s="2800">
        <f t="shared" si="16"/>
        <v>0</v>
      </c>
      <c r="BE32" s="2800">
        <f t="shared" si="17"/>
        <v>0</v>
      </c>
      <c r="BF32" s="2800">
        <f t="shared" si="12"/>
        <v>0</v>
      </c>
    </row>
    <row r="33" spans="2:58" ht="60.6" customHeight="1" x14ac:dyDescent="0.2">
      <c r="B33" s="2849"/>
      <c r="C33" s="4219" t="s">
        <v>51</v>
      </c>
      <c r="D33" s="4219"/>
      <c r="E33" s="4219"/>
      <c r="F33" s="4219"/>
      <c r="G33" s="4219"/>
      <c r="H33" s="4219"/>
      <c r="I33" s="4219"/>
      <c r="J33" s="4219"/>
      <c r="K33" s="4219"/>
      <c r="L33" s="4219"/>
      <c r="M33" s="4219"/>
      <c r="N33" s="4219"/>
      <c r="O33" s="4219"/>
      <c r="P33" s="4219"/>
      <c r="Q33" s="4219"/>
      <c r="R33" s="4219"/>
      <c r="S33" s="4219"/>
      <c r="T33" s="4219"/>
      <c r="U33" s="4219"/>
      <c r="V33" s="4219"/>
      <c r="W33" s="4219"/>
      <c r="X33" s="4219"/>
      <c r="Y33" s="4219"/>
      <c r="Z33" s="4219"/>
      <c r="AA33" s="4219"/>
      <c r="AB33" s="4219"/>
      <c r="AC33" s="4219"/>
      <c r="AD33" s="4219"/>
      <c r="AE33" s="4219"/>
      <c r="AF33" s="4219"/>
      <c r="AG33" s="4219"/>
      <c r="AH33" s="4219"/>
      <c r="AI33" s="4219"/>
      <c r="AJ33" s="4219"/>
      <c r="AK33" s="4219"/>
      <c r="AL33" s="4219"/>
      <c r="AM33" s="4219"/>
      <c r="AN33" s="4219"/>
      <c r="AO33" s="2950"/>
      <c r="AP33" s="2950"/>
      <c r="AQ33" s="2950"/>
      <c r="AR33" s="2950"/>
      <c r="AS33" s="2950"/>
      <c r="AT33" s="2950"/>
      <c r="AU33" s="2950"/>
      <c r="AV33" s="2950"/>
      <c r="AW33" s="2950"/>
      <c r="AX33" s="2950"/>
      <c r="AY33" s="2950"/>
      <c r="AZ33" s="2950"/>
      <c r="BA33" s="2818">
        <f t="shared" si="10"/>
        <v>0</v>
      </c>
      <c r="BB33" s="2818">
        <f t="shared" si="11"/>
        <v>0</v>
      </c>
      <c r="BD33" s="2800">
        <f t="shared" si="16"/>
        <v>0</v>
      </c>
      <c r="BE33" s="2800">
        <f t="shared" si="17"/>
        <v>0</v>
      </c>
      <c r="BF33" s="2800">
        <f t="shared" si="12"/>
        <v>0</v>
      </c>
    </row>
    <row r="34" spans="2:58" ht="60.6" customHeight="1" x14ac:dyDescent="0.2">
      <c r="B34" s="2849"/>
      <c r="C34" s="4219" t="s">
        <v>337</v>
      </c>
      <c r="D34" s="4219"/>
      <c r="E34" s="4219"/>
      <c r="F34" s="4219"/>
      <c r="G34" s="4219"/>
      <c r="H34" s="4219"/>
      <c r="I34" s="4219"/>
      <c r="J34" s="4219"/>
      <c r="K34" s="4219"/>
      <c r="L34" s="4219"/>
      <c r="M34" s="4219"/>
      <c r="N34" s="4219"/>
      <c r="O34" s="4219"/>
      <c r="P34" s="4219"/>
      <c r="Q34" s="4219"/>
      <c r="R34" s="4219"/>
      <c r="S34" s="4219"/>
      <c r="T34" s="4219"/>
      <c r="U34" s="4219"/>
      <c r="V34" s="4219"/>
      <c r="W34" s="4219"/>
      <c r="X34" s="4219"/>
      <c r="Y34" s="4219"/>
      <c r="Z34" s="4219"/>
      <c r="AA34" s="4219"/>
      <c r="AB34" s="4219"/>
      <c r="AC34" s="4219"/>
      <c r="AD34" s="4219"/>
      <c r="AE34" s="4219"/>
      <c r="AF34" s="4219"/>
      <c r="AG34" s="4219"/>
      <c r="AH34" s="4219"/>
      <c r="AI34" s="4219"/>
      <c r="AJ34" s="4219"/>
      <c r="AK34" s="4219"/>
      <c r="AL34" s="4219"/>
      <c r="AM34" s="4219"/>
      <c r="AN34" s="4219"/>
      <c r="AO34" s="2950"/>
      <c r="AP34" s="2950"/>
      <c r="AQ34" s="2950"/>
      <c r="AR34" s="2950"/>
      <c r="AS34" s="2950"/>
      <c r="AT34" s="2950"/>
      <c r="AU34" s="2950"/>
      <c r="AV34" s="2950"/>
      <c r="AW34" s="2950"/>
      <c r="AX34" s="2950"/>
      <c r="AY34" s="2950"/>
      <c r="AZ34" s="2950"/>
      <c r="BA34" s="2818">
        <f t="shared" si="10"/>
        <v>0</v>
      </c>
      <c r="BB34" s="2818">
        <f t="shared" si="11"/>
        <v>0</v>
      </c>
      <c r="BD34" s="2800">
        <f t="shared" si="16"/>
        <v>0</v>
      </c>
      <c r="BE34" s="2800">
        <f t="shared" si="17"/>
        <v>0</v>
      </c>
      <c r="BF34" s="2800">
        <f t="shared" si="12"/>
        <v>0</v>
      </c>
    </row>
    <row r="35" spans="2:58" ht="60.6" customHeight="1" x14ac:dyDescent="0.2">
      <c r="B35" s="2849"/>
      <c r="C35" s="4219" t="s">
        <v>1992</v>
      </c>
      <c r="D35" s="4219"/>
      <c r="E35" s="4219"/>
      <c r="F35" s="4219"/>
      <c r="G35" s="4219"/>
      <c r="H35" s="4219"/>
      <c r="I35" s="4219"/>
      <c r="J35" s="4219"/>
      <c r="K35" s="4219"/>
      <c r="L35" s="4219"/>
      <c r="M35" s="4219"/>
      <c r="N35" s="4219"/>
      <c r="O35" s="4219"/>
      <c r="P35" s="4219"/>
      <c r="Q35" s="4219"/>
      <c r="R35" s="4219"/>
      <c r="S35" s="4219"/>
      <c r="T35" s="4219"/>
      <c r="U35" s="4219"/>
      <c r="V35" s="4219"/>
      <c r="W35" s="4219"/>
      <c r="X35" s="4219"/>
      <c r="Y35" s="4219"/>
      <c r="Z35" s="4219"/>
      <c r="AA35" s="4219"/>
      <c r="AB35" s="4219"/>
      <c r="AC35" s="4219"/>
      <c r="AD35" s="4219"/>
      <c r="AE35" s="4219"/>
      <c r="AF35" s="4219"/>
      <c r="AG35" s="4219"/>
      <c r="AH35" s="4219"/>
      <c r="AI35" s="4219"/>
      <c r="AJ35" s="4219"/>
      <c r="AK35" s="4219"/>
      <c r="AL35" s="4219"/>
      <c r="AM35" s="4219"/>
      <c r="AN35" s="4219"/>
      <c r="AO35" s="2950"/>
      <c r="AP35" s="2950"/>
      <c r="AQ35" s="2950"/>
      <c r="AR35" s="2950"/>
      <c r="AS35" s="2950"/>
      <c r="AT35" s="2950"/>
      <c r="AU35" s="2950"/>
      <c r="AV35" s="2950"/>
      <c r="AW35" s="2950"/>
      <c r="AX35" s="2950"/>
      <c r="AY35" s="2950"/>
      <c r="AZ35" s="2950"/>
      <c r="BA35" s="2818">
        <f t="shared" si="10"/>
        <v>0</v>
      </c>
      <c r="BB35" s="2818">
        <f t="shared" si="11"/>
        <v>0</v>
      </c>
      <c r="BD35" s="2800">
        <f t="shared" si="16"/>
        <v>0</v>
      </c>
      <c r="BE35" s="2800">
        <f t="shared" si="17"/>
        <v>0</v>
      </c>
      <c r="BF35" s="2800">
        <f t="shared" si="12"/>
        <v>0</v>
      </c>
    </row>
    <row r="36" spans="2:58" ht="49.15" customHeight="1" x14ac:dyDescent="0.2">
      <c r="B36" s="2849"/>
      <c r="C36" s="4220" t="s">
        <v>1850</v>
      </c>
      <c r="D36" s="4220"/>
      <c r="E36" s="4220"/>
      <c r="F36" s="4220"/>
      <c r="G36" s="4220"/>
      <c r="H36" s="4220"/>
      <c r="I36" s="4220"/>
      <c r="J36" s="4220"/>
      <c r="K36" s="4220"/>
      <c r="L36" s="4220"/>
      <c r="M36" s="4220"/>
      <c r="N36" s="4220"/>
      <c r="O36" s="4220"/>
      <c r="P36" s="4220"/>
      <c r="Q36" s="4220"/>
      <c r="R36" s="4220"/>
      <c r="S36" s="4220"/>
      <c r="T36" s="4220"/>
      <c r="U36" s="4220"/>
      <c r="V36" s="4220"/>
      <c r="W36" s="4220"/>
      <c r="X36" s="4220"/>
      <c r="Y36" s="4220"/>
      <c r="Z36" s="2802"/>
      <c r="AA36" s="2802"/>
      <c r="AB36" s="2802"/>
      <c r="AC36" s="2802"/>
      <c r="AD36" s="2802"/>
      <c r="AE36" s="2802"/>
      <c r="AF36" s="2802"/>
      <c r="AG36" s="2802"/>
      <c r="AH36" s="2802"/>
      <c r="AI36" s="2802"/>
      <c r="AJ36" s="2802"/>
      <c r="AK36" s="2802"/>
      <c r="AL36" s="2802"/>
      <c r="AM36" s="2802"/>
      <c r="AN36" s="2802"/>
      <c r="AO36" s="2802"/>
      <c r="AP36" s="2802"/>
      <c r="AQ36" s="2802"/>
      <c r="AR36" s="2802"/>
      <c r="AS36" s="2802"/>
      <c r="AT36" s="2802"/>
      <c r="AU36" s="2802"/>
      <c r="AV36" s="2802"/>
      <c r="AW36" s="2802"/>
      <c r="AX36" s="2802"/>
      <c r="AY36" s="2802"/>
      <c r="AZ36" s="2802"/>
      <c r="BA36" s="2818">
        <f t="shared" si="10"/>
        <v>0</v>
      </c>
      <c r="BB36" s="2818">
        <f t="shared" si="11"/>
        <v>0</v>
      </c>
      <c r="BD36" s="2800">
        <f t="shared" si="16"/>
        <v>0</v>
      </c>
      <c r="BE36" s="2800">
        <f t="shared" si="17"/>
        <v>0</v>
      </c>
      <c r="BF36" s="2800">
        <f t="shared" si="12"/>
        <v>0</v>
      </c>
    </row>
    <row r="37" spans="2:58" ht="49.15" customHeight="1" x14ac:dyDescent="0.2">
      <c r="B37" s="2849"/>
      <c r="C37" s="2803"/>
      <c r="D37" s="2804"/>
      <c r="E37" s="2803"/>
      <c r="F37" s="2803"/>
      <c r="G37" s="2803"/>
      <c r="H37" s="2803"/>
      <c r="I37" s="2803"/>
      <c r="J37" s="2803"/>
      <c r="K37" s="2803"/>
      <c r="L37" s="2803"/>
      <c r="M37" s="2803"/>
      <c r="N37" s="2803"/>
      <c r="O37" s="2803"/>
      <c r="P37" s="2803"/>
      <c r="Q37" s="2803"/>
      <c r="R37" s="2803"/>
      <c r="S37" s="2803"/>
      <c r="T37" s="2803"/>
      <c r="U37" s="2803"/>
      <c r="V37" s="2803"/>
      <c r="W37" s="2803"/>
      <c r="X37" s="2803"/>
      <c r="Y37" s="2803"/>
      <c r="Z37" s="2803"/>
      <c r="AA37" s="2803"/>
      <c r="AB37" s="2803"/>
      <c r="AC37" s="2803"/>
      <c r="AD37" s="2803"/>
      <c r="AE37" s="2803"/>
      <c r="AF37" s="2803"/>
      <c r="AG37" s="2803"/>
      <c r="AH37" s="2803"/>
      <c r="AI37" s="2803"/>
      <c r="AJ37" s="2803"/>
      <c r="AK37" s="2803"/>
      <c r="AL37" s="2803"/>
      <c r="AM37" s="4232" t="s">
        <v>523</v>
      </c>
      <c r="AN37" s="4232"/>
      <c r="AO37" s="2952"/>
      <c r="AP37" s="2952"/>
      <c r="AQ37" s="2952"/>
      <c r="AR37" s="2952"/>
      <c r="AS37" s="2952"/>
      <c r="AT37" s="2952"/>
      <c r="AU37" s="2952"/>
      <c r="AV37" s="2952"/>
      <c r="AW37" s="2952"/>
      <c r="AX37" s="2952"/>
      <c r="AY37" s="2952"/>
      <c r="AZ37" s="2952"/>
      <c r="BA37" s="2818">
        <f t="shared" si="10"/>
        <v>0</v>
      </c>
      <c r="BB37" s="2818">
        <f t="shared" si="11"/>
        <v>0</v>
      </c>
      <c r="BD37" s="2800">
        <f t="shared" si="16"/>
        <v>0</v>
      </c>
      <c r="BE37" s="2800">
        <f t="shared" si="17"/>
        <v>0</v>
      </c>
      <c r="BF37" s="2800">
        <f t="shared" si="12"/>
        <v>0</v>
      </c>
    </row>
    <row r="38" spans="2:58" ht="110.45" customHeight="1" x14ac:dyDescent="0.2">
      <c r="B38" s="4222" t="s">
        <v>419</v>
      </c>
      <c r="C38" s="4233" t="s">
        <v>196</v>
      </c>
      <c r="D38" s="4234" t="s">
        <v>197</v>
      </c>
      <c r="E38" s="4223" t="s">
        <v>2017</v>
      </c>
      <c r="F38" s="4223"/>
      <c r="G38" s="4223"/>
      <c r="H38" s="4235"/>
      <c r="I38" s="4233" t="s">
        <v>505</v>
      </c>
      <c r="J38" s="4233"/>
      <c r="K38" s="4233"/>
      <c r="L38" s="4233"/>
      <c r="M38" s="4233"/>
      <c r="N38" s="4233"/>
      <c r="O38" s="4233"/>
      <c r="P38" s="4233"/>
      <c r="Q38" s="4233"/>
      <c r="R38" s="4233"/>
      <c r="S38" s="4233"/>
      <c r="T38" s="4233"/>
      <c r="U38" s="4233"/>
      <c r="V38" s="4233" t="s">
        <v>900</v>
      </c>
      <c r="W38" s="4233"/>
      <c r="X38" s="4233"/>
      <c r="Y38" s="4233"/>
      <c r="Z38" s="4233"/>
      <c r="AA38" s="4233"/>
      <c r="AB38" s="4233"/>
      <c r="AC38" s="4233"/>
      <c r="AD38" s="4233"/>
      <c r="AE38" s="4233"/>
      <c r="AF38" s="2805"/>
      <c r="AG38" s="4223" t="s">
        <v>526</v>
      </c>
      <c r="AH38" s="4223" t="s">
        <v>518</v>
      </c>
      <c r="AI38" s="4223" t="s">
        <v>2021</v>
      </c>
      <c r="AJ38" s="4223" t="s">
        <v>527</v>
      </c>
      <c r="AK38" s="4223" t="s">
        <v>506</v>
      </c>
      <c r="AL38" s="2806"/>
      <c r="AM38" s="4223" t="s">
        <v>507</v>
      </c>
      <c r="AN38" s="4223"/>
      <c r="AO38" s="2807"/>
      <c r="AP38" s="2807"/>
      <c r="AQ38" s="2807"/>
      <c r="AR38" s="2807"/>
      <c r="AS38" s="2807"/>
      <c r="AT38" s="2807"/>
      <c r="AU38" s="2807"/>
      <c r="AV38" s="2807"/>
      <c r="AW38" s="2807"/>
      <c r="AX38" s="2807"/>
      <c r="AY38" s="2807"/>
      <c r="AZ38" s="2807"/>
      <c r="BA38" s="2818">
        <f t="shared" si="10"/>
        <v>0</v>
      </c>
      <c r="BB38" s="2818" t="e">
        <f t="shared" si="11"/>
        <v>#VALUE!</v>
      </c>
      <c r="BF38" s="2800" t="e">
        <f t="shared" si="12"/>
        <v>#VALUE!</v>
      </c>
    </row>
    <row r="39" spans="2:58" ht="348" customHeight="1" x14ac:dyDescent="0.2">
      <c r="B39" s="4222"/>
      <c r="C39" s="4233"/>
      <c r="D39" s="4234"/>
      <c r="E39" s="2951" t="s">
        <v>1915</v>
      </c>
      <c r="F39" s="2951" t="s">
        <v>508</v>
      </c>
      <c r="G39" s="2951" t="s">
        <v>1919</v>
      </c>
      <c r="H39" s="2951" t="s">
        <v>510</v>
      </c>
      <c r="I39" s="1438" t="s">
        <v>511</v>
      </c>
      <c r="J39" s="1438" t="s">
        <v>314</v>
      </c>
      <c r="K39" s="1438" t="s">
        <v>920</v>
      </c>
      <c r="L39" s="1438" t="s">
        <v>512</v>
      </c>
      <c r="M39" s="2808" t="s">
        <v>975</v>
      </c>
      <c r="N39" s="1438" t="s">
        <v>1104</v>
      </c>
      <c r="O39" s="2808" t="s">
        <v>975</v>
      </c>
      <c r="P39" s="2808" t="s">
        <v>988</v>
      </c>
      <c r="Q39" s="2808" t="s">
        <v>974</v>
      </c>
      <c r="R39" s="1438" t="s">
        <v>533</v>
      </c>
      <c r="S39" s="1438" t="s">
        <v>1180</v>
      </c>
      <c r="T39" s="2808" t="s">
        <v>1339</v>
      </c>
      <c r="U39" s="1438" t="s">
        <v>27</v>
      </c>
      <c r="V39" s="1438" t="s">
        <v>2018</v>
      </c>
      <c r="W39" s="1438" t="s">
        <v>520</v>
      </c>
      <c r="X39" s="2951" t="s">
        <v>1960</v>
      </c>
      <c r="Y39" s="1438" t="s">
        <v>2019</v>
      </c>
      <c r="Z39" s="1438" t="s">
        <v>509</v>
      </c>
      <c r="AA39" s="1438" t="s">
        <v>2020</v>
      </c>
      <c r="AB39" s="2808" t="s">
        <v>936</v>
      </c>
      <c r="AC39" s="2808" t="s">
        <v>1070</v>
      </c>
      <c r="AD39" s="2808" t="s">
        <v>1339</v>
      </c>
      <c r="AE39" s="1438" t="s">
        <v>27</v>
      </c>
      <c r="AF39" s="2951" t="s">
        <v>534</v>
      </c>
      <c r="AG39" s="4223"/>
      <c r="AH39" s="4223"/>
      <c r="AI39" s="4236"/>
      <c r="AJ39" s="4223"/>
      <c r="AK39" s="4223"/>
      <c r="AL39" s="2806"/>
      <c r="AM39" s="2951" t="s">
        <v>513</v>
      </c>
      <c r="AN39" s="2951" t="s">
        <v>514</v>
      </c>
      <c r="AO39" s="2807"/>
      <c r="AP39" s="2807"/>
      <c r="AQ39" s="2807"/>
      <c r="AR39" s="2807"/>
      <c r="AS39" s="2807"/>
      <c r="AT39" s="2807"/>
      <c r="AU39" s="2807"/>
      <c r="AV39" s="2807"/>
      <c r="AW39" s="2807"/>
      <c r="AX39" s="2807"/>
      <c r="AY39" s="2807"/>
      <c r="AZ39" s="2807"/>
      <c r="BA39" s="2818" t="e">
        <f t="shared" si="10"/>
        <v>#VALUE!</v>
      </c>
      <c r="BB39" s="2818" t="e">
        <f t="shared" si="11"/>
        <v>#VALUE!</v>
      </c>
      <c r="BF39" s="2800">
        <f t="shared" si="12"/>
        <v>0</v>
      </c>
    </row>
    <row r="40" spans="2:58" ht="2.4500000000000002" hidden="1" customHeight="1" x14ac:dyDescent="0.2">
      <c r="B40" s="4249" t="s">
        <v>2232</v>
      </c>
      <c r="C40" s="2852">
        <v>1307002000</v>
      </c>
      <c r="D40" s="2853" t="s">
        <v>441</v>
      </c>
      <c r="E40" s="2816"/>
      <c r="F40" s="2816"/>
      <c r="G40" s="2811"/>
      <c r="H40" s="2811">
        <f t="shared" ref="H40:H52" si="18">SUM(E40:G40)</f>
        <v>0</v>
      </c>
      <c r="I40" s="2811"/>
      <c r="J40" s="2811"/>
      <c r="K40" s="2811"/>
      <c r="L40" s="2812"/>
      <c r="M40" s="2813"/>
      <c r="N40" s="2814">
        <f>R40+Q40</f>
        <v>0</v>
      </c>
      <c r="O40" s="2811"/>
      <c r="P40" s="2811"/>
      <c r="Q40" s="2811"/>
      <c r="R40" s="2811"/>
      <c r="S40" s="2823"/>
      <c r="T40" s="2823"/>
      <c r="U40" s="2823">
        <f>N40+L40+K40+J40+I40+M40</f>
        <v>0</v>
      </c>
      <c r="V40" s="2811"/>
      <c r="W40" s="2811">
        <v>0</v>
      </c>
      <c r="X40" s="2811"/>
      <c r="Y40" s="2811"/>
      <c r="Z40" s="2811"/>
      <c r="AA40" s="2811"/>
      <c r="AB40" s="2811"/>
      <c r="AC40" s="2811">
        <f t="shared" ref="AC40:AC53" si="19">(H40-AI40)-AG40</f>
        <v>0</v>
      </c>
      <c r="AD40" s="2811"/>
      <c r="AE40" s="2811">
        <f>SUM(V40:AC40)</f>
        <v>0</v>
      </c>
      <c r="AF40" s="2811">
        <f t="shared" ref="AF40:AF53" si="20">AA40+Y40+W40+V40+AB40+X40</f>
        <v>0</v>
      </c>
      <c r="AG40" s="2812">
        <f t="shared" ref="AG40:AG52" si="21">U40+AF40</f>
        <v>0</v>
      </c>
      <c r="AH40" s="2811">
        <f t="shared" ref="AH40:AH53" si="22">H40-AI40</f>
        <v>0</v>
      </c>
      <c r="AI40" s="2815"/>
      <c r="AJ40" s="2816"/>
      <c r="AK40" s="2811"/>
      <c r="AL40" s="2817"/>
      <c r="AM40" s="2811"/>
      <c r="AN40" s="2811">
        <f t="shared" ref="AN40:AN53" si="23">AK40-AH40</f>
        <v>0</v>
      </c>
      <c r="AO40" s="2818"/>
      <c r="AP40" s="2818"/>
      <c r="AQ40" s="2818"/>
      <c r="AR40" s="2818"/>
      <c r="AS40" s="2818"/>
      <c r="AT40" s="2818"/>
      <c r="AU40" s="2818"/>
      <c r="AV40" s="2818"/>
      <c r="AW40" s="2818"/>
      <c r="AX40" s="2818"/>
      <c r="AY40" s="2818"/>
      <c r="AZ40" s="2818"/>
      <c r="BA40" s="2818">
        <f t="shared" si="10"/>
        <v>0</v>
      </c>
      <c r="BB40" s="2818">
        <f t="shared" si="11"/>
        <v>0</v>
      </c>
      <c r="BD40" s="2800">
        <f t="shared" ref="BD40:BD74" si="24">U40+AE40+AI40</f>
        <v>0</v>
      </c>
      <c r="BE40" s="2800">
        <f t="shared" ref="BE40:BE74" si="25">E40-BD40</f>
        <v>0</v>
      </c>
      <c r="BF40" s="2800">
        <f t="shared" si="12"/>
        <v>0</v>
      </c>
    </row>
    <row r="41" spans="2:58" ht="113.45" hidden="1" customHeight="1" x14ac:dyDescent="0.2">
      <c r="B41" s="4249"/>
      <c r="C41" s="2854" t="s">
        <v>81</v>
      </c>
      <c r="D41" s="2821" t="s">
        <v>82</v>
      </c>
      <c r="E41" s="2814"/>
      <c r="F41" s="2814"/>
      <c r="G41" s="2813"/>
      <c r="H41" s="2811">
        <f t="shared" si="18"/>
        <v>0</v>
      </c>
      <c r="I41" s="2813"/>
      <c r="J41" s="2813"/>
      <c r="K41" s="2813"/>
      <c r="L41" s="2813"/>
      <c r="M41" s="2813"/>
      <c r="N41" s="2814">
        <f>R41+Q41</f>
        <v>0</v>
      </c>
      <c r="O41" s="2813"/>
      <c r="P41" s="2813"/>
      <c r="Q41" s="2813"/>
      <c r="R41" s="2813"/>
      <c r="S41" s="2813"/>
      <c r="T41" s="2813"/>
      <c r="U41" s="2813">
        <f t="shared" ref="U41:U53" si="26">N41+L41+K41+J41+I41+M41+S41</f>
        <v>0</v>
      </c>
      <c r="V41" s="2814"/>
      <c r="W41" s="2813">
        <v>0</v>
      </c>
      <c r="X41" s="2813"/>
      <c r="Y41" s="2813"/>
      <c r="Z41" s="2813"/>
      <c r="AA41" s="2813"/>
      <c r="AB41" s="2813"/>
      <c r="AC41" s="2811">
        <f t="shared" si="19"/>
        <v>0</v>
      </c>
      <c r="AD41" s="2811"/>
      <c r="AE41" s="2811">
        <f t="shared" ref="AE41:AE52" si="27">SUM(V41:AD41)</f>
        <v>0</v>
      </c>
      <c r="AF41" s="2811">
        <f t="shared" si="20"/>
        <v>0</v>
      </c>
      <c r="AG41" s="2812">
        <f t="shared" si="21"/>
        <v>0</v>
      </c>
      <c r="AH41" s="2811">
        <f t="shared" si="22"/>
        <v>0</v>
      </c>
      <c r="AI41" s="2815"/>
      <c r="AJ41" s="2813"/>
      <c r="AK41" s="2813"/>
      <c r="AL41" s="2815"/>
      <c r="AM41" s="2813"/>
      <c r="AN41" s="2811">
        <f t="shared" si="23"/>
        <v>0</v>
      </c>
      <c r="AO41" s="2818"/>
      <c r="AP41" s="2818"/>
      <c r="AQ41" s="2818"/>
      <c r="AR41" s="2818"/>
      <c r="AS41" s="2818"/>
      <c r="AT41" s="2818"/>
      <c r="AU41" s="2818"/>
      <c r="AV41" s="2818"/>
      <c r="AW41" s="2818"/>
      <c r="AX41" s="2818"/>
      <c r="AY41" s="2818"/>
      <c r="AZ41" s="2818"/>
      <c r="BA41" s="2818">
        <f t="shared" si="10"/>
        <v>0</v>
      </c>
      <c r="BB41" s="2818">
        <f t="shared" si="11"/>
        <v>0</v>
      </c>
      <c r="BD41" s="2800">
        <f t="shared" si="24"/>
        <v>0</v>
      </c>
      <c r="BE41" s="2800">
        <f t="shared" si="25"/>
        <v>0</v>
      </c>
      <c r="BF41" s="2800">
        <f t="shared" si="12"/>
        <v>0</v>
      </c>
    </row>
    <row r="42" spans="2:58" ht="113.45" customHeight="1" x14ac:dyDescent="0.2">
      <c r="B42" s="4249"/>
      <c r="C42" s="2838" t="s">
        <v>68</v>
      </c>
      <c r="D42" s="2839" t="s">
        <v>70</v>
      </c>
      <c r="E42" s="2813"/>
      <c r="F42" s="2813"/>
      <c r="G42" s="2813"/>
      <c r="H42" s="2813">
        <f t="shared" si="18"/>
        <v>0</v>
      </c>
      <c r="I42" s="2813">
        <f>'یادداشت 7 دارایییی اصلاحی'!J15</f>
        <v>0</v>
      </c>
      <c r="J42" s="2813"/>
      <c r="K42" s="2813"/>
      <c r="L42" s="2813"/>
      <c r="M42" s="2813"/>
      <c r="N42" s="2814">
        <f t="shared" ref="N42:N52" si="28">Q42+R42</f>
        <v>422830644</v>
      </c>
      <c r="O42" s="2813"/>
      <c r="P42" s="2813"/>
      <c r="Q42" s="2813"/>
      <c r="R42" s="2826">
        <f>-'يادداشت 1-1-10 حسابهاي پرداخخخ '!L113</f>
        <v>422830644</v>
      </c>
      <c r="S42" s="2813"/>
      <c r="T42" s="2813"/>
      <c r="U42" s="2816">
        <f t="shared" si="26"/>
        <v>422830644</v>
      </c>
      <c r="V42" s="2813"/>
      <c r="W42" s="2813">
        <v>0</v>
      </c>
      <c r="X42" s="2813"/>
      <c r="Y42" s="2813"/>
      <c r="Z42" s="2813"/>
      <c r="AA42" s="2813"/>
      <c r="AB42" s="2813"/>
      <c r="AC42" s="2811">
        <f t="shared" si="19"/>
        <v>-422830644</v>
      </c>
      <c r="AD42" s="2813"/>
      <c r="AE42" s="2811">
        <f t="shared" si="27"/>
        <v>-422830644</v>
      </c>
      <c r="AF42" s="2811">
        <f t="shared" si="20"/>
        <v>0</v>
      </c>
      <c r="AG42" s="2812">
        <f t="shared" si="21"/>
        <v>422830644</v>
      </c>
      <c r="AH42" s="2811">
        <f t="shared" si="22"/>
        <v>0</v>
      </c>
      <c r="AI42" s="2815"/>
      <c r="AJ42" s="2813"/>
      <c r="AK42" s="2813"/>
      <c r="AL42" s="2815"/>
      <c r="AM42" s="2813"/>
      <c r="AN42" s="2811">
        <f t="shared" si="23"/>
        <v>0</v>
      </c>
      <c r="AO42" s="2818"/>
      <c r="AP42" s="2818"/>
      <c r="AQ42" s="2818"/>
      <c r="AR42" s="2818"/>
      <c r="AS42" s="2818"/>
      <c r="AT42" s="2818"/>
      <c r="AU42" s="2818"/>
      <c r="AV42" s="2818"/>
      <c r="AW42" s="2818"/>
      <c r="AX42" s="2818"/>
      <c r="AY42" s="2818"/>
      <c r="AZ42" s="2818"/>
      <c r="BA42" s="2818"/>
      <c r="BB42" s="2818"/>
    </row>
    <row r="43" spans="2:58" ht="113.45" hidden="1" customHeight="1" x14ac:dyDescent="0.2">
      <c r="B43" s="4249"/>
      <c r="C43" s="2840" t="s">
        <v>158</v>
      </c>
      <c r="D43" s="2841" t="s">
        <v>349</v>
      </c>
      <c r="E43" s="2820"/>
      <c r="F43" s="2820"/>
      <c r="G43" s="2820"/>
      <c r="H43" s="2813">
        <f t="shared" si="18"/>
        <v>0</v>
      </c>
      <c r="I43" s="2820">
        <f>'یادداشت 7 دارایییی اصلاحی'!J327</f>
        <v>0</v>
      </c>
      <c r="J43" s="2820"/>
      <c r="K43" s="2820"/>
      <c r="L43" s="2842"/>
      <c r="M43" s="2843"/>
      <c r="N43" s="2814">
        <f t="shared" si="28"/>
        <v>0</v>
      </c>
      <c r="O43" s="2843"/>
      <c r="P43" s="2843"/>
      <c r="Q43" s="2843"/>
      <c r="R43" s="2844">
        <f>-'يادداشت 1-1-10 حسابهاي پرداخخخ '!L340</f>
        <v>0</v>
      </c>
      <c r="S43" s="2813"/>
      <c r="T43" s="2813"/>
      <c r="U43" s="2816">
        <f t="shared" si="26"/>
        <v>0</v>
      </c>
      <c r="V43" s="2820"/>
      <c r="W43" s="2820">
        <v>0</v>
      </c>
      <c r="X43" s="2820"/>
      <c r="Y43" s="2820"/>
      <c r="Z43" s="2820"/>
      <c r="AA43" s="2820"/>
      <c r="AB43" s="2820"/>
      <c r="AC43" s="2811">
        <f t="shared" si="19"/>
        <v>0</v>
      </c>
      <c r="AD43" s="2820"/>
      <c r="AE43" s="2811">
        <f t="shared" si="27"/>
        <v>0</v>
      </c>
      <c r="AF43" s="2811">
        <f t="shared" si="20"/>
        <v>0</v>
      </c>
      <c r="AG43" s="2812">
        <f t="shared" si="21"/>
        <v>0</v>
      </c>
      <c r="AH43" s="2811">
        <f t="shared" si="22"/>
        <v>0</v>
      </c>
      <c r="AI43" s="2845"/>
      <c r="AJ43" s="2846"/>
      <c r="AK43" s="2820"/>
      <c r="AL43" s="2817"/>
      <c r="AM43" s="2820"/>
      <c r="AN43" s="2811">
        <f t="shared" si="23"/>
        <v>0</v>
      </c>
      <c r="AO43" s="2818"/>
      <c r="AP43" s="2818"/>
      <c r="AQ43" s="2818"/>
      <c r="AR43" s="2818"/>
      <c r="AS43" s="2818"/>
      <c r="AT43" s="2818"/>
      <c r="AU43" s="2818"/>
      <c r="AV43" s="2818"/>
      <c r="AW43" s="2818"/>
      <c r="AX43" s="2818"/>
      <c r="AY43" s="2818"/>
      <c r="AZ43" s="2818"/>
      <c r="BA43" s="2818"/>
      <c r="BB43" s="2818"/>
    </row>
    <row r="44" spans="2:58" ht="113.45" hidden="1" customHeight="1" x14ac:dyDescent="0.2">
      <c r="B44" s="4249"/>
      <c r="C44" s="2819" t="s">
        <v>96</v>
      </c>
      <c r="D44" s="2810" t="s">
        <v>97</v>
      </c>
      <c r="E44" s="2811"/>
      <c r="F44" s="2811"/>
      <c r="G44" s="2811"/>
      <c r="H44" s="2813">
        <f t="shared" si="18"/>
        <v>0</v>
      </c>
      <c r="I44" s="2811"/>
      <c r="J44" s="2811"/>
      <c r="K44" s="2811"/>
      <c r="L44" s="2812"/>
      <c r="M44" s="2813"/>
      <c r="N44" s="2814">
        <f t="shared" si="28"/>
        <v>0</v>
      </c>
      <c r="O44" s="2811"/>
      <c r="P44" s="2811"/>
      <c r="Q44" s="2811"/>
      <c r="R44" s="2812"/>
      <c r="S44" s="2813"/>
      <c r="T44" s="2813"/>
      <c r="U44" s="2816">
        <f t="shared" si="26"/>
        <v>0</v>
      </c>
      <c r="V44" s="2811"/>
      <c r="W44" s="2811">
        <v>0</v>
      </c>
      <c r="X44" s="2811"/>
      <c r="Y44" s="2811"/>
      <c r="Z44" s="2811"/>
      <c r="AA44" s="2811"/>
      <c r="AB44" s="2811"/>
      <c r="AC44" s="2811">
        <f t="shared" si="19"/>
        <v>0</v>
      </c>
      <c r="AD44" s="2811"/>
      <c r="AE44" s="2811">
        <f t="shared" si="27"/>
        <v>0</v>
      </c>
      <c r="AF44" s="2811">
        <f t="shared" si="20"/>
        <v>0</v>
      </c>
      <c r="AG44" s="2812">
        <f t="shared" si="21"/>
        <v>0</v>
      </c>
      <c r="AH44" s="2811">
        <f t="shared" si="22"/>
        <v>0</v>
      </c>
      <c r="AI44" s="2815"/>
      <c r="AJ44" s="2816"/>
      <c r="AK44" s="2811"/>
      <c r="AL44" s="2817"/>
      <c r="AM44" s="2811"/>
      <c r="AN44" s="2811">
        <f t="shared" si="23"/>
        <v>0</v>
      </c>
      <c r="AO44" s="2818"/>
      <c r="AP44" s="2818"/>
      <c r="AQ44" s="2818"/>
      <c r="AR44" s="2818"/>
      <c r="AS44" s="2818"/>
      <c r="AT44" s="2818"/>
      <c r="AU44" s="2818"/>
      <c r="AV44" s="2818"/>
      <c r="AW44" s="2818"/>
      <c r="AX44" s="2818"/>
      <c r="AY44" s="2818"/>
      <c r="AZ44" s="2818"/>
      <c r="BA44" s="2818"/>
      <c r="BB44" s="2818"/>
    </row>
    <row r="45" spans="2:58" ht="113.45" customHeight="1" x14ac:dyDescent="0.2">
      <c r="B45" s="4249"/>
      <c r="C45" s="2819" t="s">
        <v>104</v>
      </c>
      <c r="D45" s="2810" t="s">
        <v>198</v>
      </c>
      <c r="E45" s="2811"/>
      <c r="F45" s="2811"/>
      <c r="G45" s="2811"/>
      <c r="H45" s="2813">
        <f t="shared" si="18"/>
        <v>0</v>
      </c>
      <c r="I45" s="2811">
        <f>'یادداشت 7 دارایییی اصلاحی'!J47</f>
        <v>0</v>
      </c>
      <c r="J45" s="2811"/>
      <c r="K45" s="2811"/>
      <c r="L45" s="2812"/>
      <c r="M45" s="2813"/>
      <c r="N45" s="2814">
        <f t="shared" si="28"/>
        <v>1623380252</v>
      </c>
      <c r="O45" s="2811"/>
      <c r="P45" s="2811"/>
      <c r="Q45" s="2811">
        <f>-'يادداشت 11 -سايربدهي_هاي_جاري'!I52</f>
        <v>44521747</v>
      </c>
      <c r="R45" s="2812">
        <f>-'يادداشت 1-1-10 حسابهاي پرداخخخ '!L138</f>
        <v>1578858505</v>
      </c>
      <c r="S45" s="2813"/>
      <c r="T45" s="2813"/>
      <c r="U45" s="2816">
        <f t="shared" si="26"/>
        <v>1623380252</v>
      </c>
      <c r="V45" s="2811"/>
      <c r="W45" s="2811">
        <v>0</v>
      </c>
      <c r="X45" s="2811"/>
      <c r="Y45" s="2811"/>
      <c r="Z45" s="2811"/>
      <c r="AA45" s="2811"/>
      <c r="AB45" s="2811"/>
      <c r="AC45" s="2811">
        <f t="shared" si="19"/>
        <v>-1623380252</v>
      </c>
      <c r="AD45" s="2811"/>
      <c r="AE45" s="2811">
        <f t="shared" si="27"/>
        <v>-1623380252</v>
      </c>
      <c r="AF45" s="2811">
        <f t="shared" si="20"/>
        <v>0</v>
      </c>
      <c r="AG45" s="2812">
        <f t="shared" si="21"/>
        <v>1623380252</v>
      </c>
      <c r="AH45" s="2811">
        <f t="shared" si="22"/>
        <v>0</v>
      </c>
      <c r="AI45" s="2815"/>
      <c r="AJ45" s="2816"/>
      <c r="AK45" s="2811"/>
      <c r="AL45" s="2817"/>
      <c r="AM45" s="2811"/>
      <c r="AN45" s="2811">
        <f t="shared" si="23"/>
        <v>0</v>
      </c>
      <c r="AO45" s="2818"/>
      <c r="AP45" s="2818"/>
      <c r="AQ45" s="2818"/>
      <c r="AR45" s="2818"/>
      <c r="AS45" s="2818"/>
      <c r="AT45" s="2818"/>
      <c r="AU45" s="2818"/>
      <c r="AV45" s="2818"/>
      <c r="AW45" s="2818"/>
      <c r="AX45" s="2818"/>
      <c r="AY45" s="2818"/>
      <c r="AZ45" s="2818"/>
      <c r="BA45" s="2818"/>
      <c r="BB45" s="2818"/>
    </row>
    <row r="46" spans="2:58" ht="113.45" hidden="1" customHeight="1" x14ac:dyDescent="0.2">
      <c r="B46" s="4249"/>
      <c r="C46" s="2847"/>
      <c r="D46" s="2848"/>
      <c r="E46" s="2817"/>
      <c r="F46" s="2817"/>
      <c r="G46" s="2817"/>
      <c r="H46" s="2813">
        <f t="shared" si="18"/>
        <v>0</v>
      </c>
      <c r="I46" s="2817"/>
      <c r="J46" s="2817"/>
      <c r="K46" s="2817"/>
      <c r="L46" s="2817"/>
      <c r="M46" s="2817"/>
      <c r="N46" s="2814">
        <f t="shared" si="28"/>
        <v>0</v>
      </c>
      <c r="O46" s="2817"/>
      <c r="P46" s="2817"/>
      <c r="Q46" s="2817"/>
      <c r="R46" s="2817"/>
      <c r="S46" s="2815"/>
      <c r="T46" s="2815"/>
      <c r="U46" s="2816">
        <f t="shared" si="26"/>
        <v>0</v>
      </c>
      <c r="V46" s="2817"/>
      <c r="W46" s="2817">
        <v>0</v>
      </c>
      <c r="X46" s="2817"/>
      <c r="Y46" s="2817"/>
      <c r="Z46" s="2817"/>
      <c r="AA46" s="2817"/>
      <c r="AB46" s="2817"/>
      <c r="AC46" s="2811">
        <f t="shared" si="19"/>
        <v>0</v>
      </c>
      <c r="AD46" s="2817"/>
      <c r="AE46" s="2811">
        <f t="shared" si="27"/>
        <v>0</v>
      </c>
      <c r="AF46" s="2811">
        <f t="shared" si="20"/>
        <v>0</v>
      </c>
      <c r="AG46" s="2812">
        <f t="shared" si="21"/>
        <v>0</v>
      </c>
      <c r="AH46" s="2811">
        <f t="shared" si="22"/>
        <v>0</v>
      </c>
      <c r="AI46" s="2817"/>
      <c r="AJ46" s="2817"/>
      <c r="AK46" s="2817"/>
      <c r="AL46" s="2817"/>
      <c r="AM46" s="2817"/>
      <c r="AN46" s="2811">
        <f t="shared" si="23"/>
        <v>0</v>
      </c>
      <c r="AO46" s="2818"/>
      <c r="AP46" s="2818"/>
      <c r="AQ46" s="2818"/>
      <c r="AR46" s="2818"/>
      <c r="AS46" s="2818"/>
      <c r="AT46" s="2818"/>
      <c r="AU46" s="2818"/>
      <c r="AV46" s="2818"/>
      <c r="AW46" s="2818"/>
      <c r="AX46" s="2818"/>
      <c r="AY46" s="2818"/>
      <c r="AZ46" s="2818"/>
      <c r="BA46" s="2818"/>
      <c r="BB46" s="2818"/>
    </row>
    <row r="47" spans="2:58" ht="113.45" customHeight="1" x14ac:dyDescent="0.2">
      <c r="B47" s="4249"/>
      <c r="C47" s="2819" t="s">
        <v>182</v>
      </c>
      <c r="D47" s="2810" t="s">
        <v>335</v>
      </c>
      <c r="E47" s="2811"/>
      <c r="F47" s="2811"/>
      <c r="G47" s="2811"/>
      <c r="H47" s="2813">
        <f t="shared" si="18"/>
        <v>0</v>
      </c>
      <c r="I47" s="2811">
        <f>'یادداشت 7 دارایییی اصلاحی'!J110</f>
        <v>0</v>
      </c>
      <c r="J47" s="2811"/>
      <c r="K47" s="2811"/>
      <c r="L47" s="2812"/>
      <c r="M47" s="2813"/>
      <c r="N47" s="2814">
        <f t="shared" si="28"/>
        <v>3513997424</v>
      </c>
      <c r="O47" s="2811"/>
      <c r="P47" s="2811"/>
      <c r="Q47" s="2811">
        <f>-'يادداشت 11 -سايربدهي_هاي_جاري'!I68</f>
        <v>225418666</v>
      </c>
      <c r="R47" s="2812">
        <f>-'يادداشت 1-1-10 حسابهاي پرداخخخ '!L132</f>
        <v>3288578758</v>
      </c>
      <c r="S47" s="2813"/>
      <c r="T47" s="2813"/>
      <c r="U47" s="2816">
        <f t="shared" si="26"/>
        <v>3513997424</v>
      </c>
      <c r="V47" s="2811"/>
      <c r="W47" s="2811">
        <v>0</v>
      </c>
      <c r="X47" s="2811"/>
      <c r="Y47" s="2811"/>
      <c r="Z47" s="2811"/>
      <c r="AA47" s="2811"/>
      <c r="AB47" s="2811"/>
      <c r="AC47" s="2811">
        <f t="shared" si="19"/>
        <v>-3513997424</v>
      </c>
      <c r="AD47" s="2811"/>
      <c r="AE47" s="2811">
        <f t="shared" si="27"/>
        <v>-3513997424</v>
      </c>
      <c r="AF47" s="2811">
        <f t="shared" si="20"/>
        <v>0</v>
      </c>
      <c r="AG47" s="2812">
        <f t="shared" si="21"/>
        <v>3513997424</v>
      </c>
      <c r="AH47" s="2811">
        <f t="shared" si="22"/>
        <v>0</v>
      </c>
      <c r="AI47" s="2815"/>
      <c r="AJ47" s="2816"/>
      <c r="AK47" s="2811"/>
      <c r="AL47" s="2817"/>
      <c r="AM47" s="2811"/>
      <c r="AN47" s="2811">
        <f t="shared" si="23"/>
        <v>0</v>
      </c>
      <c r="AO47" s="2818"/>
      <c r="AP47" s="2818"/>
      <c r="AQ47" s="2818"/>
      <c r="AR47" s="2818"/>
      <c r="AS47" s="2818"/>
      <c r="AT47" s="2818"/>
      <c r="AU47" s="2818"/>
      <c r="AV47" s="2818"/>
      <c r="AW47" s="2818"/>
      <c r="AX47" s="2818"/>
      <c r="AY47" s="2818"/>
      <c r="AZ47" s="2818"/>
      <c r="BA47" s="2818"/>
      <c r="BB47" s="2818"/>
    </row>
    <row r="48" spans="2:58" ht="113.45" hidden="1" customHeight="1" x14ac:dyDescent="0.2">
      <c r="B48" s="4249"/>
      <c r="C48" s="2954" t="s">
        <v>170</v>
      </c>
      <c r="D48" s="2821" t="s">
        <v>171</v>
      </c>
      <c r="E48" s="2816"/>
      <c r="F48" s="2816"/>
      <c r="G48" s="2811"/>
      <c r="H48" s="2813">
        <f t="shared" si="18"/>
        <v>0</v>
      </c>
      <c r="I48" s="2811"/>
      <c r="J48" s="2811"/>
      <c r="K48" s="2811"/>
      <c r="L48" s="2812"/>
      <c r="M48" s="2813"/>
      <c r="N48" s="2814">
        <f t="shared" si="28"/>
        <v>0</v>
      </c>
      <c r="O48" s="2811"/>
      <c r="P48" s="2811"/>
      <c r="Q48" s="2811"/>
      <c r="R48" s="2812"/>
      <c r="S48" s="2813"/>
      <c r="T48" s="2813"/>
      <c r="U48" s="2816">
        <f t="shared" si="26"/>
        <v>0</v>
      </c>
      <c r="V48" s="2811"/>
      <c r="W48" s="2811">
        <v>0</v>
      </c>
      <c r="X48" s="2811"/>
      <c r="Y48" s="2811"/>
      <c r="Z48" s="2811"/>
      <c r="AA48" s="2811"/>
      <c r="AB48" s="2811"/>
      <c r="AC48" s="2811">
        <f t="shared" si="19"/>
        <v>0</v>
      </c>
      <c r="AD48" s="2811"/>
      <c r="AE48" s="2811">
        <f t="shared" si="27"/>
        <v>0</v>
      </c>
      <c r="AF48" s="2811">
        <f t="shared" si="20"/>
        <v>0</v>
      </c>
      <c r="AG48" s="2812">
        <f t="shared" si="21"/>
        <v>0</v>
      </c>
      <c r="AH48" s="2811">
        <f t="shared" si="22"/>
        <v>0</v>
      </c>
      <c r="AI48" s="2815"/>
      <c r="AJ48" s="2816"/>
      <c r="AK48" s="2818"/>
      <c r="AL48" s="2817"/>
      <c r="AM48" s="2811"/>
      <c r="AN48" s="2811">
        <f t="shared" si="23"/>
        <v>0</v>
      </c>
      <c r="AO48" s="2818"/>
      <c r="AP48" s="2818"/>
      <c r="AQ48" s="2818"/>
      <c r="AR48" s="2818"/>
      <c r="AS48" s="2818"/>
      <c r="AT48" s="2818"/>
      <c r="AU48" s="2818"/>
      <c r="AV48" s="2818"/>
      <c r="AW48" s="2818"/>
      <c r="AX48" s="2818"/>
      <c r="AY48" s="2818"/>
      <c r="AZ48" s="2818"/>
      <c r="BA48" s="2818"/>
      <c r="BB48" s="2818"/>
    </row>
    <row r="49" spans="2:58" ht="113.45" hidden="1" customHeight="1" x14ac:dyDescent="0.2">
      <c r="B49" s="4249"/>
      <c r="C49" s="2954" t="s">
        <v>172</v>
      </c>
      <c r="D49" s="2821" t="s">
        <v>173</v>
      </c>
      <c r="E49" s="2816"/>
      <c r="F49" s="2816"/>
      <c r="G49" s="2811"/>
      <c r="H49" s="2813">
        <f t="shared" si="18"/>
        <v>0</v>
      </c>
      <c r="I49" s="2811"/>
      <c r="J49" s="2811"/>
      <c r="K49" s="2811"/>
      <c r="L49" s="2812"/>
      <c r="M49" s="2813"/>
      <c r="N49" s="2814">
        <f t="shared" si="28"/>
        <v>0</v>
      </c>
      <c r="O49" s="2811"/>
      <c r="P49" s="2811"/>
      <c r="Q49" s="2811"/>
      <c r="R49" s="2812"/>
      <c r="S49" s="2813"/>
      <c r="T49" s="2813"/>
      <c r="U49" s="2816">
        <f t="shared" si="26"/>
        <v>0</v>
      </c>
      <c r="V49" s="2811"/>
      <c r="W49" s="2811">
        <v>0</v>
      </c>
      <c r="X49" s="2811"/>
      <c r="Y49" s="2811"/>
      <c r="Z49" s="2811"/>
      <c r="AA49" s="2811"/>
      <c r="AB49" s="2811"/>
      <c r="AC49" s="2811">
        <f t="shared" si="19"/>
        <v>0</v>
      </c>
      <c r="AD49" s="2811"/>
      <c r="AE49" s="2811">
        <f t="shared" si="27"/>
        <v>0</v>
      </c>
      <c r="AF49" s="2811">
        <f t="shared" si="20"/>
        <v>0</v>
      </c>
      <c r="AG49" s="2812">
        <f t="shared" si="21"/>
        <v>0</v>
      </c>
      <c r="AH49" s="2811">
        <f t="shared" si="22"/>
        <v>0</v>
      </c>
      <c r="AI49" s="2815"/>
      <c r="AJ49" s="2816"/>
      <c r="AK49" s="2811"/>
      <c r="AL49" s="2817"/>
      <c r="AM49" s="2811"/>
      <c r="AN49" s="2811">
        <f t="shared" si="23"/>
        <v>0</v>
      </c>
      <c r="AO49" s="2818"/>
      <c r="AP49" s="2818"/>
      <c r="AQ49" s="2818"/>
      <c r="AR49" s="2818"/>
      <c r="AS49" s="2818"/>
      <c r="AT49" s="2818"/>
      <c r="AU49" s="2818"/>
      <c r="AV49" s="2818"/>
      <c r="AW49" s="2818"/>
      <c r="AX49" s="2818"/>
      <c r="AY49" s="2818"/>
      <c r="AZ49" s="2818"/>
      <c r="BA49" s="2818"/>
      <c r="BB49" s="2818"/>
    </row>
    <row r="50" spans="2:58" ht="113.45" hidden="1" customHeight="1" x14ac:dyDescent="0.2">
      <c r="B50" s="4249"/>
      <c r="C50" s="2954" t="s">
        <v>176</v>
      </c>
      <c r="D50" s="2821" t="s">
        <v>177</v>
      </c>
      <c r="E50" s="2816"/>
      <c r="F50" s="2816"/>
      <c r="G50" s="2811"/>
      <c r="H50" s="2813">
        <f t="shared" si="18"/>
        <v>0</v>
      </c>
      <c r="I50" s="2811">
        <f>'یادداشت 7 دارایییی اصلاحی'!J116</f>
        <v>0</v>
      </c>
      <c r="J50" s="2811"/>
      <c r="K50" s="2811"/>
      <c r="L50" s="2812"/>
      <c r="M50" s="2813"/>
      <c r="N50" s="2814">
        <f t="shared" si="28"/>
        <v>0</v>
      </c>
      <c r="O50" s="2811"/>
      <c r="P50" s="2811"/>
      <c r="Q50" s="2811"/>
      <c r="R50" s="2812">
        <f>-'يادداشت 1-1-10 حسابهاي پرداخخخ '!L162</f>
        <v>0</v>
      </c>
      <c r="S50" s="2813"/>
      <c r="T50" s="2813"/>
      <c r="U50" s="2816">
        <f t="shared" si="26"/>
        <v>0</v>
      </c>
      <c r="V50" s="2811"/>
      <c r="W50" s="2811">
        <v>0</v>
      </c>
      <c r="X50" s="2811"/>
      <c r="Y50" s="2811"/>
      <c r="Z50" s="2811"/>
      <c r="AA50" s="2811"/>
      <c r="AB50" s="2811"/>
      <c r="AC50" s="2811">
        <f t="shared" si="19"/>
        <v>0</v>
      </c>
      <c r="AD50" s="2811"/>
      <c r="AE50" s="2811">
        <f t="shared" si="27"/>
        <v>0</v>
      </c>
      <c r="AF50" s="2811">
        <f t="shared" si="20"/>
        <v>0</v>
      </c>
      <c r="AG50" s="2812">
        <f t="shared" si="21"/>
        <v>0</v>
      </c>
      <c r="AH50" s="2811">
        <f t="shared" si="22"/>
        <v>0</v>
      </c>
      <c r="AI50" s="2815"/>
      <c r="AJ50" s="2816"/>
      <c r="AK50" s="2811"/>
      <c r="AL50" s="2817"/>
      <c r="AM50" s="2811"/>
      <c r="AN50" s="2811">
        <f t="shared" si="23"/>
        <v>0</v>
      </c>
      <c r="AO50" s="2818"/>
      <c r="AP50" s="2818"/>
      <c r="AQ50" s="2818"/>
      <c r="AR50" s="2818"/>
      <c r="AS50" s="2818"/>
      <c r="AT50" s="2818"/>
      <c r="AU50" s="2818"/>
      <c r="AV50" s="2818"/>
      <c r="AW50" s="2818"/>
      <c r="AX50" s="2818"/>
      <c r="AY50" s="2818"/>
      <c r="AZ50" s="2818"/>
      <c r="BA50" s="2818"/>
      <c r="BB50" s="2818"/>
    </row>
    <row r="51" spans="2:58" ht="113.45" customHeight="1" x14ac:dyDescent="0.2">
      <c r="B51" s="4249"/>
      <c r="C51" s="2824" t="s">
        <v>105</v>
      </c>
      <c r="D51" s="2825" t="s">
        <v>106</v>
      </c>
      <c r="E51" s="2814"/>
      <c r="F51" s="2814"/>
      <c r="G51" s="2813"/>
      <c r="H51" s="2813">
        <f t="shared" si="18"/>
        <v>0</v>
      </c>
      <c r="I51" s="2813">
        <f>'یادداشت 7 دارایییی اصلاحی'!J344</f>
        <v>0</v>
      </c>
      <c r="J51" s="2813"/>
      <c r="K51" s="2813"/>
      <c r="L51" s="2813"/>
      <c r="M51" s="2813"/>
      <c r="N51" s="2814">
        <f t="shared" si="28"/>
        <v>643652366</v>
      </c>
      <c r="O51" s="2813"/>
      <c r="P51" s="2813"/>
      <c r="Q51" s="2813">
        <f>-'يادداشت 11 -سايربدهي_هاي_جاري'!I56</f>
        <v>96918351</v>
      </c>
      <c r="R51" s="2826">
        <f>-'يادداشت 1-1-10 حسابهاي پرداخخخ '!L112</f>
        <v>546734015</v>
      </c>
      <c r="S51" s="2813"/>
      <c r="T51" s="2813"/>
      <c r="U51" s="2816">
        <f t="shared" si="26"/>
        <v>643652366</v>
      </c>
      <c r="V51" s="2813"/>
      <c r="W51" s="2813">
        <v>0</v>
      </c>
      <c r="X51" s="2813"/>
      <c r="Y51" s="2813"/>
      <c r="Z51" s="2813"/>
      <c r="AA51" s="2813"/>
      <c r="AB51" s="2813"/>
      <c r="AC51" s="2811">
        <f t="shared" si="19"/>
        <v>-643652366</v>
      </c>
      <c r="AD51" s="2811"/>
      <c r="AE51" s="2811">
        <f t="shared" si="27"/>
        <v>-643652366</v>
      </c>
      <c r="AF51" s="2811">
        <f t="shared" si="20"/>
        <v>0</v>
      </c>
      <c r="AG51" s="2812">
        <f t="shared" si="21"/>
        <v>643652366</v>
      </c>
      <c r="AH51" s="2811">
        <f t="shared" si="22"/>
        <v>0</v>
      </c>
      <c r="AI51" s="2815"/>
      <c r="AJ51" s="2813"/>
      <c r="AK51" s="2813"/>
      <c r="AL51" s="2815"/>
      <c r="AM51" s="2813"/>
      <c r="AN51" s="2811">
        <f t="shared" si="23"/>
        <v>0</v>
      </c>
      <c r="AO51" s="2818"/>
      <c r="AP51" s="2818"/>
      <c r="AQ51" s="2818"/>
      <c r="AR51" s="2818"/>
      <c r="AS51" s="2818"/>
      <c r="AT51" s="2818"/>
      <c r="AU51" s="2818"/>
      <c r="AV51" s="2818"/>
      <c r="AW51" s="2818"/>
      <c r="AX51" s="2818"/>
      <c r="AY51" s="2818"/>
      <c r="AZ51" s="2818"/>
      <c r="BA51" s="2818"/>
      <c r="BB51" s="2818"/>
    </row>
    <row r="52" spans="2:58" ht="113.45" hidden="1" customHeight="1" x14ac:dyDescent="0.2">
      <c r="B52" s="4249"/>
      <c r="C52" s="2824" t="s">
        <v>73</v>
      </c>
      <c r="D52" s="2825" t="s">
        <v>74</v>
      </c>
      <c r="E52" s="2814"/>
      <c r="F52" s="2814"/>
      <c r="G52" s="2813"/>
      <c r="H52" s="2813">
        <f t="shared" si="18"/>
        <v>0</v>
      </c>
      <c r="I52" s="2813">
        <f>'یادداشت 7 دارایییی اصلاحی'!J85</f>
        <v>0</v>
      </c>
      <c r="J52" s="2813"/>
      <c r="K52" s="2813"/>
      <c r="L52" s="2813"/>
      <c r="M52" s="2813"/>
      <c r="N52" s="2814">
        <f t="shared" si="28"/>
        <v>0</v>
      </c>
      <c r="O52" s="2813"/>
      <c r="P52" s="2813"/>
      <c r="Q52" s="2813"/>
      <c r="R52" s="2826">
        <f>-'يادداشت 1-1-10 حسابهاي پرداخخخ '!L168</f>
        <v>0</v>
      </c>
      <c r="S52" s="2813"/>
      <c r="T52" s="2813"/>
      <c r="U52" s="2816">
        <f t="shared" si="26"/>
        <v>0</v>
      </c>
      <c r="V52" s="2813"/>
      <c r="W52" s="2813">
        <v>0</v>
      </c>
      <c r="X52" s="2813"/>
      <c r="Y52" s="2813"/>
      <c r="Z52" s="2813"/>
      <c r="AA52" s="2813"/>
      <c r="AB52" s="2813"/>
      <c r="AC52" s="2811">
        <f t="shared" si="19"/>
        <v>0</v>
      </c>
      <c r="AD52" s="2811"/>
      <c r="AE52" s="2811">
        <f t="shared" si="27"/>
        <v>0</v>
      </c>
      <c r="AF52" s="2811">
        <f t="shared" si="20"/>
        <v>0</v>
      </c>
      <c r="AG52" s="2812">
        <f t="shared" si="21"/>
        <v>0</v>
      </c>
      <c r="AH52" s="2811">
        <f t="shared" si="22"/>
        <v>0</v>
      </c>
      <c r="AI52" s="2815"/>
      <c r="AJ52" s="2813"/>
      <c r="AK52" s="2813"/>
      <c r="AL52" s="2815"/>
      <c r="AM52" s="2813"/>
      <c r="AN52" s="2811">
        <f t="shared" si="23"/>
        <v>0</v>
      </c>
      <c r="AO52" s="2818"/>
      <c r="AP52" s="2818"/>
      <c r="AQ52" s="2818"/>
      <c r="AR52" s="2818"/>
      <c r="AS52" s="2818"/>
      <c r="AT52" s="2818"/>
      <c r="AU52" s="2818"/>
      <c r="AV52" s="2818"/>
      <c r="AW52" s="2818"/>
      <c r="AX52" s="2818"/>
      <c r="AY52" s="2818"/>
      <c r="AZ52" s="2818"/>
      <c r="BA52" s="2818"/>
      <c r="BB52" s="2818"/>
    </row>
    <row r="53" spans="2:58" ht="113.45" customHeight="1" x14ac:dyDescent="0.2">
      <c r="B53" s="4249"/>
      <c r="C53" s="2854" t="s">
        <v>125</v>
      </c>
      <c r="D53" s="2821" t="s">
        <v>371</v>
      </c>
      <c r="E53" s="2814"/>
      <c r="F53" s="2814"/>
      <c r="G53" s="2813"/>
      <c r="H53" s="2811">
        <f t="shared" ref="H53:H70" si="29">SUM(E53:G53)</f>
        <v>0</v>
      </c>
      <c r="I53" s="2813">
        <f>'یادداشت 7 دارایییی اصلاحی'!J142</f>
        <v>0</v>
      </c>
      <c r="J53" s="2813"/>
      <c r="K53" s="2813"/>
      <c r="L53" s="2813"/>
      <c r="M53" s="2813"/>
      <c r="N53" s="2814">
        <f>R53+Q53</f>
        <v>23158990</v>
      </c>
      <c r="O53" s="2813"/>
      <c r="P53" s="2813"/>
      <c r="Q53" s="2813">
        <f>-'يادداشت 11 -سايربدهي_هاي_جاري'!I73</f>
        <v>23158990</v>
      </c>
      <c r="R53" s="2813">
        <f>-'يادداشت 1-1-10 حسابهاي پرداخخخ '!L321</f>
        <v>0</v>
      </c>
      <c r="S53" s="2813"/>
      <c r="T53" s="2813"/>
      <c r="U53" s="2813">
        <f t="shared" si="26"/>
        <v>23158990</v>
      </c>
      <c r="V53" s="2814"/>
      <c r="W53" s="2813"/>
      <c r="X53" s="2813"/>
      <c r="Y53" s="2813"/>
      <c r="Z53" s="2813"/>
      <c r="AA53" s="2813"/>
      <c r="AB53" s="2813"/>
      <c r="AC53" s="2811">
        <f t="shared" si="19"/>
        <v>-23158990</v>
      </c>
      <c r="AD53" s="2811"/>
      <c r="AE53" s="2811">
        <f t="shared" ref="AE53:AE70" si="30">SUM(V53:AD53)</f>
        <v>-23158990</v>
      </c>
      <c r="AF53" s="2811">
        <f t="shared" si="20"/>
        <v>0</v>
      </c>
      <c r="AG53" s="2812">
        <f t="shared" ref="AG53:AG70" si="31">U53+AF53</f>
        <v>23158990</v>
      </c>
      <c r="AH53" s="2811">
        <f t="shared" si="22"/>
        <v>0</v>
      </c>
      <c r="AI53" s="2815"/>
      <c r="AJ53" s="2813"/>
      <c r="AK53" s="2813"/>
      <c r="AL53" s="2815"/>
      <c r="AM53" s="2813"/>
      <c r="AN53" s="2811">
        <f t="shared" si="23"/>
        <v>0</v>
      </c>
      <c r="AO53" s="2818"/>
      <c r="AP53" s="2818"/>
      <c r="AQ53" s="2818"/>
      <c r="AR53" s="2818"/>
      <c r="AS53" s="2818"/>
      <c r="AT53" s="2818"/>
      <c r="AU53" s="2818"/>
      <c r="AV53" s="2818"/>
      <c r="AW53" s="2818"/>
      <c r="AX53" s="2818"/>
      <c r="AY53" s="2818"/>
      <c r="AZ53" s="2818"/>
      <c r="BA53" s="2818">
        <f t="shared" si="10"/>
        <v>0</v>
      </c>
      <c r="BB53" s="2818">
        <f t="shared" si="11"/>
        <v>0</v>
      </c>
      <c r="BD53" s="2800">
        <f t="shared" si="24"/>
        <v>0</v>
      </c>
      <c r="BE53" s="2800">
        <f t="shared" si="25"/>
        <v>0</v>
      </c>
      <c r="BF53" s="2800">
        <f t="shared" si="12"/>
        <v>0</v>
      </c>
    </row>
    <row r="54" spans="2:58" ht="87" hidden="1" customHeight="1" x14ac:dyDescent="0.2">
      <c r="B54" s="4249"/>
      <c r="C54" s="2855" t="s">
        <v>113</v>
      </c>
      <c r="D54" s="2825" t="s">
        <v>114</v>
      </c>
      <c r="E54" s="2814"/>
      <c r="F54" s="2814"/>
      <c r="G54" s="2813"/>
      <c r="H54" s="2811">
        <f t="shared" si="29"/>
        <v>0</v>
      </c>
      <c r="I54" s="2813">
        <f>'یادداشت 7 دارایییی اصلاحی'!J341</f>
        <v>0</v>
      </c>
      <c r="J54" s="2813"/>
      <c r="K54" s="2813"/>
      <c r="L54" s="2813"/>
      <c r="M54" s="2813"/>
      <c r="N54" s="2814">
        <f t="shared" ref="N54:N70" si="32">R54+Q54</f>
        <v>0</v>
      </c>
      <c r="O54" s="2813"/>
      <c r="P54" s="2813"/>
      <c r="Q54" s="2813"/>
      <c r="R54" s="2813">
        <f>-'يادداشت 1-1-10 حسابهاي پرداخخخ '!L173</f>
        <v>0</v>
      </c>
      <c r="S54" s="2813"/>
      <c r="T54" s="2813"/>
      <c r="U54" s="2813">
        <f t="shared" ref="U54:U70" si="33">N54+L54+K54+J54+I54+M54+S54</f>
        <v>0</v>
      </c>
      <c r="V54" s="2814"/>
      <c r="W54" s="2813"/>
      <c r="X54" s="2813"/>
      <c r="Y54" s="2813"/>
      <c r="Z54" s="2813"/>
      <c r="AA54" s="2813"/>
      <c r="AB54" s="2813"/>
      <c r="AC54" s="2811">
        <f t="shared" ref="AC54:AC70" si="34">(H54-AI54)-AG54</f>
        <v>0</v>
      </c>
      <c r="AD54" s="2811"/>
      <c r="AE54" s="2811">
        <f t="shared" si="30"/>
        <v>0</v>
      </c>
      <c r="AF54" s="2811">
        <f t="shared" ref="AF54:AF70" si="35">AA54+Y54+W54+V54+AB54+X54</f>
        <v>0</v>
      </c>
      <c r="AG54" s="2812">
        <f t="shared" si="31"/>
        <v>0</v>
      </c>
      <c r="AH54" s="2811">
        <f t="shared" ref="AH54:AH70" si="36">H54-AI54</f>
        <v>0</v>
      </c>
      <c r="AI54" s="2815"/>
      <c r="AJ54" s="2813"/>
      <c r="AK54" s="2813"/>
      <c r="AL54" s="2815"/>
      <c r="AM54" s="2813"/>
      <c r="AN54" s="2811">
        <f t="shared" ref="AN54:AN70" si="37">AK54-AH54</f>
        <v>0</v>
      </c>
      <c r="AO54" s="2818"/>
      <c r="AP54" s="2818"/>
      <c r="AQ54" s="2818"/>
      <c r="AR54" s="2818"/>
      <c r="AS54" s="2818"/>
      <c r="AT54" s="2818"/>
      <c r="AU54" s="2818"/>
      <c r="AV54" s="2818"/>
      <c r="AW54" s="2818"/>
      <c r="AX54" s="2818"/>
      <c r="AY54" s="2818"/>
      <c r="AZ54" s="2818"/>
      <c r="BA54" s="2818">
        <f t="shared" si="10"/>
        <v>0</v>
      </c>
      <c r="BB54" s="2818">
        <f t="shared" si="11"/>
        <v>0</v>
      </c>
      <c r="BD54" s="2800">
        <f t="shared" si="24"/>
        <v>0</v>
      </c>
      <c r="BE54" s="2800">
        <f t="shared" si="25"/>
        <v>0</v>
      </c>
      <c r="BF54" s="2800">
        <f t="shared" si="12"/>
        <v>0</v>
      </c>
    </row>
    <row r="55" spans="2:58" ht="87" hidden="1" customHeight="1" x14ac:dyDescent="0.2">
      <c r="B55" s="4249"/>
      <c r="C55" s="2855" t="s">
        <v>117</v>
      </c>
      <c r="D55" s="2825" t="s">
        <v>365</v>
      </c>
      <c r="E55" s="2814"/>
      <c r="F55" s="2814"/>
      <c r="G55" s="2813"/>
      <c r="H55" s="2811">
        <f t="shared" si="29"/>
        <v>0</v>
      </c>
      <c r="I55" s="2813"/>
      <c r="J55" s="2813"/>
      <c r="K55" s="2813"/>
      <c r="L55" s="2813"/>
      <c r="M55" s="2813"/>
      <c r="N55" s="2814">
        <f t="shared" si="32"/>
        <v>0</v>
      </c>
      <c r="O55" s="2813"/>
      <c r="P55" s="2813"/>
      <c r="Q55" s="2813"/>
      <c r="R55" s="2813"/>
      <c r="S55" s="2813"/>
      <c r="T55" s="2813"/>
      <c r="U55" s="2813">
        <f t="shared" si="33"/>
        <v>0</v>
      </c>
      <c r="V55" s="2814"/>
      <c r="W55" s="2813"/>
      <c r="X55" s="2813"/>
      <c r="Y55" s="2813"/>
      <c r="Z55" s="2813"/>
      <c r="AA55" s="2813"/>
      <c r="AB55" s="2813"/>
      <c r="AC55" s="2811">
        <f t="shared" si="34"/>
        <v>0</v>
      </c>
      <c r="AD55" s="2811"/>
      <c r="AE55" s="2811">
        <f t="shared" si="30"/>
        <v>0</v>
      </c>
      <c r="AF55" s="2811">
        <f t="shared" si="35"/>
        <v>0</v>
      </c>
      <c r="AG55" s="2812">
        <f t="shared" si="31"/>
        <v>0</v>
      </c>
      <c r="AH55" s="2811">
        <f t="shared" si="36"/>
        <v>0</v>
      </c>
      <c r="AI55" s="2815"/>
      <c r="AJ55" s="2813"/>
      <c r="AK55" s="2813"/>
      <c r="AL55" s="2815"/>
      <c r="AM55" s="2813"/>
      <c r="AN55" s="2811">
        <f t="shared" si="37"/>
        <v>0</v>
      </c>
      <c r="AO55" s="2818"/>
      <c r="AP55" s="2818"/>
      <c r="AQ55" s="2818"/>
      <c r="AR55" s="2818"/>
      <c r="AS55" s="2818"/>
      <c r="AT55" s="2818"/>
      <c r="AU55" s="2818"/>
      <c r="AV55" s="2818"/>
      <c r="AW55" s="2818"/>
      <c r="AX55" s="2818"/>
      <c r="AY55" s="2818"/>
      <c r="AZ55" s="2818"/>
      <c r="BA55" s="2818">
        <f t="shared" si="10"/>
        <v>0</v>
      </c>
      <c r="BB55" s="2818">
        <f t="shared" si="11"/>
        <v>0</v>
      </c>
      <c r="BD55" s="2800">
        <f t="shared" si="24"/>
        <v>0</v>
      </c>
      <c r="BE55" s="2800">
        <f t="shared" si="25"/>
        <v>0</v>
      </c>
      <c r="BF55" s="2800">
        <f t="shared" si="12"/>
        <v>0</v>
      </c>
    </row>
    <row r="56" spans="2:58" ht="113.45" hidden="1" customHeight="1" x14ac:dyDescent="0.2">
      <c r="B56" s="4249"/>
      <c r="C56" s="2854" t="s">
        <v>372</v>
      </c>
      <c r="D56" s="2821" t="s">
        <v>373</v>
      </c>
      <c r="E56" s="2814"/>
      <c r="F56" s="2814"/>
      <c r="G56" s="2813"/>
      <c r="H56" s="2811">
        <f t="shared" si="29"/>
        <v>0</v>
      </c>
      <c r="I56" s="2813"/>
      <c r="J56" s="2813"/>
      <c r="K56" s="2813"/>
      <c r="L56" s="2813"/>
      <c r="M56" s="2813"/>
      <c r="N56" s="2814">
        <f t="shared" si="32"/>
        <v>0</v>
      </c>
      <c r="O56" s="2813"/>
      <c r="P56" s="2813"/>
      <c r="Q56" s="2813"/>
      <c r="R56" s="2813"/>
      <c r="S56" s="2813"/>
      <c r="T56" s="2813"/>
      <c r="U56" s="2813">
        <f t="shared" si="33"/>
        <v>0</v>
      </c>
      <c r="V56" s="2814"/>
      <c r="W56" s="2813"/>
      <c r="X56" s="2813"/>
      <c r="Y56" s="2813"/>
      <c r="Z56" s="2813"/>
      <c r="AA56" s="2813"/>
      <c r="AB56" s="2813"/>
      <c r="AC56" s="2811">
        <f t="shared" si="34"/>
        <v>0</v>
      </c>
      <c r="AD56" s="2811"/>
      <c r="AE56" s="2811">
        <f t="shared" si="30"/>
        <v>0</v>
      </c>
      <c r="AF56" s="2811">
        <f t="shared" si="35"/>
        <v>0</v>
      </c>
      <c r="AG56" s="2812">
        <f t="shared" si="31"/>
        <v>0</v>
      </c>
      <c r="AH56" s="2811">
        <f t="shared" si="36"/>
        <v>0</v>
      </c>
      <c r="AI56" s="2815"/>
      <c r="AJ56" s="2813"/>
      <c r="AK56" s="2813"/>
      <c r="AL56" s="2815"/>
      <c r="AM56" s="2813"/>
      <c r="AN56" s="2811">
        <f t="shared" si="37"/>
        <v>0</v>
      </c>
      <c r="AO56" s="2818"/>
      <c r="AP56" s="2818"/>
      <c r="AQ56" s="2818"/>
      <c r="AR56" s="2818"/>
      <c r="AS56" s="2818"/>
      <c r="AT56" s="2818"/>
      <c r="AU56" s="2818"/>
      <c r="AV56" s="2818"/>
      <c r="AW56" s="2818"/>
      <c r="AX56" s="2818"/>
      <c r="AY56" s="2818"/>
      <c r="AZ56" s="2818"/>
      <c r="BA56" s="2818">
        <f t="shared" si="10"/>
        <v>0</v>
      </c>
      <c r="BB56" s="2818">
        <f t="shared" si="11"/>
        <v>0</v>
      </c>
      <c r="BD56" s="2800">
        <f t="shared" si="24"/>
        <v>0</v>
      </c>
      <c r="BE56" s="2800">
        <f t="shared" si="25"/>
        <v>0</v>
      </c>
      <c r="BF56" s="2800">
        <f t="shared" si="12"/>
        <v>0</v>
      </c>
    </row>
    <row r="57" spans="2:58" ht="113.45" hidden="1" customHeight="1" x14ac:dyDescent="0.2">
      <c r="B57" s="4249"/>
      <c r="C57" s="2856" t="s">
        <v>107</v>
      </c>
      <c r="D57" s="2857" t="s">
        <v>521</v>
      </c>
      <c r="E57" s="2814"/>
      <c r="F57" s="2814"/>
      <c r="G57" s="2813"/>
      <c r="H57" s="2811">
        <f t="shared" si="29"/>
        <v>0</v>
      </c>
      <c r="I57" s="2813">
        <f>'یادداشت 7 دارایییی اصلاحی'!J51</f>
        <v>0</v>
      </c>
      <c r="J57" s="2813"/>
      <c r="K57" s="2813"/>
      <c r="L57" s="2813"/>
      <c r="M57" s="2813"/>
      <c r="N57" s="2814">
        <f t="shared" si="32"/>
        <v>0</v>
      </c>
      <c r="O57" s="2813"/>
      <c r="P57" s="2813"/>
      <c r="Q57" s="2813"/>
      <c r="R57" s="2813">
        <f>-'يادداشت 1-1-10 حسابهاي پرداخخخ '!L146</f>
        <v>0</v>
      </c>
      <c r="S57" s="2813"/>
      <c r="T57" s="2813"/>
      <c r="U57" s="2813">
        <f t="shared" si="33"/>
        <v>0</v>
      </c>
      <c r="V57" s="2814"/>
      <c r="W57" s="2813"/>
      <c r="X57" s="2813"/>
      <c r="Y57" s="2813"/>
      <c r="Z57" s="2813"/>
      <c r="AA57" s="2813"/>
      <c r="AB57" s="2813"/>
      <c r="AC57" s="2811">
        <f t="shared" si="34"/>
        <v>0</v>
      </c>
      <c r="AD57" s="2811"/>
      <c r="AE57" s="2811">
        <f t="shared" si="30"/>
        <v>0</v>
      </c>
      <c r="AF57" s="2811">
        <f t="shared" si="35"/>
        <v>0</v>
      </c>
      <c r="AG57" s="2812">
        <f t="shared" si="31"/>
        <v>0</v>
      </c>
      <c r="AH57" s="2811">
        <f t="shared" si="36"/>
        <v>0</v>
      </c>
      <c r="AI57" s="2830"/>
      <c r="AJ57" s="2813"/>
      <c r="AK57" s="2813"/>
      <c r="AL57" s="2830"/>
      <c r="AM57" s="2813"/>
      <c r="AN57" s="2811">
        <f t="shared" si="37"/>
        <v>0</v>
      </c>
      <c r="AO57" s="2818"/>
      <c r="AP57" s="2818"/>
      <c r="AQ57" s="2818"/>
      <c r="AR57" s="2818"/>
      <c r="AS57" s="2818"/>
      <c r="AT57" s="2818"/>
      <c r="AU57" s="2818"/>
      <c r="AV57" s="2818"/>
      <c r="AW57" s="2818"/>
      <c r="AX57" s="2818"/>
      <c r="AY57" s="2818"/>
      <c r="AZ57" s="2818"/>
      <c r="BA57" s="2818">
        <f t="shared" si="10"/>
        <v>0</v>
      </c>
      <c r="BB57" s="2818">
        <f t="shared" si="11"/>
        <v>0</v>
      </c>
      <c r="BD57" s="2800">
        <f t="shared" si="24"/>
        <v>0</v>
      </c>
      <c r="BE57" s="2800">
        <f t="shared" si="25"/>
        <v>0</v>
      </c>
      <c r="BF57" s="2800">
        <f t="shared" si="12"/>
        <v>0</v>
      </c>
    </row>
    <row r="58" spans="2:58" ht="7.15" hidden="1" customHeight="1" x14ac:dyDescent="0.2">
      <c r="B58" s="4249"/>
      <c r="C58" s="2854" t="s">
        <v>77</v>
      </c>
      <c r="D58" s="2821" t="s">
        <v>522</v>
      </c>
      <c r="E58" s="2814"/>
      <c r="F58" s="2814"/>
      <c r="G58" s="2813"/>
      <c r="H58" s="2811">
        <f t="shared" si="29"/>
        <v>0</v>
      </c>
      <c r="I58" s="2813"/>
      <c r="J58" s="2813"/>
      <c r="K58" s="2813"/>
      <c r="L58" s="2813"/>
      <c r="M58" s="2813"/>
      <c r="N58" s="2814">
        <f t="shared" si="32"/>
        <v>0</v>
      </c>
      <c r="O58" s="2813"/>
      <c r="P58" s="2813"/>
      <c r="Q58" s="2813"/>
      <c r="R58" s="2813"/>
      <c r="S58" s="2813"/>
      <c r="T58" s="2813"/>
      <c r="U58" s="2813">
        <f t="shared" si="33"/>
        <v>0</v>
      </c>
      <c r="V58" s="2814"/>
      <c r="W58" s="2813"/>
      <c r="X58" s="2813"/>
      <c r="Y58" s="2813"/>
      <c r="Z58" s="2813"/>
      <c r="AA58" s="2813"/>
      <c r="AB58" s="2813"/>
      <c r="AC58" s="2811">
        <f t="shared" si="34"/>
        <v>0</v>
      </c>
      <c r="AD58" s="2811"/>
      <c r="AE58" s="2811">
        <f t="shared" si="30"/>
        <v>0</v>
      </c>
      <c r="AF58" s="2811">
        <f t="shared" si="35"/>
        <v>0</v>
      </c>
      <c r="AG58" s="2812">
        <f t="shared" si="31"/>
        <v>0</v>
      </c>
      <c r="AH58" s="2811">
        <f t="shared" si="36"/>
        <v>0</v>
      </c>
      <c r="AI58" s="2830"/>
      <c r="AJ58" s="2813"/>
      <c r="AK58" s="2813"/>
      <c r="AL58" s="2830"/>
      <c r="AM58" s="2813"/>
      <c r="AN58" s="2811">
        <f t="shared" si="37"/>
        <v>0</v>
      </c>
      <c r="AO58" s="2818"/>
      <c r="AP58" s="2818"/>
      <c r="AQ58" s="2818"/>
      <c r="AR58" s="2818"/>
      <c r="AS58" s="2818"/>
      <c r="AT58" s="2818"/>
      <c r="AU58" s="2818"/>
      <c r="AV58" s="2818"/>
      <c r="AW58" s="2818"/>
      <c r="AX58" s="2818"/>
      <c r="AY58" s="2818"/>
      <c r="AZ58" s="2818"/>
      <c r="BA58" s="2818">
        <f t="shared" si="10"/>
        <v>0</v>
      </c>
      <c r="BB58" s="2818">
        <f t="shared" si="11"/>
        <v>0</v>
      </c>
      <c r="BD58" s="2800">
        <f t="shared" si="24"/>
        <v>0</v>
      </c>
      <c r="BE58" s="2800">
        <f t="shared" si="25"/>
        <v>0</v>
      </c>
      <c r="BF58" s="2800">
        <f t="shared" si="12"/>
        <v>0</v>
      </c>
    </row>
    <row r="59" spans="2:58" ht="113.45" customHeight="1" x14ac:dyDescent="0.2">
      <c r="B59" s="4249"/>
      <c r="C59" s="2854" t="s">
        <v>374</v>
      </c>
      <c r="D59" s="2821" t="s">
        <v>375</v>
      </c>
      <c r="E59" s="2814"/>
      <c r="F59" s="2814"/>
      <c r="G59" s="2813"/>
      <c r="H59" s="2811">
        <f t="shared" si="29"/>
        <v>0</v>
      </c>
      <c r="I59" s="2813">
        <f>'یادداشت 7 دارایییی اصلاحی'!J144</f>
        <v>0</v>
      </c>
      <c r="J59" s="2813"/>
      <c r="K59" s="2813"/>
      <c r="L59" s="2813"/>
      <c r="M59" s="2813"/>
      <c r="N59" s="2814">
        <f t="shared" si="32"/>
        <v>29000000</v>
      </c>
      <c r="O59" s="2813"/>
      <c r="P59" s="2813"/>
      <c r="Q59" s="2813"/>
      <c r="R59" s="2813">
        <f>-'يادداشت 1-1-10 حسابهاي پرداخخخ '!L159</f>
        <v>29000000</v>
      </c>
      <c r="S59" s="2813"/>
      <c r="T59" s="2813"/>
      <c r="U59" s="2813">
        <f t="shared" si="33"/>
        <v>29000000</v>
      </c>
      <c r="V59" s="2814"/>
      <c r="W59" s="2813"/>
      <c r="X59" s="2813"/>
      <c r="Y59" s="2813"/>
      <c r="Z59" s="2813"/>
      <c r="AA59" s="2813"/>
      <c r="AB59" s="2813"/>
      <c r="AC59" s="2811">
        <f t="shared" si="34"/>
        <v>-29000000</v>
      </c>
      <c r="AD59" s="2811"/>
      <c r="AE59" s="2811">
        <f t="shared" si="30"/>
        <v>-29000000</v>
      </c>
      <c r="AF59" s="2811">
        <f t="shared" si="35"/>
        <v>0</v>
      </c>
      <c r="AG59" s="2812">
        <f t="shared" si="31"/>
        <v>29000000</v>
      </c>
      <c r="AH59" s="2811">
        <f t="shared" si="36"/>
        <v>0</v>
      </c>
      <c r="AI59" s="2830"/>
      <c r="AJ59" s="2813"/>
      <c r="AK59" s="2813"/>
      <c r="AL59" s="2830"/>
      <c r="AM59" s="2813"/>
      <c r="AN59" s="2811">
        <f t="shared" si="37"/>
        <v>0</v>
      </c>
      <c r="AO59" s="2818"/>
      <c r="AP59" s="2818"/>
      <c r="AQ59" s="2818"/>
      <c r="AR59" s="2818"/>
      <c r="AS59" s="2818"/>
      <c r="AT59" s="2818"/>
      <c r="AU59" s="2818"/>
      <c r="AV59" s="2818"/>
      <c r="AW59" s="2818"/>
      <c r="AX59" s="2818"/>
      <c r="AY59" s="2818"/>
      <c r="AZ59" s="2818"/>
      <c r="BA59" s="2818">
        <f t="shared" si="10"/>
        <v>0</v>
      </c>
      <c r="BB59" s="2818">
        <f t="shared" si="11"/>
        <v>0</v>
      </c>
      <c r="BD59" s="2800">
        <f t="shared" si="24"/>
        <v>0</v>
      </c>
      <c r="BE59" s="2800">
        <f t="shared" si="25"/>
        <v>0</v>
      </c>
      <c r="BF59" s="2800">
        <f t="shared" si="12"/>
        <v>0</v>
      </c>
    </row>
    <row r="60" spans="2:58" ht="113.45" customHeight="1" x14ac:dyDescent="0.2">
      <c r="B60" s="4249"/>
      <c r="C60" s="2854" t="s">
        <v>548</v>
      </c>
      <c r="D60" s="2858" t="s">
        <v>547</v>
      </c>
      <c r="E60" s="2814">
        <f>'يادداشت 1-13وجوهدريافتي ازخزانه'!V74</f>
        <v>0</v>
      </c>
      <c r="F60" s="2814"/>
      <c r="G60" s="2813">
        <v>0</v>
      </c>
      <c r="H60" s="2811">
        <f t="shared" si="29"/>
        <v>0</v>
      </c>
      <c r="I60" s="2813">
        <f>'یادداشت 7 دارایییی اصلاحی'!J147</f>
        <v>0</v>
      </c>
      <c r="J60" s="2813">
        <f>'يادداشت_-5موجودی_جنسی__(2)'!F63</f>
        <v>400000000</v>
      </c>
      <c r="K60" s="2813"/>
      <c r="L60" s="2813">
        <f>'ياد 15  سايرهزينه '!P19</f>
        <v>0</v>
      </c>
      <c r="M60" s="2813">
        <v>96315994631</v>
      </c>
      <c r="N60" s="2814">
        <f t="shared" si="32"/>
        <v>185979562331</v>
      </c>
      <c r="O60" s="2813">
        <v>0</v>
      </c>
      <c r="P60" s="2813">
        <v>0</v>
      </c>
      <c r="Q60" s="2813">
        <f>-'يادداشت 11 -سايربدهي_هاي_جاري'!I76</f>
        <v>18408732796</v>
      </c>
      <c r="R60" s="2813">
        <f>-'يادداشت 1-1-10 حسابهاي پرداخخخ '!L80</f>
        <v>167570829535</v>
      </c>
      <c r="S60" s="2813">
        <f>-'يادداشت 1-13وجوهدريافتي ازخزانه'!M74</f>
        <v>0</v>
      </c>
      <c r="T60" s="2813"/>
      <c r="U60" s="2813">
        <f t="shared" si="33"/>
        <v>282695556962</v>
      </c>
      <c r="V60" s="2814">
        <f>'حفظ قدرت خرید'!L25</f>
        <v>-3144000000</v>
      </c>
      <c r="W60" s="2813">
        <f>-21570000000</f>
        <v>-21570000000</v>
      </c>
      <c r="X60" s="2813">
        <v>0</v>
      </c>
      <c r="Y60" s="2813"/>
      <c r="Z60" s="2813"/>
      <c r="AA60" s="2813">
        <f>-'يادداشت 1-13وجوهدريافتي ازخزانه'!J74</f>
        <v>0</v>
      </c>
      <c r="AB60" s="2813">
        <f>-7712868293</f>
        <v>-7712868293</v>
      </c>
      <c r="AC60" s="2811">
        <f t="shared" si="34"/>
        <v>-250268688669</v>
      </c>
      <c r="AD60" s="2811"/>
      <c r="AE60" s="2811">
        <f t="shared" si="30"/>
        <v>-282695556962</v>
      </c>
      <c r="AF60" s="2811">
        <f t="shared" si="35"/>
        <v>-32426868293</v>
      </c>
      <c r="AG60" s="2812">
        <f t="shared" si="31"/>
        <v>250268688669</v>
      </c>
      <c r="AH60" s="2811">
        <f t="shared" si="36"/>
        <v>0</v>
      </c>
      <c r="AI60" s="2815"/>
      <c r="AJ60" s="2813"/>
      <c r="AK60" s="2813"/>
      <c r="AL60" s="2813">
        <v>85272000000</v>
      </c>
      <c r="AM60" s="2813"/>
      <c r="AN60" s="2811">
        <f t="shared" si="37"/>
        <v>0</v>
      </c>
      <c r="AO60" s="2818"/>
      <c r="AP60" s="2818"/>
      <c r="AQ60" s="2818"/>
      <c r="AR60" s="2818"/>
      <c r="AS60" s="2818"/>
      <c r="AT60" s="2818"/>
      <c r="AU60" s="2818"/>
      <c r="AV60" s="2818"/>
      <c r="AW60" s="2818"/>
      <c r="AX60" s="2818"/>
      <c r="AY60" s="2818"/>
      <c r="AZ60" s="2818"/>
      <c r="BA60" s="2818">
        <f t="shared" si="10"/>
        <v>0</v>
      </c>
      <c r="BB60" s="2818">
        <f t="shared" si="11"/>
        <v>0</v>
      </c>
      <c r="BD60" s="2800">
        <f t="shared" si="24"/>
        <v>0</v>
      </c>
      <c r="BE60" s="2800">
        <f t="shared" si="25"/>
        <v>0</v>
      </c>
      <c r="BF60" s="2800">
        <f t="shared" si="12"/>
        <v>0</v>
      </c>
    </row>
    <row r="61" spans="2:58" ht="139.15" customHeight="1" x14ac:dyDescent="0.2">
      <c r="B61" s="4249"/>
      <c r="C61" s="1186" t="s">
        <v>540</v>
      </c>
      <c r="D61" s="2821" t="s">
        <v>541</v>
      </c>
      <c r="E61" s="2814">
        <f>'يادداشت 1-13وجوهدريافتي ازخزانه'!V22</f>
        <v>0</v>
      </c>
      <c r="F61" s="2814"/>
      <c r="G61" s="2813"/>
      <c r="H61" s="2811">
        <f t="shared" si="29"/>
        <v>0</v>
      </c>
      <c r="I61" s="2813">
        <f>'یادداشت 7 دارایییی اصلاحی'!J323</f>
        <v>143446891867</v>
      </c>
      <c r="J61" s="2813">
        <f>'يادداشت_-5موجودی_جنسی__(2)'!F38</f>
        <v>700000000</v>
      </c>
      <c r="K61" s="2813">
        <f>'پيش پرداخت سرمايه اي يادداشت 6'!H58</f>
        <v>6472176931</v>
      </c>
      <c r="L61" s="2813">
        <f>'ياد 15  سايرهزينه '!I20</f>
        <v>0</v>
      </c>
      <c r="M61" s="2813">
        <v>20856291576</v>
      </c>
      <c r="N61" s="2814">
        <f t="shared" si="32"/>
        <v>258287763949</v>
      </c>
      <c r="O61" s="2859"/>
      <c r="P61" s="2859"/>
      <c r="Q61" s="2813">
        <f>-'يادداشت 11 -سايربدهي_هاي_جاري'!I78</f>
        <v>13900932379</v>
      </c>
      <c r="R61" s="2813">
        <f>-'يادداشت 1-1-10 حسابهاي پرداخخخ '!L81</f>
        <v>244386831570</v>
      </c>
      <c r="S61" s="2813">
        <f>-'يادداشت 1-13وجوهدريافتي ازخزانه'!M22</f>
        <v>3453000000</v>
      </c>
      <c r="T61" s="2813"/>
      <c r="U61" s="2813">
        <f t="shared" si="33"/>
        <v>433216124323</v>
      </c>
      <c r="V61" s="2814">
        <f>'حفظ قدرت خرید'!L27</f>
        <v>-6211000000</v>
      </c>
      <c r="W61" s="2813">
        <f>-169749709826</f>
        <v>-169749709826</v>
      </c>
      <c r="X61" s="2813"/>
      <c r="Y61" s="2813"/>
      <c r="Z61" s="2813"/>
      <c r="AA61" s="2813">
        <f>-'يادداشت 1-13وجوهدريافتي ازخزانه'!J22</f>
        <v>-15000000000</v>
      </c>
      <c r="AB61" s="2813">
        <f>-24286996473</f>
        <v>-24286996473</v>
      </c>
      <c r="AC61" s="2811">
        <f t="shared" si="34"/>
        <v>-217968418024</v>
      </c>
      <c r="AD61" s="2811"/>
      <c r="AE61" s="2811">
        <f t="shared" si="30"/>
        <v>-433216124323</v>
      </c>
      <c r="AF61" s="2811">
        <f t="shared" si="35"/>
        <v>-215247706299</v>
      </c>
      <c r="AG61" s="2812">
        <f t="shared" si="31"/>
        <v>217968418024</v>
      </c>
      <c r="AH61" s="2811">
        <f t="shared" si="36"/>
        <v>0</v>
      </c>
      <c r="AI61" s="2815"/>
      <c r="AJ61" s="2813"/>
      <c r="AK61" s="2813"/>
      <c r="AL61" s="2830"/>
      <c r="AM61" s="2813"/>
      <c r="AN61" s="2811">
        <f t="shared" si="37"/>
        <v>0</v>
      </c>
      <c r="AO61" s="2818"/>
      <c r="AP61" s="2818"/>
      <c r="AQ61" s="2818"/>
      <c r="AR61" s="2818"/>
      <c r="AS61" s="2818"/>
      <c r="AT61" s="2818"/>
      <c r="AU61" s="2818"/>
      <c r="AV61" s="2818"/>
      <c r="AW61" s="2818"/>
      <c r="AX61" s="2818"/>
      <c r="AY61" s="2818"/>
      <c r="AZ61" s="2818"/>
      <c r="BA61" s="2818">
        <f t="shared" si="10"/>
        <v>0</v>
      </c>
      <c r="BB61" s="2818">
        <f t="shared" si="11"/>
        <v>0</v>
      </c>
      <c r="BD61" s="2800">
        <f t="shared" si="24"/>
        <v>0</v>
      </c>
      <c r="BE61" s="2800">
        <f t="shared" si="25"/>
        <v>0</v>
      </c>
      <c r="BF61" s="2800">
        <f t="shared" si="12"/>
        <v>0</v>
      </c>
    </row>
    <row r="62" spans="2:58" ht="113.45" customHeight="1" x14ac:dyDescent="0.2">
      <c r="B62" s="4249"/>
      <c r="C62" s="2854" t="s">
        <v>542</v>
      </c>
      <c r="D62" s="2821" t="s">
        <v>335</v>
      </c>
      <c r="E62" s="2814">
        <f>'يادداشت 1-13وجوهدريافتي ازخزانه'!V75</f>
        <v>0</v>
      </c>
      <c r="F62" s="2814"/>
      <c r="G62" s="2813"/>
      <c r="H62" s="2811">
        <f t="shared" si="29"/>
        <v>0</v>
      </c>
      <c r="I62" s="2813">
        <f>'یادداشت 7 دارایییی اصلاحی'!J148</f>
        <v>15144468453</v>
      </c>
      <c r="J62" s="2813">
        <f>'يادداشت_-5موجودی_جنسی__(2)'!F62</f>
        <v>600000000</v>
      </c>
      <c r="K62" s="2813">
        <f>'پيش پرداخت سرمايه اي يادداشت 6'!H59</f>
        <v>6406732619</v>
      </c>
      <c r="L62" s="2813">
        <f>'ياد 15  سايرهزينه '!I21</f>
        <v>211000000</v>
      </c>
      <c r="M62" s="2813"/>
      <c r="N62" s="2814">
        <f t="shared" si="32"/>
        <v>162749671225</v>
      </c>
      <c r="O62" s="2813"/>
      <c r="P62" s="2813"/>
      <c r="Q62" s="2813">
        <f>-'يادداشت 11 -سايربدهي_هاي_جاري'!I79</f>
        <v>4169361300</v>
      </c>
      <c r="R62" s="2813">
        <f>-'يادداشت 1-1-10 حسابهاي پرداخخخ '!L108</f>
        <v>158580309925</v>
      </c>
      <c r="S62" s="2813"/>
      <c r="T62" s="2813"/>
      <c r="U62" s="2813">
        <f t="shared" si="33"/>
        <v>185111872297</v>
      </c>
      <c r="V62" s="2814">
        <f>'حفظ قدرت خرید'!L28</f>
        <v>-921000000</v>
      </c>
      <c r="W62" s="2813">
        <f>-30000000000</f>
        <v>-30000000000</v>
      </c>
      <c r="X62" s="2813"/>
      <c r="Y62" s="2813"/>
      <c r="Z62" s="2813"/>
      <c r="AA62" s="2813"/>
      <c r="AB62" s="2813"/>
      <c r="AC62" s="2811">
        <f t="shared" si="34"/>
        <v>-154190872297</v>
      </c>
      <c r="AD62" s="2811"/>
      <c r="AE62" s="2811">
        <f t="shared" si="30"/>
        <v>-185111872297</v>
      </c>
      <c r="AF62" s="2811">
        <f t="shared" si="35"/>
        <v>-30921000000</v>
      </c>
      <c r="AG62" s="2812">
        <f t="shared" si="31"/>
        <v>154190872297</v>
      </c>
      <c r="AH62" s="2811">
        <f t="shared" si="36"/>
        <v>0</v>
      </c>
      <c r="AI62" s="2829"/>
      <c r="AJ62" s="2813"/>
      <c r="AK62" s="2813"/>
      <c r="AL62" s="2830"/>
      <c r="AM62" s="2813"/>
      <c r="AN62" s="2811">
        <f t="shared" si="37"/>
        <v>0</v>
      </c>
      <c r="AO62" s="2818"/>
      <c r="AP62" s="2818"/>
      <c r="AQ62" s="2818"/>
      <c r="AR62" s="2818"/>
      <c r="AS62" s="2818"/>
      <c r="AT62" s="2818"/>
      <c r="AU62" s="2818"/>
      <c r="AV62" s="2818"/>
      <c r="AW62" s="2818"/>
      <c r="AX62" s="2818"/>
      <c r="AY62" s="2818"/>
      <c r="AZ62" s="2818"/>
      <c r="BA62" s="2818">
        <f t="shared" si="10"/>
        <v>0</v>
      </c>
      <c r="BB62" s="2818">
        <f t="shared" si="11"/>
        <v>0</v>
      </c>
      <c r="BD62" s="2800">
        <f t="shared" si="24"/>
        <v>0</v>
      </c>
      <c r="BE62" s="2800">
        <f t="shared" si="25"/>
        <v>0</v>
      </c>
      <c r="BF62" s="2800">
        <f t="shared" si="12"/>
        <v>0</v>
      </c>
    </row>
    <row r="63" spans="2:58" ht="76.900000000000006" hidden="1" customHeight="1" x14ac:dyDescent="0.2">
      <c r="B63" s="4249"/>
      <c r="C63" s="2854" t="s">
        <v>544</v>
      </c>
      <c r="D63" s="2821" t="s">
        <v>543</v>
      </c>
      <c r="E63" s="2814"/>
      <c r="F63" s="2814"/>
      <c r="G63" s="2813"/>
      <c r="H63" s="2811">
        <f t="shared" si="29"/>
        <v>0</v>
      </c>
      <c r="I63" s="2813">
        <f>'یادداشت 7 دارایییی اصلاحی'!J324</f>
        <v>0</v>
      </c>
      <c r="J63" s="2813"/>
      <c r="K63" s="2813"/>
      <c r="L63" s="2813"/>
      <c r="M63" s="2813"/>
      <c r="N63" s="2814">
        <f t="shared" si="32"/>
        <v>0</v>
      </c>
      <c r="O63" s="2813"/>
      <c r="P63" s="2813"/>
      <c r="Q63" s="2813"/>
      <c r="R63" s="2813">
        <f>-'يادداشت 1-1-10 حسابهاي پرداخخخ '!L164</f>
        <v>0</v>
      </c>
      <c r="S63" s="2813"/>
      <c r="T63" s="2813"/>
      <c r="U63" s="2813">
        <f t="shared" si="33"/>
        <v>0</v>
      </c>
      <c r="V63" s="2814"/>
      <c r="W63" s="2813"/>
      <c r="X63" s="2813"/>
      <c r="Y63" s="2813"/>
      <c r="Z63" s="2813"/>
      <c r="AA63" s="2813"/>
      <c r="AB63" s="2813"/>
      <c r="AC63" s="2811">
        <f t="shared" si="34"/>
        <v>0</v>
      </c>
      <c r="AD63" s="2811"/>
      <c r="AE63" s="2811">
        <f t="shared" si="30"/>
        <v>0</v>
      </c>
      <c r="AF63" s="2811">
        <f t="shared" si="35"/>
        <v>0</v>
      </c>
      <c r="AG63" s="2812">
        <f t="shared" si="31"/>
        <v>0</v>
      </c>
      <c r="AH63" s="2811">
        <f t="shared" si="36"/>
        <v>0</v>
      </c>
      <c r="AI63" s="2829"/>
      <c r="AJ63" s="2813"/>
      <c r="AK63" s="2813"/>
      <c r="AL63" s="2830"/>
      <c r="AM63" s="2813"/>
      <c r="AN63" s="2811">
        <f t="shared" si="37"/>
        <v>0</v>
      </c>
      <c r="AO63" s="2818"/>
      <c r="AP63" s="2818"/>
      <c r="AQ63" s="2818"/>
      <c r="AR63" s="2818"/>
      <c r="AS63" s="2818"/>
      <c r="AT63" s="2818"/>
      <c r="AU63" s="2818"/>
      <c r="AV63" s="2818"/>
      <c r="AW63" s="2818"/>
      <c r="AX63" s="2818"/>
      <c r="AY63" s="2818"/>
      <c r="AZ63" s="2818"/>
      <c r="BA63" s="2818">
        <f t="shared" si="10"/>
        <v>0</v>
      </c>
      <c r="BB63" s="2818">
        <f t="shared" si="11"/>
        <v>0</v>
      </c>
      <c r="BD63" s="2800">
        <f t="shared" si="24"/>
        <v>0</v>
      </c>
      <c r="BE63" s="2800">
        <f t="shared" si="25"/>
        <v>0</v>
      </c>
      <c r="BF63" s="2800">
        <f t="shared" si="12"/>
        <v>0</v>
      </c>
    </row>
    <row r="64" spans="2:58" ht="121.15" customHeight="1" x14ac:dyDescent="0.2">
      <c r="B64" s="4249"/>
      <c r="C64" s="2854" t="s">
        <v>546</v>
      </c>
      <c r="D64" s="2821" t="s">
        <v>545</v>
      </c>
      <c r="E64" s="2814">
        <f>'يادداشت 1-13وجوهدريافتي ازخزانه'!V76</f>
        <v>0</v>
      </c>
      <c r="F64" s="2814"/>
      <c r="G64" s="2813"/>
      <c r="H64" s="2811">
        <f t="shared" si="29"/>
        <v>0</v>
      </c>
      <c r="I64" s="2813">
        <f>'یادداشت 7 دارایییی اصلاحی'!J149</f>
        <v>55274973242</v>
      </c>
      <c r="J64" s="2813">
        <f>'يادداشت_-5موجودی_جنسی__(2)'!F60</f>
        <v>1800000000</v>
      </c>
      <c r="K64" s="2813">
        <f>'پيش پرداخت سرمايه اي يادداشت 6'!H60</f>
        <v>27337784866</v>
      </c>
      <c r="L64" s="2813">
        <f>'ياد 15  سايرهزينه '!I22</f>
        <v>153000000</v>
      </c>
      <c r="M64" s="2813">
        <v>8155000000</v>
      </c>
      <c r="N64" s="2814">
        <f t="shared" si="32"/>
        <v>82843802839</v>
      </c>
      <c r="O64" s="2813"/>
      <c r="P64" s="2813"/>
      <c r="Q64" s="2813">
        <f>-'يادداشت 11 -سايربدهي_هاي_جاري'!I77</f>
        <v>1660396262</v>
      </c>
      <c r="R64" s="2813">
        <f>-'يادداشت 1-1-10 حسابهاي پرداخخخ '!L104</f>
        <v>81183406577</v>
      </c>
      <c r="S64" s="2813">
        <f>-'يادداشت 1-13وجوهدريافتي ازخزانه'!M76</f>
        <v>0</v>
      </c>
      <c r="T64" s="2813"/>
      <c r="U64" s="2813">
        <f t="shared" si="33"/>
        <v>175564560947</v>
      </c>
      <c r="V64" s="2814">
        <f>'حفظ قدرت خرید'!L26</f>
        <v>-4979000000</v>
      </c>
      <c r="W64" s="2813">
        <f>-92500000000</f>
        <v>-92500000000</v>
      </c>
      <c r="X64" s="2813"/>
      <c r="Y64" s="2813"/>
      <c r="Z64" s="2813"/>
      <c r="AA64" s="2813">
        <f>-'يادداشت 1-13وجوهدريافتي ازخزانه'!J76</f>
        <v>0</v>
      </c>
      <c r="AB64" s="2813"/>
      <c r="AC64" s="2811">
        <f t="shared" si="34"/>
        <v>-78085560947</v>
      </c>
      <c r="AD64" s="2811"/>
      <c r="AE64" s="2811">
        <f t="shared" si="30"/>
        <v>-175564560947</v>
      </c>
      <c r="AF64" s="2811">
        <f t="shared" si="35"/>
        <v>-97479000000</v>
      </c>
      <c r="AG64" s="2812">
        <f t="shared" si="31"/>
        <v>78085560947</v>
      </c>
      <c r="AH64" s="2811">
        <f t="shared" si="36"/>
        <v>0</v>
      </c>
      <c r="AI64" s="2829"/>
      <c r="AJ64" s="2813"/>
      <c r="AK64" s="2813"/>
      <c r="AL64" s="2830"/>
      <c r="AM64" s="2813"/>
      <c r="AN64" s="2811">
        <f t="shared" si="37"/>
        <v>0</v>
      </c>
      <c r="AO64" s="2818"/>
      <c r="AP64" s="2818"/>
      <c r="AQ64" s="2818"/>
      <c r="AR64" s="2818"/>
      <c r="AS64" s="2818"/>
      <c r="AT64" s="2818"/>
      <c r="AU64" s="2818"/>
      <c r="AV64" s="2818"/>
      <c r="AW64" s="2818"/>
      <c r="AX64" s="2818"/>
      <c r="AY64" s="2818"/>
      <c r="AZ64" s="2818"/>
      <c r="BA64" s="2818">
        <f t="shared" si="10"/>
        <v>0</v>
      </c>
      <c r="BB64" s="2818">
        <f t="shared" si="11"/>
        <v>0</v>
      </c>
      <c r="BD64" s="2800">
        <f t="shared" si="24"/>
        <v>0</v>
      </c>
      <c r="BE64" s="2800">
        <f t="shared" si="25"/>
        <v>0</v>
      </c>
      <c r="BF64" s="2800">
        <f t="shared" si="12"/>
        <v>0</v>
      </c>
    </row>
    <row r="65" spans="2:58" ht="76.900000000000006" hidden="1" customHeight="1" x14ac:dyDescent="0.2">
      <c r="B65" s="4249"/>
      <c r="C65" s="1186" t="s">
        <v>554</v>
      </c>
      <c r="D65" s="2827" t="s">
        <v>553</v>
      </c>
      <c r="E65" s="2814"/>
      <c r="F65" s="2814"/>
      <c r="G65" s="2813"/>
      <c r="H65" s="2811">
        <f t="shared" si="29"/>
        <v>0</v>
      </c>
      <c r="I65" s="2813"/>
      <c r="J65" s="2813"/>
      <c r="K65" s="2813"/>
      <c r="L65" s="2813"/>
      <c r="M65" s="2813"/>
      <c r="N65" s="2814">
        <f t="shared" si="32"/>
        <v>0</v>
      </c>
      <c r="O65" s="2813"/>
      <c r="P65" s="2813"/>
      <c r="Q65" s="2813"/>
      <c r="R65" s="2813"/>
      <c r="S65" s="2813"/>
      <c r="T65" s="2813"/>
      <c r="U65" s="2813">
        <f t="shared" si="33"/>
        <v>0</v>
      </c>
      <c r="V65" s="2814"/>
      <c r="W65" s="2813"/>
      <c r="X65" s="2813"/>
      <c r="Y65" s="2813"/>
      <c r="Z65" s="2813"/>
      <c r="AA65" s="2813"/>
      <c r="AB65" s="2813"/>
      <c r="AC65" s="2811">
        <f t="shared" si="34"/>
        <v>0</v>
      </c>
      <c r="AD65" s="2811"/>
      <c r="AE65" s="2811">
        <f t="shared" si="30"/>
        <v>0</v>
      </c>
      <c r="AF65" s="2811">
        <f t="shared" si="35"/>
        <v>0</v>
      </c>
      <c r="AG65" s="2812">
        <f t="shared" si="31"/>
        <v>0</v>
      </c>
      <c r="AH65" s="2811">
        <f t="shared" si="36"/>
        <v>0</v>
      </c>
      <c r="AI65" s="2829"/>
      <c r="AJ65" s="2813"/>
      <c r="AK65" s="2813"/>
      <c r="AL65" s="2830"/>
      <c r="AM65" s="2813"/>
      <c r="AN65" s="2811">
        <f t="shared" si="37"/>
        <v>0</v>
      </c>
      <c r="AO65" s="2818"/>
      <c r="AP65" s="2818"/>
      <c r="AQ65" s="2818"/>
      <c r="AR65" s="2818"/>
      <c r="AS65" s="2818"/>
      <c r="AT65" s="2818"/>
      <c r="AU65" s="2818"/>
      <c r="AV65" s="2818"/>
      <c r="AW65" s="2818"/>
      <c r="AX65" s="2818"/>
      <c r="AY65" s="2818"/>
      <c r="AZ65" s="2818"/>
      <c r="BA65" s="2818">
        <f t="shared" si="10"/>
        <v>0</v>
      </c>
      <c r="BB65" s="2818">
        <f t="shared" si="11"/>
        <v>0</v>
      </c>
      <c r="BD65" s="2800">
        <f t="shared" si="24"/>
        <v>0</v>
      </c>
      <c r="BE65" s="2800">
        <f t="shared" si="25"/>
        <v>0</v>
      </c>
      <c r="BF65" s="2800">
        <f t="shared" si="12"/>
        <v>0</v>
      </c>
    </row>
    <row r="66" spans="2:58" ht="76.900000000000006" hidden="1" customHeight="1" x14ac:dyDescent="0.2">
      <c r="B66" s="4249"/>
      <c r="C66" s="2854" t="s">
        <v>555</v>
      </c>
      <c r="D66" s="2821" t="s">
        <v>545</v>
      </c>
      <c r="E66" s="2814"/>
      <c r="F66" s="2814"/>
      <c r="G66" s="2813"/>
      <c r="H66" s="2811">
        <f t="shared" si="29"/>
        <v>0</v>
      </c>
      <c r="I66" s="2813"/>
      <c r="J66" s="2813"/>
      <c r="K66" s="2813"/>
      <c r="L66" s="2813"/>
      <c r="M66" s="2813"/>
      <c r="N66" s="2814">
        <f t="shared" si="32"/>
        <v>0</v>
      </c>
      <c r="O66" s="2813"/>
      <c r="P66" s="2813"/>
      <c r="Q66" s="2813"/>
      <c r="R66" s="2813"/>
      <c r="S66" s="2813"/>
      <c r="T66" s="2813"/>
      <c r="U66" s="2813">
        <f t="shared" si="33"/>
        <v>0</v>
      </c>
      <c r="V66" s="2814"/>
      <c r="W66" s="2813"/>
      <c r="X66" s="2813"/>
      <c r="Y66" s="2813"/>
      <c r="Z66" s="2813"/>
      <c r="AA66" s="2830"/>
      <c r="AB66" s="2830"/>
      <c r="AC66" s="2811">
        <f t="shared" si="34"/>
        <v>0</v>
      </c>
      <c r="AD66" s="2811"/>
      <c r="AE66" s="2811">
        <f t="shared" si="30"/>
        <v>0</v>
      </c>
      <c r="AF66" s="2811">
        <f t="shared" si="35"/>
        <v>0</v>
      </c>
      <c r="AG66" s="2812">
        <f t="shared" si="31"/>
        <v>0</v>
      </c>
      <c r="AH66" s="2811">
        <f t="shared" si="36"/>
        <v>0</v>
      </c>
      <c r="AI66" s="2829"/>
      <c r="AJ66" s="2813"/>
      <c r="AK66" s="2813"/>
      <c r="AL66" s="2830"/>
      <c r="AM66" s="2813"/>
      <c r="AN66" s="2811">
        <f t="shared" si="37"/>
        <v>0</v>
      </c>
      <c r="AO66" s="2818"/>
      <c r="AP66" s="2818"/>
      <c r="AQ66" s="2818"/>
      <c r="AR66" s="2818"/>
      <c r="AS66" s="2818"/>
      <c r="AT66" s="2818"/>
      <c r="AU66" s="2818"/>
      <c r="AV66" s="2818"/>
      <c r="AW66" s="2818"/>
      <c r="AX66" s="2818"/>
      <c r="AY66" s="2818"/>
      <c r="AZ66" s="2818"/>
      <c r="BA66" s="2818">
        <f t="shared" si="10"/>
        <v>0</v>
      </c>
      <c r="BB66" s="2818">
        <f t="shared" si="11"/>
        <v>0</v>
      </c>
      <c r="BD66" s="2800">
        <f t="shared" si="24"/>
        <v>0</v>
      </c>
      <c r="BE66" s="2800">
        <f t="shared" si="25"/>
        <v>0</v>
      </c>
      <c r="BF66" s="2800">
        <f t="shared" si="12"/>
        <v>0</v>
      </c>
    </row>
    <row r="67" spans="2:58" ht="113.45" customHeight="1" x14ac:dyDescent="0.2">
      <c r="B67" s="4249"/>
      <c r="C67" s="2854" t="s">
        <v>550</v>
      </c>
      <c r="D67" s="2821" t="s">
        <v>556</v>
      </c>
      <c r="E67" s="2814">
        <f>'يادداشت 1-13وجوهدريافتي ازخزانه'!V87</f>
        <v>0</v>
      </c>
      <c r="F67" s="2814"/>
      <c r="G67" s="2813"/>
      <c r="H67" s="2811">
        <f t="shared" si="29"/>
        <v>0</v>
      </c>
      <c r="I67" s="2813">
        <f>'یادداشت 7 دارایییی اصلاحی'!J152</f>
        <v>15369352992</v>
      </c>
      <c r="J67" s="2813">
        <f>'يادداشت_-5موجودی_جنسی__(2)'!F64</f>
        <v>500360876</v>
      </c>
      <c r="K67" s="2813"/>
      <c r="L67" s="2813"/>
      <c r="M67" s="2813"/>
      <c r="N67" s="2814">
        <f t="shared" si="32"/>
        <v>13715219496</v>
      </c>
      <c r="O67" s="2813"/>
      <c r="P67" s="2813"/>
      <c r="Q67" s="2813">
        <f>-'يادداشت 11 -سايربدهي_هاي_جاري'!I96</f>
        <v>10509672</v>
      </c>
      <c r="R67" s="2813">
        <f>-'يادداشت 1-1-10 حسابهاي پرداخخخ '!L161</f>
        <v>13704709824</v>
      </c>
      <c r="S67" s="2813"/>
      <c r="T67" s="2813"/>
      <c r="U67" s="2813">
        <f t="shared" si="33"/>
        <v>29584933364</v>
      </c>
      <c r="V67" s="2814">
        <f>'حفظ قدرت خرید'!L29</f>
        <v>-508000000</v>
      </c>
      <c r="W67" s="2813">
        <f>-13550150876</f>
        <v>-13550150876</v>
      </c>
      <c r="X67" s="2813"/>
      <c r="Y67" s="2813"/>
      <c r="Z67" s="2813"/>
      <c r="AA67" s="2813"/>
      <c r="AB67" s="2813"/>
      <c r="AC67" s="2811">
        <f t="shared" si="34"/>
        <v>-15526782488</v>
      </c>
      <c r="AD67" s="2811"/>
      <c r="AE67" s="2811">
        <f t="shared" si="30"/>
        <v>-29584933364</v>
      </c>
      <c r="AF67" s="2811">
        <f t="shared" si="35"/>
        <v>-14058150876</v>
      </c>
      <c r="AG67" s="2812">
        <f t="shared" si="31"/>
        <v>15526782488</v>
      </c>
      <c r="AH67" s="2811">
        <f t="shared" si="36"/>
        <v>0</v>
      </c>
      <c r="AI67" s="2829"/>
      <c r="AJ67" s="2813"/>
      <c r="AK67" s="2813"/>
      <c r="AL67" s="2813">
        <v>7000000000</v>
      </c>
      <c r="AM67" s="2813"/>
      <c r="AN67" s="2811">
        <f t="shared" si="37"/>
        <v>0</v>
      </c>
      <c r="AO67" s="2818"/>
      <c r="AP67" s="2818"/>
      <c r="AQ67" s="2818"/>
      <c r="AR67" s="2818"/>
      <c r="AS67" s="2818"/>
      <c r="AT67" s="2818"/>
      <c r="AU67" s="2818"/>
      <c r="AV67" s="2818"/>
      <c r="AW67" s="2818"/>
      <c r="AX67" s="2818"/>
      <c r="AY67" s="2818"/>
      <c r="AZ67" s="2818"/>
      <c r="BA67" s="2818">
        <f t="shared" si="10"/>
        <v>0</v>
      </c>
      <c r="BB67" s="2818">
        <f t="shared" si="11"/>
        <v>0</v>
      </c>
      <c r="BD67" s="2800">
        <f t="shared" si="24"/>
        <v>0</v>
      </c>
      <c r="BE67" s="2800">
        <f t="shared" si="25"/>
        <v>0</v>
      </c>
      <c r="BF67" s="2800">
        <f t="shared" si="12"/>
        <v>0</v>
      </c>
    </row>
    <row r="68" spans="2:58" ht="113.45" customHeight="1" x14ac:dyDescent="0.2">
      <c r="B68" s="4249"/>
      <c r="C68" s="2855" t="s">
        <v>206</v>
      </c>
      <c r="D68" s="2825" t="s">
        <v>207</v>
      </c>
      <c r="E68" s="2814"/>
      <c r="F68" s="2814"/>
      <c r="G68" s="2813"/>
      <c r="H68" s="2811">
        <f t="shared" si="29"/>
        <v>0</v>
      </c>
      <c r="I68" s="2813">
        <f>'یادداشت 7 دارایییی اصلاحی'!J42</f>
        <v>0</v>
      </c>
      <c r="J68" s="2813"/>
      <c r="K68" s="2813"/>
      <c r="L68" s="2813"/>
      <c r="M68" s="2813">
        <v>110796178</v>
      </c>
      <c r="N68" s="2814">
        <f t="shared" si="32"/>
        <v>807591352</v>
      </c>
      <c r="O68" s="2813"/>
      <c r="P68" s="2813"/>
      <c r="Q68" s="2813">
        <f>-'يادداشت 11 -سايربدهي_هاي_جاري'!I33</f>
        <v>188956684</v>
      </c>
      <c r="R68" s="2813">
        <f>-'يادداشت 1-1-10 حسابهاي پرداخخخ '!L144</f>
        <v>618634668</v>
      </c>
      <c r="S68" s="2813"/>
      <c r="T68" s="2813"/>
      <c r="U68" s="2813">
        <f t="shared" si="33"/>
        <v>918387530</v>
      </c>
      <c r="V68" s="2814"/>
      <c r="W68" s="2813"/>
      <c r="X68" s="2813"/>
      <c r="Y68" s="2813"/>
      <c r="Z68" s="2813"/>
      <c r="AA68" s="2813"/>
      <c r="AB68" s="2813"/>
      <c r="AC68" s="2811">
        <f t="shared" si="34"/>
        <v>-918387530</v>
      </c>
      <c r="AD68" s="2811"/>
      <c r="AE68" s="2811">
        <f t="shared" si="30"/>
        <v>-918387530</v>
      </c>
      <c r="AF68" s="2811">
        <f t="shared" si="35"/>
        <v>0</v>
      </c>
      <c r="AG68" s="2812">
        <f t="shared" si="31"/>
        <v>918387530</v>
      </c>
      <c r="AH68" s="2811">
        <f t="shared" si="36"/>
        <v>0</v>
      </c>
      <c r="AI68" s="2829"/>
      <c r="AJ68" s="2813"/>
      <c r="AK68" s="2813"/>
      <c r="AL68" s="2830"/>
      <c r="AM68" s="2813"/>
      <c r="AN68" s="2811">
        <f t="shared" si="37"/>
        <v>0</v>
      </c>
      <c r="AO68" s="2818"/>
      <c r="AP68" s="2818"/>
      <c r="AQ68" s="2818"/>
      <c r="AR68" s="2818"/>
      <c r="AS68" s="2818"/>
      <c r="AT68" s="2818"/>
      <c r="AU68" s="2818"/>
      <c r="AV68" s="2818"/>
      <c r="AW68" s="2818"/>
      <c r="AX68" s="2818"/>
      <c r="AY68" s="2818"/>
      <c r="AZ68" s="2818"/>
      <c r="BA68" s="2818">
        <f t="shared" si="10"/>
        <v>0</v>
      </c>
      <c r="BB68" s="2818">
        <f t="shared" si="11"/>
        <v>0</v>
      </c>
      <c r="BD68" s="2800">
        <f t="shared" si="24"/>
        <v>0</v>
      </c>
      <c r="BE68" s="2800">
        <f t="shared" si="25"/>
        <v>0</v>
      </c>
      <c r="BF68" s="2800">
        <f t="shared" si="12"/>
        <v>0</v>
      </c>
    </row>
    <row r="69" spans="2:58" ht="112.15" customHeight="1" x14ac:dyDescent="0.2">
      <c r="B69" s="4249"/>
      <c r="C69" s="2854" t="s">
        <v>609</v>
      </c>
      <c r="D69" s="2827" t="s">
        <v>607</v>
      </c>
      <c r="E69" s="2814">
        <f>'يادداشت 1-13وجوهدريافتي ازخزانه'!V23</f>
        <v>0</v>
      </c>
      <c r="F69" s="2814"/>
      <c r="G69" s="2813"/>
      <c r="H69" s="2811"/>
      <c r="I69" s="2813">
        <f>'یادداشت 7 دارایییی اصلاحی'!J167</f>
        <v>220247295318</v>
      </c>
      <c r="J69" s="2813">
        <f>'يادداشت_-5موجودی_جنسی__(2)'!F44</f>
        <v>7875416956</v>
      </c>
      <c r="K69" s="2813">
        <f>'پيش پرداخت سرمايه اي يادداشت 6'!H63</f>
        <v>13566680822</v>
      </c>
      <c r="L69" s="2813">
        <f>'ياد 15  سايرهزينه '!I24</f>
        <v>9263000000</v>
      </c>
      <c r="M69" s="2813"/>
      <c r="N69" s="2814">
        <f t="shared" si="32"/>
        <v>391385817668</v>
      </c>
      <c r="O69" s="2813"/>
      <c r="P69" s="2813"/>
      <c r="Q69" s="2813">
        <f>-'يادداشت 11 -سايربدهي_هاي_جاري'!I115</f>
        <v>19229475514</v>
      </c>
      <c r="R69" s="2832">
        <f>-'يادداشت 1-1-10 حسابهاي پرداخخخ '!L56</f>
        <v>372156342154</v>
      </c>
      <c r="S69" s="2813">
        <f>-'يادداشت 1-13وجوهدريافتي ازخزانه'!M23</f>
        <v>1231000000</v>
      </c>
      <c r="T69" s="2813"/>
      <c r="U69" s="2813">
        <f t="shared" si="33"/>
        <v>643569210764</v>
      </c>
      <c r="V69" s="2814">
        <f>'حفظ قدرت خرید'!L53</f>
        <v>-63509000000</v>
      </c>
      <c r="W69" s="2813">
        <f>-190491870659</f>
        <v>-190491870659</v>
      </c>
      <c r="X69" s="2813"/>
      <c r="Y69" s="2813"/>
      <c r="Z69" s="2813"/>
      <c r="AA69" s="2813">
        <f>-'يادداشت 1-13وجوهدريافتي ازخزانه'!J23</f>
        <v>-5000000000</v>
      </c>
      <c r="AB69" s="2813">
        <f>-4507017544</f>
        <v>-4507017544</v>
      </c>
      <c r="AC69" s="2811">
        <f t="shared" si="34"/>
        <v>-380061322561</v>
      </c>
      <c r="AD69" s="2811"/>
      <c r="AE69" s="2811">
        <f t="shared" si="30"/>
        <v>-643569210764</v>
      </c>
      <c r="AF69" s="2811">
        <f t="shared" si="35"/>
        <v>-263507888203</v>
      </c>
      <c r="AG69" s="2812">
        <f t="shared" si="31"/>
        <v>380061322561</v>
      </c>
      <c r="AH69" s="2811">
        <f t="shared" si="36"/>
        <v>0</v>
      </c>
      <c r="AI69" s="2828"/>
      <c r="AJ69" s="2813"/>
      <c r="AK69" s="2813"/>
      <c r="AL69" s="2830"/>
      <c r="AM69" s="2813"/>
      <c r="AN69" s="2811">
        <f t="shared" si="37"/>
        <v>0</v>
      </c>
      <c r="AO69" s="2818"/>
      <c r="AP69" s="2818"/>
      <c r="AQ69" s="2818"/>
      <c r="AR69" s="2818"/>
      <c r="AS69" s="2818"/>
      <c r="AT69" s="2818"/>
      <c r="AU69" s="2818"/>
      <c r="AV69" s="2818"/>
      <c r="AW69" s="2818"/>
      <c r="AX69" s="2818"/>
      <c r="AY69" s="2818"/>
      <c r="AZ69" s="2818"/>
      <c r="BA69" s="2818">
        <f t="shared" si="10"/>
        <v>0</v>
      </c>
      <c r="BB69" s="2818">
        <f t="shared" si="11"/>
        <v>0</v>
      </c>
      <c r="BD69" s="2800">
        <f t="shared" si="24"/>
        <v>0</v>
      </c>
      <c r="BE69" s="2800">
        <f t="shared" si="25"/>
        <v>0</v>
      </c>
      <c r="BF69" s="2800">
        <f t="shared" si="12"/>
        <v>0</v>
      </c>
    </row>
    <row r="70" spans="2:58" ht="113.45" hidden="1" customHeight="1" x14ac:dyDescent="0.2">
      <c r="B70" s="4249"/>
      <c r="C70" s="2854" t="s">
        <v>611</v>
      </c>
      <c r="D70" s="2827" t="s">
        <v>597</v>
      </c>
      <c r="E70" s="2816"/>
      <c r="F70" s="2846"/>
      <c r="G70" s="2820"/>
      <c r="H70" s="2811">
        <f t="shared" si="29"/>
        <v>0</v>
      </c>
      <c r="I70" s="2811">
        <f>'یادداشت 7 دارایییی اصلاحی'!J169</f>
        <v>0</v>
      </c>
      <c r="J70" s="2811"/>
      <c r="K70" s="2811"/>
      <c r="L70" s="2811"/>
      <c r="M70" s="2811"/>
      <c r="N70" s="2814">
        <f t="shared" si="32"/>
        <v>0</v>
      </c>
      <c r="O70" s="2811"/>
      <c r="P70" s="2811"/>
      <c r="Q70" s="2812"/>
      <c r="R70" s="2813"/>
      <c r="S70" s="2813"/>
      <c r="T70" s="2813"/>
      <c r="U70" s="2813">
        <f t="shared" si="33"/>
        <v>0</v>
      </c>
      <c r="V70" s="2846"/>
      <c r="W70" s="2811"/>
      <c r="X70" s="2811"/>
      <c r="Y70" s="2811"/>
      <c r="Z70" s="2811"/>
      <c r="AA70" s="2811"/>
      <c r="AB70" s="2820"/>
      <c r="AC70" s="2811">
        <f t="shared" si="34"/>
        <v>0</v>
      </c>
      <c r="AD70" s="2811"/>
      <c r="AE70" s="2811">
        <f t="shared" si="30"/>
        <v>0</v>
      </c>
      <c r="AF70" s="2811">
        <f t="shared" si="35"/>
        <v>0</v>
      </c>
      <c r="AG70" s="2812">
        <f t="shared" si="31"/>
        <v>0</v>
      </c>
      <c r="AH70" s="2811">
        <f t="shared" si="36"/>
        <v>0</v>
      </c>
      <c r="AI70" s="2829"/>
      <c r="AJ70" s="2813"/>
      <c r="AK70" s="2816"/>
      <c r="AL70" s="2859"/>
      <c r="AM70" s="2820"/>
      <c r="AN70" s="2811">
        <f t="shared" si="37"/>
        <v>0</v>
      </c>
      <c r="AO70" s="2818"/>
      <c r="AP70" s="2818"/>
      <c r="AQ70" s="2818"/>
      <c r="AR70" s="2818"/>
      <c r="AS70" s="2818"/>
      <c r="AT70" s="2818"/>
      <c r="AU70" s="2818"/>
      <c r="AV70" s="2818"/>
      <c r="AW70" s="2818"/>
      <c r="AX70" s="2818"/>
      <c r="AY70" s="2818"/>
      <c r="AZ70" s="2818"/>
      <c r="BA70" s="2818">
        <f t="shared" si="10"/>
        <v>0</v>
      </c>
      <c r="BB70" s="2818">
        <f t="shared" si="11"/>
        <v>0</v>
      </c>
      <c r="BD70" s="2800">
        <f t="shared" si="24"/>
        <v>0</v>
      </c>
      <c r="BE70" s="2800">
        <f t="shared" si="25"/>
        <v>0</v>
      </c>
      <c r="BF70" s="2800">
        <f t="shared" si="12"/>
        <v>0</v>
      </c>
    </row>
    <row r="71" spans="2:58" ht="165" customHeight="1" x14ac:dyDescent="0.2">
      <c r="B71" s="4237" t="s">
        <v>94</v>
      </c>
      <c r="C71" s="4237"/>
      <c r="D71" s="4237"/>
      <c r="E71" s="2816">
        <f>SUM(E40:E70)</f>
        <v>0</v>
      </c>
      <c r="F71" s="2816">
        <f t="shared" ref="F71:AN71" si="38">SUM(F40:F70)</f>
        <v>0</v>
      </c>
      <c r="G71" s="2816">
        <f t="shared" si="38"/>
        <v>0</v>
      </c>
      <c r="H71" s="2816">
        <f t="shared" si="38"/>
        <v>0</v>
      </c>
      <c r="I71" s="2816">
        <f t="shared" si="38"/>
        <v>449482981872</v>
      </c>
      <c r="J71" s="2816">
        <f t="shared" si="38"/>
        <v>11875777832</v>
      </c>
      <c r="K71" s="2816">
        <f t="shared" si="38"/>
        <v>53783375238</v>
      </c>
      <c r="L71" s="2816">
        <f t="shared" si="38"/>
        <v>9627000000</v>
      </c>
      <c r="M71" s="2816">
        <f t="shared" si="38"/>
        <v>125438082385</v>
      </c>
      <c r="N71" s="2816">
        <f t="shared" si="38"/>
        <v>1102025448536</v>
      </c>
      <c r="O71" s="2816">
        <f t="shared" si="38"/>
        <v>0</v>
      </c>
      <c r="P71" s="2816">
        <f t="shared" si="38"/>
        <v>0</v>
      </c>
      <c r="Q71" s="2816">
        <f t="shared" si="38"/>
        <v>57958382361</v>
      </c>
      <c r="R71" s="2816">
        <f t="shared" si="38"/>
        <v>1044067066175</v>
      </c>
      <c r="S71" s="2816">
        <f t="shared" si="38"/>
        <v>4684000000</v>
      </c>
      <c r="T71" s="2816">
        <f t="shared" si="38"/>
        <v>0</v>
      </c>
      <c r="U71" s="2816">
        <f t="shared" si="38"/>
        <v>1756916665863</v>
      </c>
      <c r="V71" s="2816">
        <f t="shared" si="38"/>
        <v>-79272000000</v>
      </c>
      <c r="W71" s="2816">
        <f t="shared" si="38"/>
        <v>-517861731361</v>
      </c>
      <c r="X71" s="2816">
        <f t="shared" si="38"/>
        <v>0</v>
      </c>
      <c r="Y71" s="2816">
        <f t="shared" si="38"/>
        <v>0</v>
      </c>
      <c r="Z71" s="2816">
        <f t="shared" si="38"/>
        <v>0</v>
      </c>
      <c r="AA71" s="2816">
        <f t="shared" si="38"/>
        <v>-20000000000</v>
      </c>
      <c r="AB71" s="2816">
        <f t="shared" si="38"/>
        <v>-36506882310</v>
      </c>
      <c r="AC71" s="2816">
        <f t="shared" si="38"/>
        <v>-1103276052192</v>
      </c>
      <c r="AD71" s="2816">
        <f t="shared" si="38"/>
        <v>0</v>
      </c>
      <c r="AE71" s="2816">
        <f t="shared" si="38"/>
        <v>-1756916665863</v>
      </c>
      <c r="AF71" s="2816">
        <f t="shared" si="38"/>
        <v>-653640613671</v>
      </c>
      <c r="AG71" s="2816">
        <f t="shared" si="38"/>
        <v>1103276052192</v>
      </c>
      <c r="AH71" s="2816">
        <f t="shared" si="38"/>
        <v>0</v>
      </c>
      <c r="AI71" s="2816">
        <f t="shared" si="38"/>
        <v>0</v>
      </c>
      <c r="AJ71" s="2816">
        <f t="shared" si="38"/>
        <v>0</v>
      </c>
      <c r="AK71" s="2816">
        <f t="shared" si="38"/>
        <v>0</v>
      </c>
      <c r="AL71" s="2816">
        <f t="shared" si="38"/>
        <v>92272000000</v>
      </c>
      <c r="AM71" s="2816">
        <f t="shared" si="38"/>
        <v>0</v>
      </c>
      <c r="AN71" s="2816">
        <f t="shared" si="38"/>
        <v>0</v>
      </c>
      <c r="AO71" s="2818"/>
      <c r="AP71" s="2818"/>
      <c r="AQ71" s="2818"/>
      <c r="AR71" s="2818"/>
      <c r="AS71" s="2818"/>
      <c r="AT71" s="2818"/>
      <c r="AU71" s="2818"/>
      <c r="AV71" s="2818"/>
      <c r="AW71" s="2818"/>
      <c r="AX71" s="2818"/>
      <c r="AY71" s="2818"/>
      <c r="AZ71" s="2818"/>
      <c r="BA71" s="2818">
        <f t="shared" si="10"/>
        <v>0</v>
      </c>
      <c r="BB71" s="2818">
        <f t="shared" si="11"/>
        <v>0</v>
      </c>
      <c r="BD71" s="2800">
        <f t="shared" si="24"/>
        <v>0</v>
      </c>
      <c r="BE71" s="2800">
        <f t="shared" si="25"/>
        <v>0</v>
      </c>
      <c r="BF71" s="2800">
        <f t="shared" si="12"/>
        <v>0</v>
      </c>
    </row>
    <row r="72" spans="2:58" ht="126" customHeight="1" x14ac:dyDescent="0.2">
      <c r="B72" s="2929"/>
      <c r="C72" s="2929"/>
      <c r="D72" s="2929"/>
      <c r="E72" s="2930"/>
      <c r="F72" s="2930"/>
      <c r="G72" s="2930"/>
      <c r="H72" s="2930"/>
      <c r="I72" s="2930"/>
      <c r="J72" s="2930"/>
      <c r="K72" s="2930"/>
      <c r="L72" s="2930"/>
      <c r="M72" s="2930"/>
      <c r="N72" s="2930"/>
      <c r="O72" s="2930"/>
      <c r="P72" s="2930"/>
      <c r="Q72" s="2930"/>
      <c r="R72" s="2930"/>
      <c r="S72" s="2930"/>
      <c r="T72" s="2930"/>
      <c r="U72" s="2930"/>
      <c r="V72" s="2930"/>
      <c r="W72" s="2930"/>
      <c r="X72" s="2930"/>
      <c r="Y72" s="2930"/>
      <c r="Z72" s="2930"/>
      <c r="AA72" s="2930"/>
      <c r="AB72" s="2930"/>
      <c r="AC72" s="2930"/>
      <c r="AD72" s="2930"/>
      <c r="AE72" s="2930"/>
      <c r="AF72" s="2930"/>
      <c r="AG72" s="2930"/>
      <c r="AH72" s="2930"/>
      <c r="AI72" s="2930"/>
      <c r="AJ72" s="2930"/>
      <c r="AK72" s="2930"/>
      <c r="AL72" s="2930"/>
      <c r="AM72" s="2930"/>
      <c r="AN72" s="2930"/>
      <c r="AO72" s="2818"/>
      <c r="AP72" s="2818"/>
      <c r="AQ72" s="2818"/>
      <c r="AR72" s="2818"/>
      <c r="AS72" s="2818"/>
      <c r="AT72" s="2818"/>
      <c r="AU72" s="2818"/>
      <c r="AV72" s="2818"/>
      <c r="AW72" s="2818"/>
      <c r="AX72" s="2818"/>
      <c r="AY72" s="2818"/>
      <c r="AZ72" s="2818"/>
      <c r="BA72" s="2818"/>
      <c r="BB72" s="2818"/>
    </row>
    <row r="73" spans="2:58" ht="160.9" customHeight="1" x14ac:dyDescent="0.2">
      <c r="B73" s="4248">
        <v>111</v>
      </c>
      <c r="C73" s="4248"/>
      <c r="D73" s="4248"/>
      <c r="E73" s="4248"/>
      <c r="F73" s="4248"/>
      <c r="G73" s="4248"/>
      <c r="H73" s="4248"/>
      <c r="I73" s="4248"/>
      <c r="J73" s="4248"/>
      <c r="K73" s="4248"/>
      <c r="L73" s="4248"/>
      <c r="M73" s="4248"/>
      <c r="N73" s="4248"/>
      <c r="O73" s="4248"/>
      <c r="P73" s="4248"/>
      <c r="Q73" s="4248"/>
      <c r="R73" s="4248"/>
      <c r="S73" s="4248"/>
      <c r="T73" s="4248"/>
      <c r="U73" s="4248"/>
      <c r="V73" s="4248"/>
      <c r="W73" s="4248"/>
      <c r="X73" s="4248"/>
      <c r="Y73" s="4248"/>
      <c r="Z73" s="4248"/>
      <c r="AA73" s="4248"/>
      <c r="AB73" s="4248"/>
      <c r="AC73" s="4248"/>
      <c r="AD73" s="4248"/>
      <c r="AE73" s="4248"/>
      <c r="AF73" s="4248"/>
      <c r="AG73" s="4248"/>
      <c r="AH73" s="4248"/>
      <c r="AI73" s="4248"/>
      <c r="AJ73" s="4248"/>
      <c r="AK73" s="4248"/>
      <c r="AL73" s="4248"/>
      <c r="AM73" s="4248"/>
      <c r="AN73" s="4248"/>
      <c r="AO73" s="2953"/>
      <c r="AP73" s="2953"/>
      <c r="AQ73" s="2953"/>
      <c r="AR73" s="2953"/>
      <c r="AS73" s="2953"/>
      <c r="AT73" s="2953"/>
      <c r="AU73" s="2953"/>
      <c r="AV73" s="2953"/>
      <c r="AW73" s="2953"/>
      <c r="AX73" s="2953"/>
      <c r="AY73" s="2953"/>
      <c r="AZ73" s="2953"/>
      <c r="BA73" s="2818">
        <f t="shared" si="10"/>
        <v>0</v>
      </c>
      <c r="BB73" s="2818">
        <f t="shared" si="11"/>
        <v>0</v>
      </c>
      <c r="BD73" s="2800">
        <f t="shared" si="24"/>
        <v>0</v>
      </c>
      <c r="BE73" s="2800">
        <f t="shared" si="25"/>
        <v>0</v>
      </c>
      <c r="BF73" s="2800">
        <f t="shared" si="12"/>
        <v>0</v>
      </c>
    </row>
    <row r="74" spans="2:58" ht="48.6" customHeight="1" x14ac:dyDescent="0.2">
      <c r="B74" s="2849"/>
      <c r="C74" s="4219" t="s">
        <v>24</v>
      </c>
      <c r="D74" s="4219"/>
      <c r="E74" s="4219"/>
      <c r="F74" s="4219"/>
      <c r="G74" s="4219"/>
      <c r="H74" s="4219"/>
      <c r="I74" s="4219"/>
      <c r="J74" s="4219"/>
      <c r="K74" s="4219"/>
      <c r="L74" s="4219"/>
      <c r="M74" s="4219"/>
      <c r="N74" s="4219"/>
      <c r="O74" s="4219"/>
      <c r="P74" s="4219"/>
      <c r="Q74" s="4219"/>
      <c r="R74" s="4219"/>
      <c r="S74" s="4219"/>
      <c r="T74" s="4219"/>
      <c r="U74" s="4219"/>
      <c r="V74" s="4219"/>
      <c r="W74" s="4219"/>
      <c r="X74" s="4219"/>
      <c r="Y74" s="4219"/>
      <c r="Z74" s="4219"/>
      <c r="AA74" s="4219"/>
      <c r="AB74" s="4219"/>
      <c r="AC74" s="4219"/>
      <c r="AD74" s="4219"/>
      <c r="AE74" s="4219"/>
      <c r="AF74" s="4219"/>
      <c r="AG74" s="4219"/>
      <c r="AH74" s="4219"/>
      <c r="AI74" s="4219"/>
      <c r="AJ74" s="4219"/>
      <c r="AK74" s="4219"/>
      <c r="AL74" s="4219"/>
      <c r="AM74" s="4219"/>
      <c r="AN74" s="4219"/>
      <c r="AO74" s="2950"/>
      <c r="AP74" s="2950"/>
      <c r="AQ74" s="2950"/>
      <c r="AR74" s="2950"/>
      <c r="AS74" s="2950"/>
      <c r="AT74" s="2950"/>
      <c r="AU74" s="2950"/>
      <c r="AV74" s="2950"/>
      <c r="AW74" s="2950"/>
      <c r="AX74" s="2950"/>
      <c r="AY74" s="2950"/>
      <c r="AZ74" s="2950"/>
      <c r="BA74" s="2818">
        <f t="shared" si="10"/>
        <v>0</v>
      </c>
      <c r="BB74" s="2818">
        <f t="shared" si="11"/>
        <v>0</v>
      </c>
      <c r="BD74" s="2800">
        <f t="shared" si="24"/>
        <v>0</v>
      </c>
      <c r="BE74" s="2800">
        <f t="shared" si="25"/>
        <v>0</v>
      </c>
      <c r="BF74" s="2800">
        <f t="shared" si="12"/>
        <v>0</v>
      </c>
    </row>
    <row r="75" spans="2:58" ht="48.6" customHeight="1" x14ac:dyDescent="0.2">
      <c r="B75" s="2849"/>
      <c r="C75" s="4219" t="s">
        <v>51</v>
      </c>
      <c r="D75" s="4219"/>
      <c r="E75" s="4219"/>
      <c r="F75" s="4219"/>
      <c r="G75" s="4219"/>
      <c r="H75" s="4219"/>
      <c r="I75" s="4219"/>
      <c r="J75" s="4219"/>
      <c r="K75" s="4219"/>
      <c r="L75" s="4219"/>
      <c r="M75" s="4219"/>
      <c r="N75" s="4219"/>
      <c r="O75" s="4219"/>
      <c r="P75" s="4219"/>
      <c r="Q75" s="4219"/>
      <c r="R75" s="4219"/>
      <c r="S75" s="4219"/>
      <c r="T75" s="4219"/>
      <c r="U75" s="4219"/>
      <c r="V75" s="4219"/>
      <c r="W75" s="4219"/>
      <c r="X75" s="4219"/>
      <c r="Y75" s="4219"/>
      <c r="Z75" s="4219"/>
      <c r="AA75" s="4219"/>
      <c r="AB75" s="4219"/>
      <c r="AC75" s="4219"/>
      <c r="AD75" s="4219"/>
      <c r="AE75" s="4219"/>
      <c r="AF75" s="4219"/>
      <c r="AG75" s="4219"/>
      <c r="AH75" s="4219"/>
      <c r="AI75" s="4219"/>
      <c r="AJ75" s="4219"/>
      <c r="AK75" s="4219"/>
      <c r="AL75" s="4219"/>
      <c r="AM75" s="4219"/>
      <c r="AN75" s="4219"/>
      <c r="AO75" s="2950"/>
      <c r="AP75" s="2950"/>
      <c r="AQ75" s="2950"/>
      <c r="AR75" s="2950"/>
      <c r="AS75" s="2950"/>
      <c r="AT75" s="2950"/>
      <c r="AU75" s="2950"/>
      <c r="AV75" s="2950"/>
      <c r="AW75" s="2950"/>
      <c r="AX75" s="2950"/>
      <c r="AY75" s="2950"/>
      <c r="AZ75" s="2950"/>
      <c r="BA75" s="2818">
        <f t="shared" si="10"/>
        <v>0</v>
      </c>
      <c r="BB75" s="2818">
        <f t="shared" si="11"/>
        <v>0</v>
      </c>
      <c r="BF75" s="2800">
        <f t="shared" si="12"/>
        <v>0</v>
      </c>
    </row>
    <row r="76" spans="2:58" ht="48.6" customHeight="1" x14ac:dyDescent="0.2">
      <c r="B76" s="2849"/>
      <c r="C76" s="4219" t="s">
        <v>337</v>
      </c>
      <c r="D76" s="4219"/>
      <c r="E76" s="4219"/>
      <c r="F76" s="4219"/>
      <c r="G76" s="4219"/>
      <c r="H76" s="4219"/>
      <c r="I76" s="4219"/>
      <c r="J76" s="4219"/>
      <c r="K76" s="4219"/>
      <c r="L76" s="4219"/>
      <c r="M76" s="4219"/>
      <c r="N76" s="4219"/>
      <c r="O76" s="4219"/>
      <c r="P76" s="4219"/>
      <c r="Q76" s="4219"/>
      <c r="R76" s="4219"/>
      <c r="S76" s="4219"/>
      <c r="T76" s="4219"/>
      <c r="U76" s="4219"/>
      <c r="V76" s="4219"/>
      <c r="W76" s="4219"/>
      <c r="X76" s="4219"/>
      <c r="Y76" s="4219"/>
      <c r="Z76" s="4219"/>
      <c r="AA76" s="4219"/>
      <c r="AB76" s="4219"/>
      <c r="AC76" s="4219"/>
      <c r="AD76" s="4219"/>
      <c r="AE76" s="4219"/>
      <c r="AF76" s="4219"/>
      <c r="AG76" s="4219"/>
      <c r="AH76" s="4219"/>
      <c r="AI76" s="4219"/>
      <c r="AJ76" s="4219"/>
      <c r="AK76" s="4219"/>
      <c r="AL76" s="4219"/>
      <c r="AM76" s="4219"/>
      <c r="AN76" s="4219"/>
      <c r="AO76" s="2950"/>
      <c r="AP76" s="2950"/>
      <c r="AQ76" s="2950"/>
      <c r="AR76" s="2950"/>
      <c r="AS76" s="2950"/>
      <c r="AT76" s="2950"/>
      <c r="AU76" s="2950"/>
      <c r="AV76" s="2950"/>
      <c r="AW76" s="2950"/>
      <c r="AX76" s="2950"/>
      <c r="AY76" s="2950"/>
      <c r="AZ76" s="2950"/>
      <c r="BA76" s="2818">
        <f t="shared" si="10"/>
        <v>0</v>
      </c>
      <c r="BB76" s="2818">
        <f t="shared" si="11"/>
        <v>0</v>
      </c>
      <c r="BF76" s="2800">
        <f t="shared" si="12"/>
        <v>0</v>
      </c>
    </row>
    <row r="77" spans="2:58" ht="48.6" customHeight="1" x14ac:dyDescent="0.2">
      <c r="B77" s="2849"/>
      <c r="C77" s="4219" t="s">
        <v>1992</v>
      </c>
      <c r="D77" s="4219"/>
      <c r="E77" s="4219"/>
      <c r="F77" s="4219"/>
      <c r="G77" s="4219"/>
      <c r="H77" s="4219"/>
      <c r="I77" s="4219"/>
      <c r="J77" s="4219"/>
      <c r="K77" s="4219"/>
      <c r="L77" s="4219"/>
      <c r="M77" s="4219"/>
      <c r="N77" s="4219"/>
      <c r="O77" s="4219"/>
      <c r="P77" s="4219"/>
      <c r="Q77" s="4219"/>
      <c r="R77" s="4219"/>
      <c r="S77" s="4219"/>
      <c r="T77" s="4219"/>
      <c r="U77" s="4219"/>
      <c r="V77" s="4219"/>
      <c r="W77" s="4219"/>
      <c r="X77" s="4219"/>
      <c r="Y77" s="4219"/>
      <c r="Z77" s="4219"/>
      <c r="AA77" s="4219"/>
      <c r="AB77" s="4219"/>
      <c r="AC77" s="4219"/>
      <c r="AD77" s="4219"/>
      <c r="AE77" s="4219"/>
      <c r="AF77" s="4219"/>
      <c r="AG77" s="4219"/>
      <c r="AH77" s="4219"/>
      <c r="AI77" s="4219"/>
      <c r="AJ77" s="4219"/>
      <c r="AK77" s="4219"/>
      <c r="AL77" s="4219"/>
      <c r="AM77" s="4219"/>
      <c r="AN77" s="4219"/>
      <c r="AO77" s="2950"/>
      <c r="AP77" s="2950"/>
      <c r="AQ77" s="2950"/>
      <c r="AR77" s="2950"/>
      <c r="AS77" s="2950"/>
      <c r="AT77" s="2950"/>
      <c r="AU77" s="2950"/>
      <c r="AV77" s="2950"/>
      <c r="AW77" s="2950"/>
      <c r="AX77" s="2950"/>
      <c r="AY77" s="2950"/>
      <c r="AZ77" s="2950"/>
      <c r="BA77" s="2818">
        <f t="shared" si="10"/>
        <v>0</v>
      </c>
      <c r="BB77" s="2818">
        <f t="shared" si="11"/>
        <v>0</v>
      </c>
      <c r="BF77" s="2800">
        <f t="shared" si="12"/>
        <v>0</v>
      </c>
    </row>
    <row r="78" spans="2:58" ht="34.15" customHeight="1" x14ac:dyDescent="0.2">
      <c r="B78" s="2849"/>
      <c r="C78" s="4220" t="s">
        <v>1850</v>
      </c>
      <c r="D78" s="4220"/>
      <c r="E78" s="4220"/>
      <c r="F78" s="4220"/>
      <c r="G78" s="4220"/>
      <c r="H78" s="4220"/>
      <c r="I78" s="4220"/>
      <c r="J78" s="4220"/>
      <c r="K78" s="4220"/>
      <c r="L78" s="4220"/>
      <c r="M78" s="4220"/>
      <c r="N78" s="4220"/>
      <c r="O78" s="4220"/>
      <c r="P78" s="4220"/>
      <c r="Q78" s="4220"/>
      <c r="R78" s="4220"/>
      <c r="S78" s="4220"/>
      <c r="T78" s="4220"/>
      <c r="U78" s="4220"/>
      <c r="V78" s="4220"/>
      <c r="W78" s="4220"/>
      <c r="X78" s="4220"/>
      <c r="Y78" s="4220"/>
      <c r="Z78" s="2802"/>
      <c r="AA78" s="2802"/>
      <c r="AB78" s="2802"/>
      <c r="AC78" s="2802"/>
      <c r="AD78" s="2802"/>
      <c r="AE78" s="2802"/>
      <c r="AF78" s="2802"/>
      <c r="AG78" s="2802"/>
      <c r="AH78" s="2802"/>
      <c r="AI78" s="2802"/>
      <c r="AJ78" s="2802"/>
      <c r="AK78" s="2802"/>
      <c r="AL78" s="2802"/>
      <c r="AM78" s="2802"/>
      <c r="AN78" s="2802"/>
      <c r="AO78" s="2802"/>
      <c r="AP78" s="2802"/>
      <c r="AQ78" s="2802"/>
      <c r="AR78" s="2802"/>
      <c r="AS78" s="2802"/>
      <c r="AT78" s="2802"/>
      <c r="AU78" s="2802"/>
      <c r="AV78" s="2802"/>
      <c r="AW78" s="2802"/>
      <c r="AX78" s="2802"/>
      <c r="AY78" s="2802"/>
      <c r="AZ78" s="2802"/>
      <c r="BA78" s="2818">
        <f t="shared" si="10"/>
        <v>0</v>
      </c>
      <c r="BB78" s="2818">
        <f t="shared" si="11"/>
        <v>0</v>
      </c>
      <c r="BF78" s="2800">
        <f t="shared" si="12"/>
        <v>0</v>
      </c>
    </row>
    <row r="79" spans="2:58" ht="34.15" customHeight="1" x14ac:dyDescent="0.2">
      <c r="B79" s="2849"/>
      <c r="C79" s="2803"/>
      <c r="D79" s="2804"/>
      <c r="E79" s="2803"/>
      <c r="F79" s="2803"/>
      <c r="G79" s="2803"/>
      <c r="H79" s="2803"/>
      <c r="I79" s="2803"/>
      <c r="J79" s="2803"/>
      <c r="K79" s="2803"/>
      <c r="L79" s="2803"/>
      <c r="M79" s="2803"/>
      <c r="N79" s="2803"/>
      <c r="O79" s="2803"/>
      <c r="P79" s="2803"/>
      <c r="Q79" s="2803"/>
      <c r="R79" s="2803"/>
      <c r="S79" s="2803"/>
      <c r="T79" s="2803"/>
      <c r="U79" s="2803"/>
      <c r="V79" s="2803"/>
      <c r="W79" s="2803"/>
      <c r="X79" s="2803"/>
      <c r="Y79" s="2803"/>
      <c r="Z79" s="2803"/>
      <c r="AA79" s="2803"/>
      <c r="AB79" s="2803"/>
      <c r="AC79" s="2803"/>
      <c r="AD79" s="2803"/>
      <c r="AE79" s="2803"/>
      <c r="AF79" s="2803"/>
      <c r="AG79" s="2803"/>
      <c r="AH79" s="2803"/>
      <c r="AI79" s="2803"/>
      <c r="AJ79" s="2803"/>
      <c r="AK79" s="2803"/>
      <c r="AL79" s="2803"/>
      <c r="AM79" s="4254" t="s">
        <v>523</v>
      </c>
      <c r="AN79" s="4254"/>
      <c r="AO79" s="2955"/>
      <c r="AP79" s="2955"/>
      <c r="AQ79" s="2955"/>
      <c r="AR79" s="2955"/>
      <c r="AS79" s="2955"/>
      <c r="AT79" s="2955"/>
      <c r="AU79" s="2955"/>
      <c r="AV79" s="2955"/>
      <c r="AW79" s="2955"/>
      <c r="AX79" s="2955"/>
      <c r="AY79" s="2955"/>
      <c r="AZ79" s="2955"/>
      <c r="BA79" s="2818">
        <f t="shared" si="10"/>
        <v>0</v>
      </c>
      <c r="BB79" s="2818">
        <f t="shared" si="11"/>
        <v>0</v>
      </c>
      <c r="BF79" s="2800">
        <f t="shared" si="12"/>
        <v>0</v>
      </c>
    </row>
    <row r="80" spans="2:58" ht="57" customHeight="1" x14ac:dyDescent="0.2">
      <c r="B80" s="4222" t="s">
        <v>419</v>
      </c>
      <c r="C80" s="4233" t="s">
        <v>196</v>
      </c>
      <c r="D80" s="4234" t="s">
        <v>197</v>
      </c>
      <c r="E80" s="4223" t="s">
        <v>2017</v>
      </c>
      <c r="F80" s="4223"/>
      <c r="G80" s="4223"/>
      <c r="H80" s="4235"/>
      <c r="I80" s="4233" t="s">
        <v>505</v>
      </c>
      <c r="J80" s="4233"/>
      <c r="K80" s="4233"/>
      <c r="L80" s="4233"/>
      <c r="M80" s="4233"/>
      <c r="N80" s="4233"/>
      <c r="O80" s="4233"/>
      <c r="P80" s="4233"/>
      <c r="Q80" s="4233"/>
      <c r="R80" s="4233"/>
      <c r="S80" s="4233"/>
      <c r="T80" s="4233"/>
      <c r="U80" s="4233"/>
      <c r="V80" s="4233" t="s">
        <v>900</v>
      </c>
      <c r="W80" s="4233"/>
      <c r="X80" s="4233"/>
      <c r="Y80" s="4233"/>
      <c r="Z80" s="4233"/>
      <c r="AA80" s="4233"/>
      <c r="AB80" s="4233"/>
      <c r="AC80" s="4233"/>
      <c r="AD80" s="4233"/>
      <c r="AE80" s="4233"/>
      <c r="AF80" s="2805"/>
      <c r="AG80" s="4223" t="s">
        <v>526</v>
      </c>
      <c r="AH80" s="4223" t="s">
        <v>518</v>
      </c>
      <c r="AI80" s="4223" t="s">
        <v>2021</v>
      </c>
      <c r="AJ80" s="4223" t="s">
        <v>527</v>
      </c>
      <c r="AK80" s="4223" t="s">
        <v>506</v>
      </c>
      <c r="AL80" s="2806"/>
      <c r="AM80" s="4223" t="s">
        <v>507</v>
      </c>
      <c r="AN80" s="4223"/>
      <c r="AO80" s="2807"/>
      <c r="AP80" s="2807"/>
      <c r="AQ80" s="2807"/>
      <c r="AR80" s="2807"/>
      <c r="AS80" s="2807"/>
      <c r="AT80" s="2807"/>
      <c r="AU80" s="2807"/>
      <c r="AV80" s="2807"/>
      <c r="AW80" s="2807"/>
      <c r="AX80" s="2807"/>
      <c r="AY80" s="2807"/>
      <c r="AZ80" s="2807"/>
      <c r="BA80" s="2818">
        <f t="shared" ref="BA80:BA174" si="39">AE80+U80</f>
        <v>0</v>
      </c>
      <c r="BB80" s="2818" t="e">
        <f t="shared" ref="BB80:BB174" si="40">AH80-BA80</f>
        <v>#VALUE!</v>
      </c>
      <c r="BF80" s="2800" t="e">
        <f t="shared" ref="BF80:BF174" si="41">-AI80</f>
        <v>#VALUE!</v>
      </c>
    </row>
    <row r="81" spans="2:58" ht="260.45" customHeight="1" x14ac:dyDescent="0.2">
      <c r="B81" s="4222"/>
      <c r="C81" s="4233"/>
      <c r="D81" s="4234"/>
      <c r="E81" s="2951" t="s">
        <v>1915</v>
      </c>
      <c r="F81" s="2951" t="s">
        <v>508</v>
      </c>
      <c r="G81" s="2951" t="s">
        <v>1919</v>
      </c>
      <c r="H81" s="2951" t="s">
        <v>510</v>
      </c>
      <c r="I81" s="1438" t="s">
        <v>511</v>
      </c>
      <c r="J81" s="1438" t="s">
        <v>314</v>
      </c>
      <c r="K81" s="1438" t="s">
        <v>920</v>
      </c>
      <c r="L81" s="1438" t="s">
        <v>512</v>
      </c>
      <c r="M81" s="2808" t="s">
        <v>975</v>
      </c>
      <c r="N81" s="1438" t="s">
        <v>1104</v>
      </c>
      <c r="O81" s="2808" t="s">
        <v>975</v>
      </c>
      <c r="P81" s="2808" t="s">
        <v>988</v>
      </c>
      <c r="Q81" s="2808" t="s">
        <v>974</v>
      </c>
      <c r="R81" s="1438" t="s">
        <v>533</v>
      </c>
      <c r="S81" s="1438" t="s">
        <v>1180</v>
      </c>
      <c r="T81" s="2808" t="s">
        <v>1339</v>
      </c>
      <c r="U81" s="1438" t="s">
        <v>27</v>
      </c>
      <c r="V81" s="1438" t="s">
        <v>2018</v>
      </c>
      <c r="W81" s="1438" t="s">
        <v>520</v>
      </c>
      <c r="X81" s="2951" t="s">
        <v>1960</v>
      </c>
      <c r="Y81" s="1438" t="s">
        <v>2019</v>
      </c>
      <c r="Z81" s="1438" t="s">
        <v>509</v>
      </c>
      <c r="AA81" s="1438" t="s">
        <v>2020</v>
      </c>
      <c r="AB81" s="2808" t="s">
        <v>936</v>
      </c>
      <c r="AC81" s="2808" t="s">
        <v>1070</v>
      </c>
      <c r="AD81" s="2808" t="s">
        <v>1339</v>
      </c>
      <c r="AE81" s="1438" t="s">
        <v>27</v>
      </c>
      <c r="AF81" s="2951" t="s">
        <v>534</v>
      </c>
      <c r="AG81" s="4223"/>
      <c r="AH81" s="4223"/>
      <c r="AI81" s="4236"/>
      <c r="AJ81" s="4223"/>
      <c r="AK81" s="4223"/>
      <c r="AL81" s="2806"/>
      <c r="AM81" s="2951" t="s">
        <v>513</v>
      </c>
      <c r="AN81" s="2951" t="s">
        <v>514</v>
      </c>
      <c r="AO81" s="2807"/>
      <c r="AP81" s="2807"/>
      <c r="AQ81" s="2807"/>
      <c r="AR81" s="2807"/>
      <c r="AS81" s="2807"/>
      <c r="AT81" s="2807"/>
      <c r="AU81" s="2807"/>
      <c r="AV81" s="2807"/>
      <c r="AW81" s="2807"/>
      <c r="AX81" s="2807"/>
      <c r="AY81" s="2807"/>
      <c r="AZ81" s="2807"/>
      <c r="BA81" s="2818" t="e">
        <f t="shared" si="39"/>
        <v>#VALUE!</v>
      </c>
      <c r="BB81" s="2818" t="e">
        <f t="shared" si="40"/>
        <v>#VALUE!</v>
      </c>
      <c r="BF81" s="2800">
        <f t="shared" si="41"/>
        <v>0</v>
      </c>
    </row>
    <row r="82" spans="2:58" ht="106.15" customHeight="1" x14ac:dyDescent="0.2">
      <c r="B82" s="4242" t="s">
        <v>2233</v>
      </c>
      <c r="C82" s="4237" t="s">
        <v>181</v>
      </c>
      <c r="D82" s="4237"/>
      <c r="E82" s="2850">
        <f t="shared" ref="E82:AN82" si="42">E71</f>
        <v>0</v>
      </c>
      <c r="F82" s="2850">
        <f t="shared" si="42"/>
        <v>0</v>
      </c>
      <c r="G82" s="2850">
        <f t="shared" si="42"/>
        <v>0</v>
      </c>
      <c r="H82" s="2850">
        <f t="shared" si="42"/>
        <v>0</v>
      </c>
      <c r="I82" s="2850">
        <f t="shared" si="42"/>
        <v>449482981872</v>
      </c>
      <c r="J82" s="2850">
        <f t="shared" si="42"/>
        <v>11875777832</v>
      </c>
      <c r="K82" s="2850">
        <f t="shared" si="42"/>
        <v>53783375238</v>
      </c>
      <c r="L82" s="2850">
        <f t="shared" si="42"/>
        <v>9627000000</v>
      </c>
      <c r="M82" s="2850">
        <f t="shared" si="42"/>
        <v>125438082385</v>
      </c>
      <c r="N82" s="2850">
        <f t="shared" si="42"/>
        <v>1102025448536</v>
      </c>
      <c r="O82" s="2850">
        <f t="shared" si="42"/>
        <v>0</v>
      </c>
      <c r="P82" s="2850">
        <f t="shared" si="42"/>
        <v>0</v>
      </c>
      <c r="Q82" s="2850">
        <f t="shared" si="42"/>
        <v>57958382361</v>
      </c>
      <c r="R82" s="2850">
        <f t="shared" si="42"/>
        <v>1044067066175</v>
      </c>
      <c r="S82" s="2850">
        <f t="shared" si="42"/>
        <v>4684000000</v>
      </c>
      <c r="T82" s="2850">
        <f t="shared" si="42"/>
        <v>0</v>
      </c>
      <c r="U82" s="2850">
        <f t="shared" si="42"/>
        <v>1756916665863</v>
      </c>
      <c r="V82" s="2850">
        <f t="shared" si="42"/>
        <v>-79272000000</v>
      </c>
      <c r="W82" s="2850">
        <f t="shared" si="42"/>
        <v>-517861731361</v>
      </c>
      <c r="X82" s="2850">
        <f t="shared" si="42"/>
        <v>0</v>
      </c>
      <c r="Y82" s="2850">
        <f t="shared" si="42"/>
        <v>0</v>
      </c>
      <c r="Z82" s="2850">
        <f t="shared" si="42"/>
        <v>0</v>
      </c>
      <c r="AA82" s="2850">
        <f t="shared" si="42"/>
        <v>-20000000000</v>
      </c>
      <c r="AB82" s="2850">
        <f t="shared" si="42"/>
        <v>-36506882310</v>
      </c>
      <c r="AC82" s="2850">
        <f t="shared" si="42"/>
        <v>-1103276052192</v>
      </c>
      <c r="AD82" s="2850">
        <f t="shared" si="42"/>
        <v>0</v>
      </c>
      <c r="AE82" s="2850">
        <f t="shared" si="42"/>
        <v>-1756916665863</v>
      </c>
      <c r="AF82" s="2850">
        <f t="shared" si="42"/>
        <v>-653640613671</v>
      </c>
      <c r="AG82" s="2850">
        <f t="shared" si="42"/>
        <v>1103276052192</v>
      </c>
      <c r="AH82" s="2850">
        <f t="shared" si="42"/>
        <v>0</v>
      </c>
      <c r="AI82" s="2850">
        <f t="shared" si="42"/>
        <v>0</v>
      </c>
      <c r="AJ82" s="2850">
        <f t="shared" si="42"/>
        <v>0</v>
      </c>
      <c r="AK82" s="2850">
        <f t="shared" si="42"/>
        <v>0</v>
      </c>
      <c r="AL82" s="2850">
        <f t="shared" si="42"/>
        <v>92272000000</v>
      </c>
      <c r="AM82" s="2850">
        <f t="shared" si="42"/>
        <v>0</v>
      </c>
      <c r="AN82" s="2850">
        <f t="shared" si="42"/>
        <v>0</v>
      </c>
      <c r="AO82" s="2851"/>
      <c r="AP82" s="2851"/>
      <c r="AQ82" s="2851"/>
      <c r="AR82" s="2851"/>
      <c r="AS82" s="2851"/>
      <c r="AT82" s="2851"/>
      <c r="AU82" s="2851"/>
      <c r="AV82" s="2851"/>
      <c r="AW82" s="2851"/>
      <c r="AX82" s="2851"/>
      <c r="AY82" s="2851"/>
      <c r="AZ82" s="2851"/>
      <c r="BA82" s="2818">
        <f t="shared" si="39"/>
        <v>0</v>
      </c>
      <c r="BB82" s="2818">
        <f t="shared" si="40"/>
        <v>0</v>
      </c>
      <c r="BD82" s="2800">
        <f t="shared" ref="BD82:BD150" si="43">U82+AE82+AI82</f>
        <v>0</v>
      </c>
      <c r="BE82" s="2800">
        <f t="shared" ref="BE82:BE150" si="44">E82-BD82</f>
        <v>0</v>
      </c>
      <c r="BF82" s="2800">
        <f t="shared" si="41"/>
        <v>0</v>
      </c>
    </row>
    <row r="83" spans="2:58" s="2860" customFormat="1" ht="106.15" customHeight="1" x14ac:dyDescent="0.2">
      <c r="B83" s="4243"/>
      <c r="C83" s="2854" t="s">
        <v>634</v>
      </c>
      <c r="D83" s="2827" t="s">
        <v>598</v>
      </c>
      <c r="E83" s="2816">
        <f>'يادداشت 1-13وجوهدريافتي ازخزانه'!V24</f>
        <v>0</v>
      </c>
      <c r="F83" s="2816">
        <f>'يادداشت 1-13وجوهدريافتي ازخزانه'!W24</f>
        <v>0</v>
      </c>
      <c r="G83" s="2816"/>
      <c r="H83" s="2816">
        <f>SUM(E83:G83)</f>
        <v>0</v>
      </c>
      <c r="I83" s="2811">
        <f>'یادداشت 7 دارایییی اصلاحی'!J170</f>
        <v>60595648376</v>
      </c>
      <c r="J83" s="2811">
        <f>'يادداشت_-5موجودی_جنسی__(2)'!F46</f>
        <v>2545489001</v>
      </c>
      <c r="K83" s="2811">
        <f>'پيش پرداخت سرمايه اي يادداشت 6'!H66</f>
        <v>9814664278</v>
      </c>
      <c r="L83" s="2811">
        <f>'ياد 15  سايرهزينه '!I26</f>
        <v>871000000</v>
      </c>
      <c r="M83" s="2811">
        <v>1115168534</v>
      </c>
      <c r="N83" s="2813">
        <f>R83+Q83</f>
        <v>200453016854</v>
      </c>
      <c r="O83" s="2811"/>
      <c r="P83" s="2811"/>
      <c r="Q83" s="2811">
        <f>-'يادداشت 11 -سايربدهي_هاي_جاري'!I99</f>
        <v>10781331837</v>
      </c>
      <c r="R83" s="2812">
        <f>-'يادداشت 1-1-10 حسابهاي پرداخخخ '!L110</f>
        <v>189671685017</v>
      </c>
      <c r="S83" s="2813">
        <f>-'يادداشت 1-13وجوهدريافتي ازخزانه'!M24</f>
        <v>1806000000</v>
      </c>
      <c r="T83" s="2814"/>
      <c r="U83" s="2814">
        <f>N83+L83+K83+J83+I83+M83+S83</f>
        <v>277200987043</v>
      </c>
      <c r="V83" s="2820">
        <f>'حفظ قدرت خرید'!L31</f>
        <v>-4525000000</v>
      </c>
      <c r="W83" s="2811">
        <f>-85851725950</f>
        <v>-85851725950</v>
      </c>
      <c r="X83" s="2811"/>
      <c r="Y83" s="2811"/>
      <c r="Z83" s="2811"/>
      <c r="AA83" s="2811">
        <f>-'يادداشت 1-13وجوهدريافتي ازخزانه'!J24</f>
        <v>-7500000000</v>
      </c>
      <c r="AB83" s="2820"/>
      <c r="AC83" s="2813">
        <f>(H83-AI83)-AG83</f>
        <v>-179324261093</v>
      </c>
      <c r="AD83" s="2813"/>
      <c r="AE83" s="2813">
        <f>SUM(V83:AD83)</f>
        <v>-277200987043</v>
      </c>
      <c r="AF83" s="2813">
        <f>AA83+Y83+W83+V83+AB83+X83</f>
        <v>-97876725950</v>
      </c>
      <c r="AG83" s="2813">
        <f>U83+AF83</f>
        <v>179324261093</v>
      </c>
      <c r="AH83" s="2813">
        <f>H83-AI83</f>
        <v>0</v>
      </c>
      <c r="AI83" s="2829"/>
      <c r="AJ83" s="2813"/>
      <c r="AK83" s="2813"/>
      <c r="AL83" s="2859"/>
      <c r="AM83" s="2820"/>
      <c r="AN83" s="2813">
        <f>AK83-AH83</f>
        <v>0</v>
      </c>
      <c r="AO83" s="2818"/>
      <c r="AP83" s="2818"/>
      <c r="AQ83" s="2818"/>
      <c r="AR83" s="2818"/>
      <c r="AS83" s="2818"/>
      <c r="AT83" s="2818"/>
      <c r="AU83" s="2818"/>
      <c r="AV83" s="2818"/>
      <c r="AW83" s="2818"/>
      <c r="AX83" s="2818"/>
      <c r="AY83" s="2818"/>
      <c r="AZ83" s="2818"/>
      <c r="BA83" s="2818">
        <f t="shared" si="39"/>
        <v>0</v>
      </c>
      <c r="BB83" s="2818">
        <f t="shared" si="40"/>
        <v>0</v>
      </c>
      <c r="BD83" s="2800">
        <f t="shared" si="43"/>
        <v>0</v>
      </c>
      <c r="BE83" s="2800">
        <f t="shared" si="44"/>
        <v>0</v>
      </c>
      <c r="BF83" s="2800">
        <f t="shared" si="41"/>
        <v>0</v>
      </c>
    </row>
    <row r="84" spans="2:58" s="2860" customFormat="1" ht="106.15" customHeight="1" x14ac:dyDescent="0.2">
      <c r="B84" s="4243"/>
      <c r="C84" s="2854" t="s">
        <v>641</v>
      </c>
      <c r="D84" s="2827" t="s">
        <v>640</v>
      </c>
      <c r="E84" s="2816">
        <f>'يادداشت 1-13وجوهدريافتي ازخزانه'!V78</f>
        <v>0</v>
      </c>
      <c r="F84" s="2846"/>
      <c r="G84" s="2820"/>
      <c r="H84" s="2816">
        <f t="shared" ref="H84:H140" si="45">SUM(E84:G84)</f>
        <v>0</v>
      </c>
      <c r="I84" s="2811">
        <f>'یادداشت 7 دارایییی اصلاحی'!J171</f>
        <v>65651397865</v>
      </c>
      <c r="J84" s="2811">
        <f>'يادداشت_-5موجودی_جنسی__(2)'!F43</f>
        <v>2730593898</v>
      </c>
      <c r="K84" s="2811">
        <f>'پيش پرداخت سرمايه اي يادداشت 6'!H67</f>
        <v>19355098759</v>
      </c>
      <c r="L84" s="2811">
        <f>'ياد 15  سايرهزينه '!I27</f>
        <v>0</v>
      </c>
      <c r="M84" s="2811"/>
      <c r="N84" s="2813">
        <f t="shared" ref="N84:N141" si="46">R84+Q84</f>
        <v>163170105136</v>
      </c>
      <c r="O84" s="2811"/>
      <c r="P84" s="2811"/>
      <c r="Q84" s="2811">
        <f>-'يادداشت 11 -سايربدهي_هاي_جاري'!I100</f>
        <v>9443736916</v>
      </c>
      <c r="R84" s="2812">
        <f>-'يادداشت 1-1-10 حسابهاي پرداخخخ '!L135</f>
        <v>153726368220</v>
      </c>
      <c r="S84" s="2813"/>
      <c r="T84" s="2814"/>
      <c r="U84" s="2814">
        <f t="shared" ref="U84:U141" si="47">N84+L84+K84+J84+I84+M84+S84</f>
        <v>250907195658</v>
      </c>
      <c r="V84" s="2820">
        <f>'حفظ قدرت خرید'!L32</f>
        <v>-4242000000</v>
      </c>
      <c r="W84" s="2811">
        <f>-108044342138</f>
        <v>-108044342138</v>
      </c>
      <c r="X84" s="2811"/>
      <c r="Y84" s="2811"/>
      <c r="Z84" s="2811"/>
      <c r="AA84" s="2811"/>
      <c r="AB84" s="2820"/>
      <c r="AC84" s="2813">
        <f t="shared" ref="AC84:AC141" si="48">(H84-AI84)-AG84</f>
        <v>-138620853520</v>
      </c>
      <c r="AD84" s="2813"/>
      <c r="AE84" s="2813">
        <f t="shared" ref="AE84:AE141" si="49">SUM(V84:AD84)</f>
        <v>-250907195658</v>
      </c>
      <c r="AF84" s="2813">
        <f t="shared" ref="AF84:AF141" si="50">AA84+Y84+W84+V84+AB84+X84</f>
        <v>-112286342138</v>
      </c>
      <c r="AG84" s="2813">
        <f t="shared" ref="AG84:AG141" si="51">U84+AF84</f>
        <v>138620853520</v>
      </c>
      <c r="AH84" s="2813">
        <f t="shared" ref="AH84:AH141" si="52">H84-AI84</f>
        <v>0</v>
      </c>
      <c r="AI84" s="2829"/>
      <c r="AJ84" s="2813"/>
      <c r="AK84" s="2813"/>
      <c r="AL84" s="2859"/>
      <c r="AM84" s="2820"/>
      <c r="AN84" s="2813">
        <f t="shared" ref="AN84:AN140" si="53">AK84-AH84</f>
        <v>0</v>
      </c>
      <c r="AO84" s="2818"/>
      <c r="AP84" s="2818"/>
      <c r="AQ84" s="2818"/>
      <c r="AR84" s="2818"/>
      <c r="AS84" s="2818"/>
      <c r="AT84" s="2818"/>
      <c r="AU84" s="2818"/>
      <c r="AV84" s="2818"/>
      <c r="AW84" s="2818"/>
      <c r="AX84" s="2818"/>
      <c r="AY84" s="2818"/>
      <c r="AZ84" s="2818"/>
      <c r="BA84" s="2818">
        <f t="shared" si="39"/>
        <v>0</v>
      </c>
      <c r="BB84" s="2818">
        <f t="shared" si="40"/>
        <v>0</v>
      </c>
      <c r="BD84" s="2800">
        <f t="shared" si="43"/>
        <v>0</v>
      </c>
      <c r="BE84" s="2800">
        <f t="shared" si="44"/>
        <v>0</v>
      </c>
      <c r="BF84" s="2800">
        <f t="shared" si="41"/>
        <v>0</v>
      </c>
    </row>
    <row r="85" spans="2:58" s="2860" customFormat="1" ht="106.15" customHeight="1" x14ac:dyDescent="0.2">
      <c r="B85" s="4243"/>
      <c r="C85" s="2854" t="s">
        <v>622</v>
      </c>
      <c r="D85" s="2827" t="s">
        <v>620</v>
      </c>
      <c r="E85" s="2816">
        <f>'يادداشت 1-13وجوهدريافتي ازخزانه'!V25</f>
        <v>0</v>
      </c>
      <c r="F85" s="2846"/>
      <c r="G85" s="2820"/>
      <c r="H85" s="2816">
        <f t="shared" si="45"/>
        <v>0</v>
      </c>
      <c r="I85" s="2811">
        <f>'یادداشت 7 دارایییی اصلاحی'!J172</f>
        <v>316477617926</v>
      </c>
      <c r="J85" s="2811">
        <f>'يادداشت_-5موجودی_جنسی__(2)'!F48</f>
        <v>10584557216</v>
      </c>
      <c r="K85" s="2811">
        <f>'پيش پرداخت سرمايه اي يادداشت 6'!H79</f>
        <v>49884624063</v>
      </c>
      <c r="L85" s="2811">
        <f>'ياد 15  سايرهزينه '!I28</f>
        <v>1868000000</v>
      </c>
      <c r="M85" s="2811">
        <v>68144005418</v>
      </c>
      <c r="N85" s="2813">
        <f t="shared" si="46"/>
        <v>993990854290</v>
      </c>
      <c r="O85" s="2811"/>
      <c r="P85" s="2811"/>
      <c r="Q85" s="2811">
        <f>-'يادداشت 11 -سايربدهي_هاي_جاري'!I111</f>
        <v>37038419985</v>
      </c>
      <c r="R85" s="2812">
        <f>-'يادداشت 1-1-10 حسابهاي پرداخخخ '!L73</f>
        <v>956952434305</v>
      </c>
      <c r="S85" s="2813">
        <f>-'يادداشت 1-13وجوهدريافتي ازخزانه'!M25</f>
        <v>7287000000</v>
      </c>
      <c r="T85" s="2814"/>
      <c r="U85" s="2814">
        <f t="shared" si="47"/>
        <v>1448236658913</v>
      </c>
      <c r="V85" s="2820">
        <f>'حفظ قدرت خرید'!L33</f>
        <v>-23149000000</v>
      </c>
      <c r="W85" s="2811">
        <f>-512772107391</f>
        <v>-512772107391</v>
      </c>
      <c r="X85" s="2811"/>
      <c r="Y85" s="2811"/>
      <c r="Z85" s="2811"/>
      <c r="AA85" s="2811">
        <f>-'يادداشت 1-13وجوهدريافتي ازخزانه'!J25</f>
        <v>-30091000000</v>
      </c>
      <c r="AB85" s="2820">
        <f>-15389035321</f>
        <v>-15389035321</v>
      </c>
      <c r="AC85" s="2813">
        <f t="shared" si="48"/>
        <v>-866835516201</v>
      </c>
      <c r="AD85" s="2813"/>
      <c r="AE85" s="2813">
        <f t="shared" si="49"/>
        <v>-1448236658913</v>
      </c>
      <c r="AF85" s="2813">
        <f t="shared" si="50"/>
        <v>-581401142712</v>
      </c>
      <c r="AG85" s="2813">
        <f t="shared" si="51"/>
        <v>866835516201</v>
      </c>
      <c r="AH85" s="2813">
        <f t="shared" si="52"/>
        <v>0</v>
      </c>
      <c r="AI85" s="2828"/>
      <c r="AJ85" s="2813"/>
      <c r="AK85" s="2816"/>
      <c r="AL85" s="2859"/>
      <c r="AM85" s="2820"/>
      <c r="AN85" s="2813">
        <f t="shared" si="53"/>
        <v>0</v>
      </c>
      <c r="AO85" s="2818"/>
      <c r="AP85" s="2818"/>
      <c r="AQ85" s="2818"/>
      <c r="AR85" s="2818"/>
      <c r="AS85" s="2818"/>
      <c r="AT85" s="2818"/>
      <c r="AU85" s="2818"/>
      <c r="AV85" s="2818"/>
      <c r="AW85" s="2818"/>
      <c r="AX85" s="2818"/>
      <c r="AY85" s="2818"/>
      <c r="AZ85" s="2818"/>
      <c r="BA85" s="2818">
        <f t="shared" si="39"/>
        <v>0</v>
      </c>
      <c r="BB85" s="2818">
        <f t="shared" si="40"/>
        <v>0</v>
      </c>
      <c r="BD85" s="2800">
        <f t="shared" si="43"/>
        <v>0</v>
      </c>
      <c r="BE85" s="2800">
        <f t="shared" si="44"/>
        <v>0</v>
      </c>
      <c r="BF85" s="2800">
        <f t="shared" si="41"/>
        <v>0</v>
      </c>
    </row>
    <row r="86" spans="2:58" s="2860" customFormat="1" ht="106.15" customHeight="1" x14ac:dyDescent="0.2">
      <c r="B86" s="4243"/>
      <c r="C86" s="2854" t="s">
        <v>642</v>
      </c>
      <c r="D86" s="2827" t="s">
        <v>631</v>
      </c>
      <c r="E86" s="2816">
        <f>'يادداشت 1-13وجوهدريافتي ازخزانه'!V26</f>
        <v>0</v>
      </c>
      <c r="F86" s="2846"/>
      <c r="G86" s="2820"/>
      <c r="H86" s="2816">
        <f t="shared" si="45"/>
        <v>0</v>
      </c>
      <c r="I86" s="2811">
        <f>'یادداشت 7 دارایییی اصلاحی'!J173</f>
        <v>102116215853</v>
      </c>
      <c r="J86" s="2811">
        <f>'يادداشت_-5موجودی_جنسی__(2)'!F49</f>
        <v>3769253404</v>
      </c>
      <c r="K86" s="2811">
        <f>'پيش پرداخت سرمايه اي يادداشت 6'!H80</f>
        <v>35805266000</v>
      </c>
      <c r="L86" s="2811">
        <f>'ياد 15  سايرهزينه '!I29</f>
        <v>1000000000</v>
      </c>
      <c r="M86" s="2811"/>
      <c r="N86" s="2813">
        <f t="shared" si="46"/>
        <v>304566536586</v>
      </c>
      <c r="O86" s="2811"/>
      <c r="P86" s="2811"/>
      <c r="Q86" s="2811">
        <f>-'يادداشت 11 -سايربدهي_هاي_جاري'!I101</f>
        <v>10728948101</v>
      </c>
      <c r="R86" s="2812">
        <f>-'يادداشت 1-1-10 حسابهاي پرداخخخ '!L134</f>
        <v>293837588485</v>
      </c>
      <c r="S86" s="2813">
        <f>-'يادداشت 1-13وجوهدريافتي ازخزانه'!M26</f>
        <v>7133000000</v>
      </c>
      <c r="T86" s="2814"/>
      <c r="U86" s="2814">
        <f t="shared" si="47"/>
        <v>454390271843</v>
      </c>
      <c r="V86" s="2820">
        <f>'حفظ قدرت خرید'!L34</f>
        <v>-12686000000</v>
      </c>
      <c r="W86" s="2811">
        <f>-183033140000</f>
        <v>-183033140000</v>
      </c>
      <c r="X86" s="2811"/>
      <c r="Y86" s="2811"/>
      <c r="Z86" s="2811"/>
      <c r="AA86" s="2811">
        <f>-'يادداشت 1-13وجوهدريافتي ازخزانه'!J26</f>
        <v>-30000000000</v>
      </c>
      <c r="AB86" s="2820"/>
      <c r="AC86" s="2813">
        <f t="shared" si="48"/>
        <v>-228671131843</v>
      </c>
      <c r="AD86" s="2813"/>
      <c r="AE86" s="2813">
        <f t="shared" si="49"/>
        <v>-454390271843</v>
      </c>
      <c r="AF86" s="2813">
        <f t="shared" si="50"/>
        <v>-225719140000</v>
      </c>
      <c r="AG86" s="2813">
        <f t="shared" si="51"/>
        <v>228671131843</v>
      </c>
      <c r="AH86" s="2813">
        <f t="shared" si="52"/>
        <v>0</v>
      </c>
      <c r="AI86" s="2828"/>
      <c r="AJ86" s="2813"/>
      <c r="AK86" s="2813"/>
      <c r="AL86" s="2859"/>
      <c r="AM86" s="2820"/>
      <c r="AN86" s="2813">
        <f t="shared" si="53"/>
        <v>0</v>
      </c>
      <c r="AO86" s="2818"/>
      <c r="AP86" s="2818"/>
      <c r="AQ86" s="2818"/>
      <c r="AR86" s="2818"/>
      <c r="AS86" s="2818"/>
      <c r="AT86" s="2818"/>
      <c r="AU86" s="2818"/>
      <c r="AV86" s="2818"/>
      <c r="AW86" s="2818"/>
      <c r="AX86" s="2818"/>
      <c r="AY86" s="2818"/>
      <c r="AZ86" s="2818"/>
      <c r="BA86" s="2818">
        <f t="shared" si="39"/>
        <v>0</v>
      </c>
      <c r="BB86" s="2818">
        <f t="shared" si="40"/>
        <v>0</v>
      </c>
      <c r="BD86" s="2800">
        <f t="shared" si="43"/>
        <v>0</v>
      </c>
      <c r="BE86" s="2800">
        <f t="shared" si="44"/>
        <v>0</v>
      </c>
      <c r="BF86" s="2800">
        <f t="shared" si="41"/>
        <v>0</v>
      </c>
    </row>
    <row r="87" spans="2:58" s="2860" customFormat="1" ht="106.15" customHeight="1" x14ac:dyDescent="0.2">
      <c r="B87" s="4243"/>
      <c r="C87" s="2854" t="s">
        <v>623</v>
      </c>
      <c r="D87" s="2827" t="s">
        <v>599</v>
      </c>
      <c r="E87" s="2816">
        <f>'يادداشت 1-13وجوهدريافتي ازخزانه'!V79</f>
        <v>0</v>
      </c>
      <c r="F87" s="2846"/>
      <c r="G87" s="2820"/>
      <c r="H87" s="2816">
        <f t="shared" si="45"/>
        <v>0</v>
      </c>
      <c r="I87" s="2811">
        <f>'یادداشت 7 دارایییی اصلاحی'!J174</f>
        <v>11046943360</v>
      </c>
      <c r="J87" s="2811">
        <f>'يادداشت_-5موجودی_جنسی__(2)'!F50</f>
        <v>600000000</v>
      </c>
      <c r="K87" s="2811">
        <f>'پيش پرداخت سرمايه اي يادداشت 6'!H81</f>
        <v>0</v>
      </c>
      <c r="L87" s="2811">
        <f>'ياد 15  سايرهزينه '!I30</f>
        <v>395000000</v>
      </c>
      <c r="M87" s="2811"/>
      <c r="N87" s="2813">
        <f t="shared" si="46"/>
        <v>20594217698</v>
      </c>
      <c r="O87" s="2811"/>
      <c r="P87" s="2811"/>
      <c r="Q87" s="2811">
        <f>-'يادداشت 11 -سايربدهي_هاي_جاري'!I102</f>
        <v>542218403</v>
      </c>
      <c r="R87" s="2812">
        <f>-'يادداشت 1-1-10 حسابهاي پرداخخخ '!L118</f>
        <v>20051999295</v>
      </c>
      <c r="S87" s="2813">
        <f>-'يادداشت 1-13وجوهدريافتي ازخزانه'!M79</f>
        <v>0</v>
      </c>
      <c r="T87" s="2814"/>
      <c r="U87" s="2814">
        <f t="shared" si="47"/>
        <v>32636161058</v>
      </c>
      <c r="V87" s="2820">
        <f>'حفظ قدرت خرید'!L35</f>
        <v>-1399000000</v>
      </c>
      <c r="W87" s="2811">
        <f>-16152000000</f>
        <v>-16152000000</v>
      </c>
      <c r="X87" s="2811"/>
      <c r="Y87" s="2811"/>
      <c r="Z87" s="2811"/>
      <c r="AA87" s="2811">
        <f>-'يادداشت 1-13وجوهدريافتي ازخزانه'!J79</f>
        <v>0</v>
      </c>
      <c r="AB87" s="2820"/>
      <c r="AC87" s="2813">
        <f t="shared" si="48"/>
        <v>-15085161058</v>
      </c>
      <c r="AD87" s="2813"/>
      <c r="AE87" s="2813">
        <f t="shared" si="49"/>
        <v>-32636161058</v>
      </c>
      <c r="AF87" s="2813">
        <f t="shared" si="50"/>
        <v>-17551000000</v>
      </c>
      <c r="AG87" s="2813">
        <f t="shared" si="51"/>
        <v>15085161058</v>
      </c>
      <c r="AH87" s="2813">
        <f t="shared" si="52"/>
        <v>0</v>
      </c>
      <c r="AI87" s="2829"/>
      <c r="AJ87" s="2813"/>
      <c r="AK87" s="2813"/>
      <c r="AL87" s="2813">
        <v>20000000000</v>
      </c>
      <c r="AM87" s="2820"/>
      <c r="AN87" s="2813">
        <f t="shared" si="53"/>
        <v>0</v>
      </c>
      <c r="AO87" s="2818"/>
      <c r="AP87" s="2818"/>
      <c r="AQ87" s="2818"/>
      <c r="AR87" s="2818"/>
      <c r="AS87" s="2818"/>
      <c r="AT87" s="2818"/>
      <c r="AU87" s="2818"/>
      <c r="AV87" s="2818"/>
      <c r="AW87" s="2818"/>
      <c r="AX87" s="2818"/>
      <c r="AY87" s="2818"/>
      <c r="AZ87" s="2818"/>
      <c r="BA87" s="2818">
        <f t="shared" si="39"/>
        <v>0</v>
      </c>
      <c r="BB87" s="2818">
        <f t="shared" si="40"/>
        <v>0</v>
      </c>
      <c r="BD87" s="2800">
        <f t="shared" si="43"/>
        <v>0</v>
      </c>
      <c r="BE87" s="2800">
        <f t="shared" si="44"/>
        <v>0</v>
      </c>
      <c r="BF87" s="2800">
        <f t="shared" si="41"/>
        <v>0</v>
      </c>
    </row>
    <row r="88" spans="2:58" s="2860" customFormat="1" ht="106.15" customHeight="1" x14ac:dyDescent="0.2">
      <c r="B88" s="4243"/>
      <c r="C88" s="2854" t="s">
        <v>643</v>
      </c>
      <c r="D88" s="2827" t="s">
        <v>632</v>
      </c>
      <c r="E88" s="2816">
        <f>'يادداشت 1-13وجوهدريافتي ازخزانه'!V80</f>
        <v>0</v>
      </c>
      <c r="F88" s="2846"/>
      <c r="G88" s="2820"/>
      <c r="H88" s="2816">
        <f t="shared" si="45"/>
        <v>0</v>
      </c>
      <c r="I88" s="2811">
        <f>'یادداشت 7 دارایییی اصلاحی'!J175</f>
        <v>219094658378</v>
      </c>
      <c r="J88" s="2811">
        <f>'يادداشت_-5موجودی_جنسی__(2)'!F47</f>
        <v>6400000000</v>
      </c>
      <c r="K88" s="2811">
        <f>'پيش پرداخت سرمايه اي يادداشت 6'!H82</f>
        <v>47390521301</v>
      </c>
      <c r="L88" s="2811">
        <f>'ياد 15  سايرهزينه '!I31</f>
        <v>1067000000</v>
      </c>
      <c r="M88" s="2811"/>
      <c r="N88" s="2813">
        <f t="shared" si="46"/>
        <v>306850354076</v>
      </c>
      <c r="O88" s="2811"/>
      <c r="P88" s="2811"/>
      <c r="Q88" s="2811">
        <f>-'يادداشت 11 -سايربدهي_هاي_جاري'!I103</f>
        <v>14384815602</v>
      </c>
      <c r="R88" s="2812">
        <f>-'يادداشت 1-1-10 حسابهاي پرداخخخ '!L88</f>
        <v>292465538474</v>
      </c>
      <c r="S88" s="2813">
        <f>-'يادداشت 1-13وجوهدريافتي ازخزانه'!M80</f>
        <v>0</v>
      </c>
      <c r="T88" s="2814"/>
      <c r="U88" s="2814">
        <f t="shared" si="47"/>
        <v>580802533755</v>
      </c>
      <c r="V88" s="2820">
        <f>'حفظ قدرت خرید'!L36</f>
        <v>-12924000000</v>
      </c>
      <c r="W88" s="2811">
        <f>-254471599438</f>
        <v>-254471599438</v>
      </c>
      <c r="X88" s="2811"/>
      <c r="Y88" s="2811"/>
      <c r="Z88" s="2811"/>
      <c r="AA88" s="2811">
        <f>-'يادداشت 1-13وجوهدريافتي ازخزانه'!J80</f>
        <v>0</v>
      </c>
      <c r="AB88" s="2820"/>
      <c r="AC88" s="2813">
        <f t="shared" si="48"/>
        <v>-313406934317</v>
      </c>
      <c r="AD88" s="2813"/>
      <c r="AE88" s="2813">
        <f t="shared" si="49"/>
        <v>-580802533755</v>
      </c>
      <c r="AF88" s="2813">
        <f t="shared" si="50"/>
        <v>-267395599438</v>
      </c>
      <c r="AG88" s="2813">
        <f t="shared" si="51"/>
        <v>313406934317</v>
      </c>
      <c r="AH88" s="2813">
        <f t="shared" si="52"/>
        <v>0</v>
      </c>
      <c r="AI88" s="2828"/>
      <c r="AJ88" s="2813"/>
      <c r="AK88" s="2816"/>
      <c r="AL88" s="2859"/>
      <c r="AM88" s="2820"/>
      <c r="AN88" s="2813">
        <f t="shared" si="53"/>
        <v>0</v>
      </c>
      <c r="AO88" s="2818"/>
      <c r="AP88" s="2818"/>
      <c r="AQ88" s="2818"/>
      <c r="AR88" s="2818"/>
      <c r="AS88" s="2818"/>
      <c r="AT88" s="2818"/>
      <c r="AU88" s="2818"/>
      <c r="AV88" s="2818"/>
      <c r="AW88" s="2818"/>
      <c r="AX88" s="2818"/>
      <c r="AY88" s="2818"/>
      <c r="AZ88" s="2818"/>
      <c r="BA88" s="2818">
        <f t="shared" si="39"/>
        <v>0</v>
      </c>
      <c r="BB88" s="2818">
        <f t="shared" si="40"/>
        <v>0</v>
      </c>
      <c r="BD88" s="2800">
        <f t="shared" si="43"/>
        <v>0</v>
      </c>
      <c r="BE88" s="2800">
        <f t="shared" si="44"/>
        <v>0</v>
      </c>
      <c r="BF88" s="2800">
        <f t="shared" si="41"/>
        <v>0</v>
      </c>
    </row>
    <row r="89" spans="2:58" s="2860" customFormat="1" ht="106.15" customHeight="1" x14ac:dyDescent="0.2">
      <c r="B89" s="4243"/>
      <c r="C89" s="2854" t="s">
        <v>624</v>
      </c>
      <c r="D89" s="2827" t="s">
        <v>600</v>
      </c>
      <c r="E89" s="2816">
        <f>'يادداشت 1-13وجوهدريافتي ازخزانه'!V27</f>
        <v>0</v>
      </c>
      <c r="F89" s="2846"/>
      <c r="G89" s="2820"/>
      <c r="H89" s="2816">
        <f t="shared" si="45"/>
        <v>0</v>
      </c>
      <c r="I89" s="2811">
        <f>'یادداشت 7 دارایییی اصلاحی'!J176</f>
        <v>132790583013</v>
      </c>
      <c r="J89" s="2811">
        <f>'يادداشت_-5موجودی_جنسی__(2)'!F51</f>
        <v>2071360000</v>
      </c>
      <c r="K89" s="2811">
        <f>'پيش پرداخت سرمايه اي يادداشت 6'!H83</f>
        <v>22442945523</v>
      </c>
      <c r="L89" s="2811">
        <f>'ياد 15  سايرهزينه '!I32</f>
        <v>2989000000</v>
      </c>
      <c r="M89" s="2811">
        <v>2345942894</v>
      </c>
      <c r="N89" s="2813">
        <f t="shared" si="46"/>
        <v>260400281332</v>
      </c>
      <c r="O89" s="2811"/>
      <c r="P89" s="2811"/>
      <c r="Q89" s="2811">
        <f>-'يادداشت 11 -سايربدهي_هاي_جاري'!I104</f>
        <v>11967354973</v>
      </c>
      <c r="R89" s="2812">
        <f>-'يادداشت 1-1-10 حسابهاي پرداخخخ '!L59</f>
        <v>248432926359</v>
      </c>
      <c r="S89" s="2813">
        <f>-'يادداشت 1-13وجوهدريافتي ازخزانه'!M27</f>
        <v>2266000000</v>
      </c>
      <c r="T89" s="2814"/>
      <c r="U89" s="2814">
        <f t="shared" si="47"/>
        <v>425306112762</v>
      </c>
      <c r="V89" s="2820">
        <f>'حفظ قدرت خرید'!L37</f>
        <v>-11567000000</v>
      </c>
      <c r="W89" s="2811">
        <f>-117782252973</f>
        <v>-117782252973</v>
      </c>
      <c r="X89" s="2811"/>
      <c r="Y89" s="2811"/>
      <c r="Z89" s="2811"/>
      <c r="AA89" s="2811">
        <f>-'يادداشت 1-13وجوهدريافتي ازخزانه'!J27</f>
        <v>-10000000000</v>
      </c>
      <c r="AB89" s="2820"/>
      <c r="AC89" s="2813">
        <f t="shared" si="48"/>
        <v>-285956859789</v>
      </c>
      <c r="AD89" s="2813"/>
      <c r="AE89" s="2813">
        <f t="shared" si="49"/>
        <v>-425306112762</v>
      </c>
      <c r="AF89" s="2813">
        <f t="shared" si="50"/>
        <v>-139349252973</v>
      </c>
      <c r="AG89" s="2813">
        <f t="shared" si="51"/>
        <v>285956859789</v>
      </c>
      <c r="AH89" s="2813">
        <f t="shared" si="52"/>
        <v>0</v>
      </c>
      <c r="AI89" s="2829"/>
      <c r="AJ89" s="2813"/>
      <c r="AK89" s="2816"/>
      <c r="AL89" s="2859"/>
      <c r="AM89" s="2820"/>
      <c r="AN89" s="2813">
        <f t="shared" si="53"/>
        <v>0</v>
      </c>
      <c r="AO89" s="2818"/>
      <c r="AP89" s="2818"/>
      <c r="AQ89" s="2818"/>
      <c r="AR89" s="2818"/>
      <c r="AS89" s="2818"/>
      <c r="AT89" s="2818"/>
      <c r="AU89" s="2818"/>
      <c r="AV89" s="2818"/>
      <c r="AW89" s="2818"/>
      <c r="AX89" s="2818"/>
      <c r="AY89" s="2818"/>
      <c r="AZ89" s="2818"/>
      <c r="BA89" s="2818">
        <f t="shared" si="39"/>
        <v>0</v>
      </c>
      <c r="BB89" s="2818">
        <f t="shared" si="40"/>
        <v>0</v>
      </c>
      <c r="BD89" s="2800">
        <f t="shared" si="43"/>
        <v>0</v>
      </c>
      <c r="BE89" s="2800">
        <f t="shared" si="44"/>
        <v>0</v>
      </c>
      <c r="BF89" s="2800">
        <f t="shared" si="41"/>
        <v>0</v>
      </c>
    </row>
    <row r="90" spans="2:58" s="2860" customFormat="1" ht="74.45" customHeight="1" x14ac:dyDescent="0.2">
      <c r="B90" s="4243"/>
      <c r="C90" s="2861" t="s">
        <v>625</v>
      </c>
      <c r="D90" s="2862" t="s">
        <v>601</v>
      </c>
      <c r="E90" s="2811">
        <f>'يادداشت 1-13وجوهدريافتي ازخزانه'!V81</f>
        <v>0</v>
      </c>
      <c r="F90" s="2820"/>
      <c r="G90" s="2820"/>
      <c r="H90" s="2816">
        <f t="shared" si="45"/>
        <v>0</v>
      </c>
      <c r="I90" s="2811">
        <f>'یادداشت 7 دارایییی اصلاحی'!J177</f>
        <v>91192569673</v>
      </c>
      <c r="J90" s="2811">
        <f>'يادداشت_-5موجودی_جنسی__(2)'!F41</f>
        <v>3478190949</v>
      </c>
      <c r="K90" s="2811">
        <f>'پيش پرداخت سرمايه اي يادداشت 6'!H84</f>
        <v>0</v>
      </c>
      <c r="L90" s="2811">
        <f>'ياد 15  سايرهزينه '!I34</f>
        <v>1764000000</v>
      </c>
      <c r="M90" s="2811"/>
      <c r="N90" s="2813">
        <f t="shared" si="46"/>
        <v>233506022522</v>
      </c>
      <c r="O90" s="2823"/>
      <c r="P90" s="2823"/>
      <c r="Q90" s="2823">
        <f>-'يادداشت 11 -سايربدهي_هاي_جاري'!I105</f>
        <v>13593472606</v>
      </c>
      <c r="R90" s="2863">
        <f>-'يادداشت 1-1-10 حسابهاي پرداخخخ '!L82</f>
        <v>219912549916</v>
      </c>
      <c r="S90" s="2813"/>
      <c r="T90" s="2814"/>
      <c r="U90" s="2814">
        <f t="shared" si="47"/>
        <v>329940783144</v>
      </c>
      <c r="V90" s="2864">
        <f>'حفظ قدرت خرید'!L38</f>
        <v>-8115000000</v>
      </c>
      <c r="W90" s="2823">
        <f>-114512415114</f>
        <v>-114512415114</v>
      </c>
      <c r="X90" s="2823"/>
      <c r="Y90" s="2811"/>
      <c r="Z90" s="2811"/>
      <c r="AA90" s="2811"/>
      <c r="AB90" s="2820"/>
      <c r="AC90" s="2813">
        <f t="shared" si="48"/>
        <v>-207313368030</v>
      </c>
      <c r="AD90" s="2813"/>
      <c r="AE90" s="2813">
        <f t="shared" si="49"/>
        <v>-329940783144</v>
      </c>
      <c r="AF90" s="2813">
        <f t="shared" si="50"/>
        <v>-122627415114</v>
      </c>
      <c r="AG90" s="2813">
        <f t="shared" si="51"/>
        <v>207313368030</v>
      </c>
      <c r="AH90" s="2813">
        <f t="shared" si="52"/>
        <v>0</v>
      </c>
      <c r="AI90" s="2829"/>
      <c r="AJ90" s="2813"/>
      <c r="AK90" s="2813"/>
      <c r="AL90" s="2859"/>
      <c r="AM90" s="2820"/>
      <c r="AN90" s="2813">
        <f t="shared" si="53"/>
        <v>0</v>
      </c>
      <c r="AO90" s="2818"/>
      <c r="AP90" s="2818"/>
      <c r="AQ90" s="2818"/>
      <c r="AR90" s="2818"/>
      <c r="AS90" s="2818"/>
      <c r="AT90" s="2818"/>
      <c r="AU90" s="2818"/>
      <c r="AV90" s="2818"/>
      <c r="AW90" s="2818"/>
      <c r="AX90" s="2818"/>
      <c r="AY90" s="2818"/>
      <c r="AZ90" s="2818"/>
      <c r="BA90" s="2818">
        <f t="shared" si="39"/>
        <v>0</v>
      </c>
      <c r="BB90" s="2818">
        <f t="shared" si="40"/>
        <v>0</v>
      </c>
      <c r="BD90" s="2800">
        <f t="shared" si="43"/>
        <v>0</v>
      </c>
      <c r="BE90" s="2800">
        <f t="shared" si="44"/>
        <v>0</v>
      </c>
      <c r="BF90" s="2800">
        <f t="shared" si="41"/>
        <v>0</v>
      </c>
    </row>
    <row r="91" spans="2:58" s="2860" customFormat="1" ht="74.45" customHeight="1" x14ac:dyDescent="0.2">
      <c r="B91" s="4243"/>
      <c r="C91" s="2861" t="s">
        <v>677</v>
      </c>
      <c r="D91" s="2862" t="s">
        <v>676</v>
      </c>
      <c r="E91" s="2811">
        <f>'يادداشت 1-13وجوهدريافتي ازخزانه'!V28</f>
        <v>0</v>
      </c>
      <c r="F91" s="2820"/>
      <c r="G91" s="2820"/>
      <c r="H91" s="2816">
        <f t="shared" si="45"/>
        <v>0</v>
      </c>
      <c r="I91" s="2811">
        <f>'یادداشت 7 دارایییی اصلاحی'!J201</f>
        <v>51801985159</v>
      </c>
      <c r="J91" s="2811">
        <f>'يادداشت_-5موجودی_جنسی__(2)'!F52</f>
        <v>3449137726</v>
      </c>
      <c r="K91" s="2811">
        <f>'پيش پرداخت سرمايه اي يادداشت 6'!H85</f>
        <v>13738023729</v>
      </c>
      <c r="L91" s="2811">
        <f>'ياد 15  سايرهزينه '!I33</f>
        <v>1869000000</v>
      </c>
      <c r="M91" s="2812"/>
      <c r="N91" s="2813">
        <f t="shared" si="46"/>
        <v>220804049747</v>
      </c>
      <c r="O91" s="2813"/>
      <c r="P91" s="2813"/>
      <c r="Q91" s="2813">
        <f>-'يادداشت 11 -سايربدهي_هاي_جاري'!I106</f>
        <v>7423507774</v>
      </c>
      <c r="R91" s="2826">
        <f>-'يادداشت 1-1-10 حسابهاي پرداخخخ '!L87</f>
        <v>213380541973</v>
      </c>
      <c r="S91" s="2813">
        <f>-'يادداشت 1-13وجوهدريافتي ازخزانه'!M28</f>
        <v>2242000000</v>
      </c>
      <c r="T91" s="2814"/>
      <c r="U91" s="2814">
        <f t="shared" si="47"/>
        <v>293904196361</v>
      </c>
      <c r="V91" s="2813">
        <f>'حفظ قدرت خرید'!L50</f>
        <v>-19134000000</v>
      </c>
      <c r="W91" s="2865">
        <f>-98019320398</f>
        <v>-98019320398</v>
      </c>
      <c r="X91" s="2830"/>
      <c r="Y91" s="2816"/>
      <c r="Z91" s="2811"/>
      <c r="AA91" s="2811">
        <f>-'يادداشت 1-13وجوهدريافتي ازخزانه'!J28</f>
        <v>-10000000000</v>
      </c>
      <c r="AB91" s="2820"/>
      <c r="AC91" s="2813">
        <f t="shared" si="48"/>
        <v>-166750875963</v>
      </c>
      <c r="AD91" s="2813"/>
      <c r="AE91" s="2813">
        <f t="shared" si="49"/>
        <v>-293904196361</v>
      </c>
      <c r="AF91" s="2813">
        <f t="shared" si="50"/>
        <v>-127153320398</v>
      </c>
      <c r="AG91" s="2813">
        <f t="shared" si="51"/>
        <v>166750875963</v>
      </c>
      <c r="AH91" s="2813">
        <f t="shared" si="52"/>
        <v>0</v>
      </c>
      <c r="AI91" s="2829"/>
      <c r="AJ91" s="2813"/>
      <c r="AK91" s="2813"/>
      <c r="AL91" s="2859"/>
      <c r="AM91" s="2820"/>
      <c r="AN91" s="2813">
        <f t="shared" si="53"/>
        <v>0</v>
      </c>
      <c r="AO91" s="2818"/>
      <c r="AP91" s="2818"/>
      <c r="AQ91" s="2818"/>
      <c r="AR91" s="2818"/>
      <c r="AS91" s="2818"/>
      <c r="AT91" s="2818"/>
      <c r="AU91" s="2818"/>
      <c r="AV91" s="2818"/>
      <c r="AW91" s="2818"/>
      <c r="AX91" s="2818"/>
      <c r="AY91" s="2818"/>
      <c r="AZ91" s="2818"/>
      <c r="BA91" s="2818">
        <f t="shared" si="39"/>
        <v>0</v>
      </c>
      <c r="BB91" s="2818">
        <f t="shared" si="40"/>
        <v>0</v>
      </c>
      <c r="BD91" s="2800">
        <f t="shared" si="43"/>
        <v>0</v>
      </c>
      <c r="BE91" s="2800">
        <f t="shared" si="44"/>
        <v>0</v>
      </c>
      <c r="BF91" s="2800">
        <f t="shared" si="41"/>
        <v>0</v>
      </c>
    </row>
    <row r="92" spans="2:58" s="2860" customFormat="1" ht="74.45" customHeight="1" x14ac:dyDescent="0.2">
      <c r="B92" s="4243"/>
      <c r="C92" s="2861" t="s">
        <v>626</v>
      </c>
      <c r="D92" s="2862" t="s">
        <v>602</v>
      </c>
      <c r="E92" s="2811">
        <f>'يادداشت 1-13وجوهدريافتي ازخزانه'!V82</f>
        <v>0</v>
      </c>
      <c r="F92" s="2820"/>
      <c r="G92" s="2820"/>
      <c r="H92" s="2816">
        <f t="shared" si="45"/>
        <v>0</v>
      </c>
      <c r="I92" s="2811">
        <f>'یادداشت 7 دارایییی اصلاحی'!J178</f>
        <v>5740137820</v>
      </c>
      <c r="J92" s="2811">
        <f>'يادداشت_-5موجودی_جنسی__(2)'!F53</f>
        <v>760000000</v>
      </c>
      <c r="K92" s="2811">
        <f>'پيش پرداخت سرمايه اي يادداشت 6'!H86</f>
        <v>0</v>
      </c>
      <c r="L92" s="2811">
        <f>'ياد 15  سايرهزينه '!I35</f>
        <v>1821000000</v>
      </c>
      <c r="M92" s="2812">
        <v>22594137240</v>
      </c>
      <c r="N92" s="2813">
        <f t="shared" si="46"/>
        <v>108846271487</v>
      </c>
      <c r="O92" s="2813"/>
      <c r="P92" s="2813"/>
      <c r="Q92" s="2813">
        <f>-'يادداشت 11 -سايربدهي_هاي_جاري'!I107</f>
        <v>2373712671</v>
      </c>
      <c r="R92" s="2826">
        <f>-'يادداشت 1-1-10 حسابهاي پرداخخخ '!L115</f>
        <v>106472558816</v>
      </c>
      <c r="S92" s="2813">
        <f>-'يادداشت 1-13وجوهدريافتي ازخزانه'!M82</f>
        <v>0</v>
      </c>
      <c r="T92" s="2814"/>
      <c r="U92" s="2814">
        <f t="shared" si="47"/>
        <v>139761546547</v>
      </c>
      <c r="V92" s="2813">
        <f>'حفظ قدرت خرید'!L51</f>
        <v>-6074000000</v>
      </c>
      <c r="W92" s="2813">
        <f>-28000000000</f>
        <v>-28000000000</v>
      </c>
      <c r="X92" s="2813"/>
      <c r="Y92" s="2816"/>
      <c r="Z92" s="2811"/>
      <c r="AA92" s="2811">
        <f>-'يادداشت 1-13وجوهدريافتي ازخزانه'!J82</f>
        <v>0</v>
      </c>
      <c r="AB92" s="2820"/>
      <c r="AC92" s="2813">
        <f t="shared" si="48"/>
        <v>-105687546547</v>
      </c>
      <c r="AD92" s="2813"/>
      <c r="AE92" s="2813">
        <f t="shared" si="49"/>
        <v>-139761546547</v>
      </c>
      <c r="AF92" s="2813">
        <f t="shared" si="50"/>
        <v>-34074000000</v>
      </c>
      <c r="AG92" s="2813">
        <f t="shared" si="51"/>
        <v>105687546547</v>
      </c>
      <c r="AH92" s="2813">
        <f t="shared" si="52"/>
        <v>0</v>
      </c>
      <c r="AI92" s="2829"/>
      <c r="AJ92" s="2813"/>
      <c r="AK92" s="2813"/>
      <c r="AL92" s="2859"/>
      <c r="AM92" s="2820"/>
      <c r="AN92" s="2813">
        <f t="shared" si="53"/>
        <v>0</v>
      </c>
      <c r="AO92" s="2818"/>
      <c r="AP92" s="2818"/>
      <c r="AQ92" s="2818"/>
      <c r="AR92" s="2818"/>
      <c r="AS92" s="2818"/>
      <c r="AT92" s="2818"/>
      <c r="AU92" s="2818"/>
      <c r="AV92" s="2818"/>
      <c r="AW92" s="2818"/>
      <c r="AX92" s="2818"/>
      <c r="AY92" s="2818"/>
      <c r="AZ92" s="2818"/>
      <c r="BA92" s="2818">
        <f t="shared" si="39"/>
        <v>0</v>
      </c>
      <c r="BB92" s="2818">
        <f t="shared" si="40"/>
        <v>0</v>
      </c>
      <c r="BD92" s="2800">
        <f t="shared" si="43"/>
        <v>0</v>
      </c>
      <c r="BE92" s="2800">
        <f t="shared" si="44"/>
        <v>0</v>
      </c>
      <c r="BF92" s="2800">
        <f t="shared" si="41"/>
        <v>0</v>
      </c>
    </row>
    <row r="93" spans="2:58" s="2860" customFormat="1" ht="74.45" customHeight="1" x14ac:dyDescent="0.2">
      <c r="B93" s="4243"/>
      <c r="C93" s="2861" t="s">
        <v>627</v>
      </c>
      <c r="D93" s="2862" t="s">
        <v>603</v>
      </c>
      <c r="E93" s="2811">
        <f>'يادداشت 1-13وجوهدريافتي ازخزانه'!V83</f>
        <v>0</v>
      </c>
      <c r="F93" s="2820"/>
      <c r="G93" s="2820"/>
      <c r="H93" s="2816">
        <f t="shared" si="45"/>
        <v>0</v>
      </c>
      <c r="I93" s="2811">
        <f>'یادداشت 7 دارایییی اصلاحی'!J179</f>
        <v>63608995050</v>
      </c>
      <c r="J93" s="2811">
        <f>'يادداشت_-5موجودی_جنسی__(2)'!F56</f>
        <v>1040000001</v>
      </c>
      <c r="K93" s="2811">
        <f>'پيش پرداخت سرمايه اي يادداشت 6'!H88</f>
        <v>0</v>
      </c>
      <c r="L93" s="2811"/>
      <c r="M93" s="2812"/>
      <c r="N93" s="2813">
        <f t="shared" si="46"/>
        <v>77376303916</v>
      </c>
      <c r="O93" s="2813"/>
      <c r="P93" s="2813"/>
      <c r="Q93" s="2813">
        <f>-'يادداشت 11 -سايربدهي_هاي_جاري'!I108</f>
        <v>3568603222</v>
      </c>
      <c r="R93" s="2826">
        <f>-'يادداشت 1-1-10 حسابهاي پرداخخخ '!L74</f>
        <v>73807700694</v>
      </c>
      <c r="S93" s="2813"/>
      <c r="T93" s="2814"/>
      <c r="U93" s="2814">
        <f t="shared" si="47"/>
        <v>142025298967</v>
      </c>
      <c r="V93" s="2813">
        <f>'حفظ قدرت خرید'!L52</f>
        <v>-2673000000</v>
      </c>
      <c r="W93" s="2813">
        <f>-32700000001</f>
        <v>-32700000001</v>
      </c>
      <c r="X93" s="2813"/>
      <c r="Y93" s="2816"/>
      <c r="Z93" s="2811"/>
      <c r="AA93" s="2811"/>
      <c r="AB93" s="2820"/>
      <c r="AC93" s="2813">
        <f t="shared" si="48"/>
        <v>-106652298966</v>
      </c>
      <c r="AD93" s="2813"/>
      <c r="AE93" s="2813">
        <f t="shared" si="49"/>
        <v>-142025298967</v>
      </c>
      <c r="AF93" s="2813">
        <f t="shared" si="50"/>
        <v>-35373000001</v>
      </c>
      <c r="AG93" s="2813">
        <f t="shared" si="51"/>
        <v>106652298966</v>
      </c>
      <c r="AH93" s="2813">
        <f t="shared" si="52"/>
        <v>0</v>
      </c>
      <c r="AI93" s="2829"/>
      <c r="AJ93" s="2813"/>
      <c r="AK93" s="2813"/>
      <c r="AL93" s="2813">
        <v>117000000000</v>
      </c>
      <c r="AM93" s="2820"/>
      <c r="AN93" s="2813">
        <f t="shared" si="53"/>
        <v>0</v>
      </c>
      <c r="AO93" s="2818"/>
      <c r="AP93" s="2818"/>
      <c r="AQ93" s="2818"/>
      <c r="AR93" s="2818"/>
      <c r="AS93" s="2818"/>
      <c r="AT93" s="2818"/>
      <c r="AU93" s="2818"/>
      <c r="AV93" s="2818"/>
      <c r="AW93" s="2818"/>
      <c r="AX93" s="2818"/>
      <c r="AY93" s="2818"/>
      <c r="AZ93" s="2818"/>
      <c r="BA93" s="2818">
        <f t="shared" si="39"/>
        <v>0</v>
      </c>
      <c r="BB93" s="2818">
        <f t="shared" si="40"/>
        <v>0</v>
      </c>
      <c r="BD93" s="2800">
        <f t="shared" si="43"/>
        <v>0</v>
      </c>
      <c r="BE93" s="2800">
        <f t="shared" si="44"/>
        <v>0</v>
      </c>
      <c r="BF93" s="2800">
        <f t="shared" si="41"/>
        <v>0</v>
      </c>
    </row>
    <row r="94" spans="2:58" s="2860" customFormat="1" ht="74.45" customHeight="1" x14ac:dyDescent="0.2">
      <c r="B94" s="4243"/>
      <c r="C94" s="2861" t="s">
        <v>628</v>
      </c>
      <c r="D94" s="2862" t="s">
        <v>604</v>
      </c>
      <c r="E94" s="2811"/>
      <c r="F94" s="2820"/>
      <c r="G94" s="2820"/>
      <c r="H94" s="2816">
        <f t="shared" si="45"/>
        <v>0</v>
      </c>
      <c r="I94" s="2811">
        <f>'یادداشت 7 دارایییی اصلاحی'!J191</f>
        <v>0</v>
      </c>
      <c r="J94" s="2811"/>
      <c r="K94" s="2811"/>
      <c r="L94" s="2811"/>
      <c r="M94" s="2812"/>
      <c r="N94" s="2813">
        <f t="shared" si="46"/>
        <v>340623081</v>
      </c>
      <c r="O94" s="2813"/>
      <c r="P94" s="2813"/>
      <c r="Q94" s="2813"/>
      <c r="R94" s="2826">
        <f>-'يادداشت 1-1-10 حسابهاي پرداخخخ '!L172</f>
        <v>340623081</v>
      </c>
      <c r="S94" s="2813"/>
      <c r="T94" s="2813"/>
      <c r="U94" s="2814">
        <f t="shared" si="47"/>
        <v>340623081</v>
      </c>
      <c r="V94" s="2813"/>
      <c r="W94" s="2814"/>
      <c r="X94" s="2813"/>
      <c r="Y94" s="2816"/>
      <c r="Z94" s="2811"/>
      <c r="AA94" s="2811"/>
      <c r="AB94" s="2820"/>
      <c r="AC94" s="2813">
        <f t="shared" si="48"/>
        <v>-340623081</v>
      </c>
      <c r="AD94" s="2813"/>
      <c r="AE94" s="2813">
        <f t="shared" si="49"/>
        <v>-340623081</v>
      </c>
      <c r="AF94" s="2813">
        <f t="shared" si="50"/>
        <v>0</v>
      </c>
      <c r="AG94" s="2813">
        <f t="shared" si="51"/>
        <v>340623081</v>
      </c>
      <c r="AH94" s="2813">
        <f t="shared" si="52"/>
        <v>0</v>
      </c>
      <c r="AI94" s="2829"/>
      <c r="AJ94" s="2813"/>
      <c r="AK94" s="2816"/>
      <c r="AL94" s="2859"/>
      <c r="AM94" s="2820"/>
      <c r="AN94" s="2813">
        <f t="shared" si="53"/>
        <v>0</v>
      </c>
      <c r="AO94" s="2818"/>
      <c r="AP94" s="2818"/>
      <c r="AQ94" s="2818"/>
      <c r="AR94" s="2818"/>
      <c r="AS94" s="2818"/>
      <c r="AT94" s="2818"/>
      <c r="AU94" s="2818"/>
      <c r="AV94" s="2818"/>
      <c r="AW94" s="2818"/>
      <c r="AX94" s="2818"/>
      <c r="AY94" s="2818"/>
      <c r="AZ94" s="2818"/>
      <c r="BA94" s="2818">
        <f t="shared" si="39"/>
        <v>0</v>
      </c>
      <c r="BB94" s="2818">
        <f t="shared" si="40"/>
        <v>0</v>
      </c>
      <c r="BD94" s="2800">
        <f t="shared" si="43"/>
        <v>0</v>
      </c>
      <c r="BE94" s="2800">
        <f t="shared" si="44"/>
        <v>0</v>
      </c>
      <c r="BF94" s="2800">
        <f t="shared" si="41"/>
        <v>0</v>
      </c>
    </row>
    <row r="95" spans="2:58" s="2860" customFormat="1" ht="74.45" customHeight="1" x14ac:dyDescent="0.2">
      <c r="B95" s="4243"/>
      <c r="C95" s="2861" t="s">
        <v>629</v>
      </c>
      <c r="D95" s="2862" t="s">
        <v>605</v>
      </c>
      <c r="E95" s="2811">
        <f>'يادداشت 1-13وجوهدريافتي ازخزانه'!V77</f>
        <v>0</v>
      </c>
      <c r="F95" s="2820"/>
      <c r="G95" s="2820"/>
      <c r="H95" s="2816">
        <f t="shared" si="45"/>
        <v>0</v>
      </c>
      <c r="I95" s="2811">
        <f>'یادداشت 7 دارایییی اصلاحی'!J193</f>
        <v>3971044096</v>
      </c>
      <c r="J95" s="2811">
        <f>'يادداشت_-5موجودی_جنسی__(2)'!F45</f>
        <v>1431250000</v>
      </c>
      <c r="K95" s="2811">
        <f>'پيش پرداخت سرمايه اي يادداشت 6'!H90</f>
        <v>0</v>
      </c>
      <c r="L95" s="2811">
        <f>'ياد 15  سايرهزينه '!I36</f>
        <v>658000000</v>
      </c>
      <c r="M95" s="2811"/>
      <c r="N95" s="2813">
        <f t="shared" si="46"/>
        <v>92434473450</v>
      </c>
      <c r="O95" s="2820"/>
      <c r="P95" s="2820"/>
      <c r="Q95" s="2820">
        <f>-'يادداشت 11 -سايربدهي_هاي_جاري'!I98</f>
        <v>10738484762</v>
      </c>
      <c r="R95" s="2842">
        <f>-'يادداشت 1-1-10 حسابهاي پرداخخخ '!L78</f>
        <v>81695988688</v>
      </c>
      <c r="S95" s="2813">
        <f>-'يادداشت 1-13وجوهدريافتي ازخزانه'!M77</f>
        <v>0</v>
      </c>
      <c r="T95" s="2813"/>
      <c r="U95" s="2814">
        <f t="shared" si="47"/>
        <v>98494767546</v>
      </c>
      <c r="V95" s="2813">
        <f>'حفظ قدرت خرید'!L30</f>
        <v>-6273000000</v>
      </c>
      <c r="W95" s="2846">
        <f>-21768862212</f>
        <v>-21768862212</v>
      </c>
      <c r="X95" s="2820"/>
      <c r="Y95" s="2811"/>
      <c r="Z95" s="2811"/>
      <c r="AA95" s="2811">
        <f>-'يادداشت 1-13وجوهدريافتي ازخزانه'!J77</f>
        <v>0</v>
      </c>
      <c r="AB95" s="2820">
        <f>-16892749262</f>
        <v>-16892749262</v>
      </c>
      <c r="AC95" s="2813">
        <f t="shared" si="48"/>
        <v>-53560156072</v>
      </c>
      <c r="AD95" s="2813"/>
      <c r="AE95" s="2813">
        <f t="shared" si="49"/>
        <v>-98494767546</v>
      </c>
      <c r="AF95" s="2813">
        <f t="shared" si="50"/>
        <v>-44934611474</v>
      </c>
      <c r="AG95" s="2813">
        <f t="shared" si="51"/>
        <v>53560156072</v>
      </c>
      <c r="AH95" s="2813">
        <f t="shared" si="52"/>
        <v>0</v>
      </c>
      <c r="AI95" s="2829"/>
      <c r="AJ95" s="2813"/>
      <c r="AK95" s="2813"/>
      <c r="AL95" s="2859"/>
      <c r="AM95" s="2820"/>
      <c r="AN95" s="2813">
        <f t="shared" si="53"/>
        <v>0</v>
      </c>
      <c r="AO95" s="2818"/>
      <c r="AP95" s="2818"/>
      <c r="AQ95" s="2818"/>
      <c r="AR95" s="2818"/>
      <c r="AS95" s="2818"/>
      <c r="AT95" s="2818"/>
      <c r="AU95" s="2818"/>
      <c r="AV95" s="2818"/>
      <c r="AW95" s="2818"/>
      <c r="AX95" s="2818"/>
      <c r="AY95" s="2818"/>
      <c r="AZ95" s="2818"/>
      <c r="BA95" s="2818">
        <f t="shared" si="39"/>
        <v>0</v>
      </c>
      <c r="BB95" s="2818">
        <f t="shared" si="40"/>
        <v>0</v>
      </c>
      <c r="BD95" s="2800">
        <f t="shared" si="43"/>
        <v>0</v>
      </c>
      <c r="BE95" s="2800">
        <f t="shared" si="44"/>
        <v>0</v>
      </c>
      <c r="BF95" s="2800">
        <f t="shared" si="41"/>
        <v>0</v>
      </c>
    </row>
    <row r="96" spans="2:58" s="2860" customFormat="1" ht="74.45" customHeight="1" x14ac:dyDescent="0.2">
      <c r="B96" s="4243"/>
      <c r="C96" s="2866" t="s">
        <v>292</v>
      </c>
      <c r="D96" s="2867" t="s">
        <v>1079</v>
      </c>
      <c r="E96" s="2811">
        <f>'يادداشت 1-13وجوهدريافتي ازخزانه'!V85</f>
        <v>0</v>
      </c>
      <c r="F96" s="2820"/>
      <c r="G96" s="2820"/>
      <c r="H96" s="2816">
        <f t="shared" si="45"/>
        <v>0</v>
      </c>
      <c r="I96" s="2811">
        <f>'یادداشت 7 دارایییی اصلاحی'!J362</f>
        <v>40790873099</v>
      </c>
      <c r="J96" s="2811"/>
      <c r="K96" s="2811"/>
      <c r="L96" s="2868">
        <f>'ياد 15  سايرهزينه '!G11-M169</f>
        <v>0</v>
      </c>
      <c r="M96" s="2811"/>
      <c r="N96" s="2813">
        <f t="shared" si="46"/>
        <v>130904804152</v>
      </c>
      <c r="O96" s="2811"/>
      <c r="P96" s="2811"/>
      <c r="Q96" s="2811"/>
      <c r="R96" s="2812">
        <f>-'يادداشت 1-1-10 حسابهاي پرداخخخ '!L114</f>
        <v>130904804152</v>
      </c>
      <c r="S96" s="2813"/>
      <c r="T96" s="2813"/>
      <c r="U96" s="2814">
        <f t="shared" si="47"/>
        <v>171695677251</v>
      </c>
      <c r="V96" s="2813"/>
      <c r="W96" s="2816">
        <f>-64271450000</f>
        <v>-64271450000</v>
      </c>
      <c r="X96" s="2811"/>
      <c r="Y96" s="2811"/>
      <c r="Z96" s="2811"/>
      <c r="AA96" s="2811"/>
      <c r="AB96" s="2820"/>
      <c r="AC96" s="2813">
        <f t="shared" si="48"/>
        <v>-107424227251</v>
      </c>
      <c r="AD96" s="2813"/>
      <c r="AE96" s="2813">
        <f t="shared" si="49"/>
        <v>-171695677251</v>
      </c>
      <c r="AF96" s="2813">
        <f t="shared" si="50"/>
        <v>-64271450000</v>
      </c>
      <c r="AG96" s="2813">
        <f t="shared" si="51"/>
        <v>107424227251</v>
      </c>
      <c r="AH96" s="2813">
        <f t="shared" si="52"/>
        <v>0</v>
      </c>
      <c r="AI96" s="2829"/>
      <c r="AJ96" s="2813"/>
      <c r="AK96" s="2813"/>
      <c r="AL96" s="2859"/>
      <c r="AM96" s="2820"/>
      <c r="AN96" s="2813">
        <f t="shared" si="53"/>
        <v>0</v>
      </c>
      <c r="AO96" s="2818"/>
      <c r="AP96" s="2818"/>
      <c r="AQ96" s="2818"/>
      <c r="AR96" s="2818"/>
      <c r="AS96" s="2818"/>
      <c r="AT96" s="2818"/>
      <c r="AU96" s="2818"/>
      <c r="AV96" s="2818"/>
      <c r="AW96" s="2818"/>
      <c r="AX96" s="2818"/>
      <c r="AY96" s="2818"/>
      <c r="AZ96" s="2818"/>
      <c r="BA96" s="2818">
        <f t="shared" si="39"/>
        <v>0</v>
      </c>
      <c r="BB96" s="2818">
        <f t="shared" si="40"/>
        <v>0</v>
      </c>
      <c r="BD96" s="2800">
        <f t="shared" si="43"/>
        <v>0</v>
      </c>
      <c r="BE96" s="2800">
        <f t="shared" si="44"/>
        <v>0</v>
      </c>
      <c r="BF96" s="2800">
        <f t="shared" si="41"/>
        <v>0</v>
      </c>
    </row>
    <row r="97" spans="2:58" s="2860" customFormat="1" ht="74.45" customHeight="1" x14ac:dyDescent="0.2">
      <c r="B97" s="4243"/>
      <c r="C97" s="2866" t="s">
        <v>1080</v>
      </c>
      <c r="D97" s="2869" t="s">
        <v>1081</v>
      </c>
      <c r="E97" s="2811">
        <f>'يادداشت 1-13وجوهدريافتي ازخزانه'!V86</f>
        <v>0</v>
      </c>
      <c r="F97" s="2820"/>
      <c r="G97" s="2820"/>
      <c r="H97" s="2816">
        <f t="shared" si="45"/>
        <v>0</v>
      </c>
      <c r="I97" s="2811">
        <f>'یادداشت 7 دارایییی اصلاحی'!J349</f>
        <v>2721086329</v>
      </c>
      <c r="J97" s="2811">
        <f>'يادداشت_-5موجودی_جنسی__(2)'!F59</f>
        <v>133981873</v>
      </c>
      <c r="K97" s="2811"/>
      <c r="L97" s="2811">
        <f>'ياد 15  سايرهزينه '!I37</f>
        <v>255000000</v>
      </c>
      <c r="M97" s="2811">
        <v>2054297618</v>
      </c>
      <c r="N97" s="2813">
        <f t="shared" si="46"/>
        <v>220562846681</v>
      </c>
      <c r="O97" s="2811"/>
      <c r="P97" s="2811"/>
      <c r="Q97" s="2811">
        <f>-'يادداشت 11 -سايربدهي_هاي_جاري'!I119</f>
        <v>8100640349</v>
      </c>
      <c r="R97" s="2812">
        <f>-'يادداشت 1-1-10 حسابهاي پرداخخخ '!L79</f>
        <v>212462206332</v>
      </c>
      <c r="S97" s="2813">
        <f>-'يادداشت 1-13وجوهدريافتي ازخزانه'!M86</f>
        <v>0</v>
      </c>
      <c r="T97" s="2813"/>
      <c r="U97" s="2814">
        <f t="shared" si="47"/>
        <v>225727212501</v>
      </c>
      <c r="V97" s="2813">
        <f>'حفظ قدرت خرید'!L54</f>
        <v>-6833000000</v>
      </c>
      <c r="W97" s="2816">
        <f>-32500000000</f>
        <v>-32500000000</v>
      </c>
      <c r="X97" s="2811"/>
      <c r="Y97" s="2811"/>
      <c r="Z97" s="2811"/>
      <c r="AA97" s="2811">
        <f>-'يادداشت 1-13وجوهدريافتي ازخزانه'!J86</f>
        <v>0</v>
      </c>
      <c r="AB97" s="2820"/>
      <c r="AC97" s="2813">
        <f t="shared" si="48"/>
        <v>-186394212501</v>
      </c>
      <c r="AD97" s="2813"/>
      <c r="AE97" s="2813">
        <f t="shared" si="49"/>
        <v>-225727212501</v>
      </c>
      <c r="AF97" s="2813">
        <f t="shared" si="50"/>
        <v>-39333000000</v>
      </c>
      <c r="AG97" s="2813">
        <f t="shared" si="51"/>
        <v>186394212501</v>
      </c>
      <c r="AH97" s="2813">
        <f t="shared" si="52"/>
        <v>0</v>
      </c>
      <c r="AI97" s="2829"/>
      <c r="AJ97" s="2813"/>
      <c r="AK97" s="2813"/>
      <c r="AL97" s="2859"/>
      <c r="AM97" s="2820"/>
      <c r="AN97" s="2813">
        <f t="shared" si="53"/>
        <v>0</v>
      </c>
      <c r="AO97" s="2818"/>
      <c r="AP97" s="2818"/>
      <c r="AQ97" s="2818"/>
      <c r="AR97" s="2818"/>
      <c r="AS97" s="2818"/>
      <c r="AT97" s="2818"/>
      <c r="AU97" s="2818"/>
      <c r="AV97" s="2818"/>
      <c r="AW97" s="2818"/>
      <c r="AX97" s="2818"/>
      <c r="AY97" s="2818"/>
      <c r="AZ97" s="2818"/>
      <c r="BA97" s="2818">
        <f t="shared" si="39"/>
        <v>0</v>
      </c>
      <c r="BB97" s="2818">
        <f t="shared" si="40"/>
        <v>0</v>
      </c>
      <c r="BD97" s="2800">
        <f t="shared" si="43"/>
        <v>0</v>
      </c>
      <c r="BE97" s="2800">
        <f t="shared" si="44"/>
        <v>0</v>
      </c>
      <c r="BF97" s="2800">
        <f t="shared" si="41"/>
        <v>0</v>
      </c>
    </row>
    <row r="98" spans="2:58" s="2860" customFormat="1" ht="74.45" customHeight="1" x14ac:dyDescent="0.2">
      <c r="B98" s="4243"/>
      <c r="C98" s="2861" t="s">
        <v>1083</v>
      </c>
      <c r="D98" s="2870" t="s">
        <v>1082</v>
      </c>
      <c r="E98" s="2811">
        <f>'يادداشت 1-13وجوهدريافتي ازخزانه'!V29</f>
        <v>0</v>
      </c>
      <c r="F98" s="2820"/>
      <c r="G98" s="2820"/>
      <c r="H98" s="2816">
        <f t="shared" si="45"/>
        <v>0</v>
      </c>
      <c r="I98" s="2811">
        <f>'یادداشت 7 دارایییی اصلاحی'!J350</f>
        <v>173393830971</v>
      </c>
      <c r="J98" s="2811">
        <f>'يادداشت_-5موجودی_جنسی__(2)'!F57</f>
        <v>29210977300</v>
      </c>
      <c r="K98" s="2811">
        <f>'پيش پرداخت سرمايه اي يادداشت 6'!H87</f>
        <v>57780037642</v>
      </c>
      <c r="L98" s="2811"/>
      <c r="M98" s="2811"/>
      <c r="N98" s="2813">
        <f t="shared" si="46"/>
        <v>293483518874</v>
      </c>
      <c r="O98" s="2811"/>
      <c r="P98" s="2811"/>
      <c r="Q98" s="2811">
        <f>-'يادداشت 11 -سايربدهي_هاي_جاري'!I121</f>
        <v>16380213728</v>
      </c>
      <c r="R98" s="2812">
        <f>-'يادداشت 1-1-10 حسابهاي پرداخخخ '!L142</f>
        <v>277103305146</v>
      </c>
      <c r="S98" s="2813">
        <f>-'يادداشت 1-13وجوهدريافتي ازخزانه'!M29</f>
        <v>1731000000</v>
      </c>
      <c r="T98" s="2813"/>
      <c r="U98" s="2814">
        <f t="shared" si="47"/>
        <v>555599364787</v>
      </c>
      <c r="V98" s="2813">
        <f>'حفظ قدرت خرید'!L56</f>
        <v>-508000000</v>
      </c>
      <c r="W98" s="2816">
        <f>-270175611524</f>
        <v>-270175611524</v>
      </c>
      <c r="X98" s="2811"/>
      <c r="Y98" s="2811"/>
      <c r="Z98" s="2811"/>
      <c r="AA98" s="2811">
        <f>-'يادداشت 1-13وجوهدريافتي ازخزانه'!J29</f>
        <v>-7500000000</v>
      </c>
      <c r="AB98" s="2820"/>
      <c r="AC98" s="2813">
        <f t="shared" si="48"/>
        <v>-277415753263</v>
      </c>
      <c r="AD98" s="2813"/>
      <c r="AE98" s="2813">
        <f t="shared" si="49"/>
        <v>-555599364787</v>
      </c>
      <c r="AF98" s="2813">
        <f t="shared" si="50"/>
        <v>-278183611524</v>
      </c>
      <c r="AG98" s="2813">
        <f t="shared" si="51"/>
        <v>277415753263</v>
      </c>
      <c r="AH98" s="2813">
        <f t="shared" si="52"/>
        <v>0</v>
      </c>
      <c r="AI98" s="2828"/>
      <c r="AJ98" s="2813"/>
      <c r="AK98" s="2813"/>
      <c r="AL98" s="2859"/>
      <c r="AM98" s="2820"/>
      <c r="AN98" s="2813">
        <f t="shared" si="53"/>
        <v>0</v>
      </c>
      <c r="AO98" s="2818"/>
      <c r="AP98" s="2818"/>
      <c r="AQ98" s="2818"/>
      <c r="AR98" s="2818"/>
      <c r="AS98" s="2818"/>
      <c r="AT98" s="2818"/>
      <c r="AU98" s="2818"/>
      <c r="AV98" s="2818"/>
      <c r="AW98" s="2818"/>
      <c r="AX98" s="2818"/>
      <c r="AY98" s="2818"/>
      <c r="AZ98" s="2818"/>
      <c r="BA98" s="2818">
        <f t="shared" si="39"/>
        <v>0</v>
      </c>
      <c r="BB98" s="2818">
        <f t="shared" si="40"/>
        <v>0</v>
      </c>
      <c r="BD98" s="2800">
        <f t="shared" si="43"/>
        <v>0</v>
      </c>
      <c r="BE98" s="2800">
        <f t="shared" si="44"/>
        <v>0</v>
      </c>
      <c r="BF98" s="2800">
        <f t="shared" si="41"/>
        <v>0</v>
      </c>
    </row>
    <row r="99" spans="2:58" s="2860" customFormat="1" ht="67.150000000000006" customHeight="1" x14ac:dyDescent="0.2">
      <c r="B99" s="4243"/>
      <c r="C99" s="2866" t="s">
        <v>1078</v>
      </c>
      <c r="D99" s="2867" t="s">
        <v>1077</v>
      </c>
      <c r="E99" s="2811"/>
      <c r="F99" s="2820"/>
      <c r="G99" s="2820"/>
      <c r="H99" s="2816">
        <f t="shared" si="45"/>
        <v>0</v>
      </c>
      <c r="I99" s="2811">
        <f>'یادداشت 7 دارایییی اصلاحی'!J351</f>
        <v>28978669768</v>
      </c>
      <c r="J99" s="2811">
        <f>'يادداشت_-5موجودی_جنسی__(2)'!F58</f>
        <v>0</v>
      </c>
      <c r="K99" s="2811"/>
      <c r="L99" s="2811">
        <f>'ياد 15  سايرهزينه '!I38</f>
        <v>2068000000</v>
      </c>
      <c r="M99" s="2811"/>
      <c r="N99" s="2813">
        <f t="shared" si="46"/>
        <v>27271046736</v>
      </c>
      <c r="O99" s="2811"/>
      <c r="P99" s="2811"/>
      <c r="Q99" s="2811">
        <f>-'يادداشت 11 -سايربدهي_هاي_جاري'!I120</f>
        <v>3501000000</v>
      </c>
      <c r="R99" s="2812">
        <f>-'يادداشت 1-1-10 حسابهاي پرداخخخ '!L117</f>
        <v>23770046736</v>
      </c>
      <c r="S99" s="2813">
        <f>-'يادداشت 1-13وجوهدريافتي ازخزانه'!M30</f>
        <v>8785000000</v>
      </c>
      <c r="T99" s="2813"/>
      <c r="U99" s="2814">
        <f t="shared" si="47"/>
        <v>67102716504</v>
      </c>
      <c r="V99" s="2813">
        <f>'حفظ قدرت خرید'!L55</f>
        <v>-19515000000</v>
      </c>
      <c r="W99" s="2816"/>
      <c r="X99" s="2811"/>
      <c r="Y99" s="2811"/>
      <c r="Z99" s="2811"/>
      <c r="AA99" s="2811">
        <f>-'يادداشت 1-13وجوهدريافتي ازخزانه'!J30</f>
        <v>-40000000000</v>
      </c>
      <c r="AB99" s="2820"/>
      <c r="AC99" s="2813">
        <f t="shared" si="48"/>
        <v>-7587716504</v>
      </c>
      <c r="AD99" s="2813"/>
      <c r="AE99" s="2813">
        <f t="shared" si="49"/>
        <v>-67102716504</v>
      </c>
      <c r="AF99" s="2813">
        <f t="shared" si="50"/>
        <v>-59515000000</v>
      </c>
      <c r="AG99" s="2813">
        <f t="shared" si="51"/>
        <v>7587716504</v>
      </c>
      <c r="AH99" s="2813">
        <f t="shared" si="52"/>
        <v>0</v>
      </c>
      <c r="AI99" s="2829"/>
      <c r="AJ99" s="2813"/>
      <c r="AK99" s="2813"/>
      <c r="AL99" s="2813">
        <v>690000000000</v>
      </c>
      <c r="AM99" s="2820"/>
      <c r="AN99" s="2813">
        <f t="shared" si="53"/>
        <v>0</v>
      </c>
      <c r="AO99" s="2818"/>
      <c r="AP99" s="2818"/>
      <c r="AQ99" s="2818"/>
      <c r="AR99" s="2818"/>
      <c r="AS99" s="2818"/>
      <c r="AT99" s="2818"/>
      <c r="AU99" s="2818"/>
      <c r="AV99" s="2818"/>
      <c r="AW99" s="2818"/>
      <c r="AX99" s="2818"/>
      <c r="AY99" s="2818"/>
      <c r="AZ99" s="2818"/>
      <c r="BA99" s="2818">
        <f t="shared" si="39"/>
        <v>0</v>
      </c>
      <c r="BB99" s="2818">
        <f t="shared" si="40"/>
        <v>0</v>
      </c>
      <c r="BD99" s="2800">
        <f t="shared" si="43"/>
        <v>0</v>
      </c>
      <c r="BE99" s="2800">
        <f t="shared" si="44"/>
        <v>0</v>
      </c>
      <c r="BF99" s="2800">
        <f t="shared" si="41"/>
        <v>0</v>
      </c>
    </row>
    <row r="100" spans="2:58" s="2860" customFormat="1" ht="1.1499999999999999" hidden="1" customHeight="1" x14ac:dyDescent="0.2">
      <c r="B100" s="4243"/>
      <c r="C100" s="2861" t="s">
        <v>612</v>
      </c>
      <c r="D100" s="2862" t="s">
        <v>606</v>
      </c>
      <c r="E100" s="2811"/>
      <c r="F100" s="2820"/>
      <c r="G100" s="2820"/>
      <c r="H100" s="2816">
        <f t="shared" si="45"/>
        <v>0</v>
      </c>
      <c r="I100" s="2811"/>
      <c r="J100" s="2811"/>
      <c r="K100" s="2811"/>
      <c r="L100" s="2811"/>
      <c r="M100" s="2811"/>
      <c r="N100" s="2813">
        <f t="shared" si="46"/>
        <v>0</v>
      </c>
      <c r="O100" s="2811"/>
      <c r="P100" s="2811"/>
      <c r="Q100" s="2811"/>
      <c r="R100" s="2812"/>
      <c r="S100" s="2813"/>
      <c r="T100" s="2813"/>
      <c r="U100" s="2814">
        <f t="shared" si="47"/>
        <v>0</v>
      </c>
      <c r="V100" s="2813"/>
      <c r="W100" s="2814"/>
      <c r="X100" s="2811"/>
      <c r="Y100" s="2811"/>
      <c r="Z100" s="2811"/>
      <c r="AA100" s="2811"/>
      <c r="AB100" s="2820"/>
      <c r="AC100" s="2813">
        <f t="shared" si="48"/>
        <v>0</v>
      </c>
      <c r="AD100" s="2813"/>
      <c r="AE100" s="2813">
        <f t="shared" si="49"/>
        <v>0</v>
      </c>
      <c r="AF100" s="2813">
        <f t="shared" si="50"/>
        <v>0</v>
      </c>
      <c r="AG100" s="2813">
        <f t="shared" si="51"/>
        <v>0</v>
      </c>
      <c r="AH100" s="2813">
        <f t="shared" si="52"/>
        <v>0</v>
      </c>
      <c r="AI100" s="2829"/>
      <c r="AJ100" s="2813"/>
      <c r="AK100" s="2816"/>
      <c r="AL100" s="2813">
        <v>5000000000</v>
      </c>
      <c r="AM100" s="2820"/>
      <c r="AN100" s="2813">
        <f t="shared" si="53"/>
        <v>0</v>
      </c>
      <c r="AO100" s="2818"/>
      <c r="AP100" s="2818"/>
      <c r="AQ100" s="2818"/>
      <c r="AR100" s="2818"/>
      <c r="AS100" s="2818"/>
      <c r="AT100" s="2818"/>
      <c r="AU100" s="2818"/>
      <c r="AV100" s="2818"/>
      <c r="AW100" s="2818"/>
      <c r="AX100" s="2818"/>
      <c r="AY100" s="2818"/>
      <c r="AZ100" s="2818"/>
      <c r="BA100" s="2818">
        <f t="shared" si="39"/>
        <v>0</v>
      </c>
      <c r="BB100" s="2818">
        <f t="shared" si="40"/>
        <v>0</v>
      </c>
      <c r="BD100" s="2800">
        <f t="shared" si="43"/>
        <v>0</v>
      </c>
      <c r="BE100" s="2800">
        <f t="shared" si="44"/>
        <v>0</v>
      </c>
      <c r="BF100" s="2800">
        <f t="shared" si="41"/>
        <v>0</v>
      </c>
    </row>
    <row r="101" spans="2:58" s="2860" customFormat="1" ht="1.1499999999999999" hidden="1" customHeight="1" x14ac:dyDescent="0.2">
      <c r="B101" s="4243"/>
      <c r="C101" s="2861" t="s">
        <v>639</v>
      </c>
      <c r="D101" s="2862" t="s">
        <v>638</v>
      </c>
      <c r="E101" s="2811"/>
      <c r="F101" s="2820"/>
      <c r="G101" s="2820"/>
      <c r="H101" s="2816">
        <f t="shared" si="45"/>
        <v>0</v>
      </c>
      <c r="I101" s="2811"/>
      <c r="J101" s="2811"/>
      <c r="K101" s="2811"/>
      <c r="L101" s="2811"/>
      <c r="M101" s="2811"/>
      <c r="N101" s="2813">
        <f t="shared" si="46"/>
        <v>0</v>
      </c>
      <c r="O101" s="2811"/>
      <c r="P101" s="2811"/>
      <c r="Q101" s="2811"/>
      <c r="R101" s="2812"/>
      <c r="S101" s="2813"/>
      <c r="T101" s="2813"/>
      <c r="U101" s="2814">
        <f t="shared" si="47"/>
        <v>0</v>
      </c>
      <c r="V101" s="2813"/>
      <c r="W101" s="2816"/>
      <c r="X101" s="2811"/>
      <c r="Y101" s="2811"/>
      <c r="Z101" s="2811"/>
      <c r="AA101" s="2811"/>
      <c r="AB101" s="2820"/>
      <c r="AC101" s="2813">
        <f t="shared" si="48"/>
        <v>0</v>
      </c>
      <c r="AD101" s="2813"/>
      <c r="AE101" s="2813">
        <f t="shared" si="49"/>
        <v>0</v>
      </c>
      <c r="AF101" s="2813">
        <f t="shared" si="50"/>
        <v>0</v>
      </c>
      <c r="AG101" s="2813">
        <f t="shared" si="51"/>
        <v>0</v>
      </c>
      <c r="AH101" s="2813">
        <f t="shared" si="52"/>
        <v>0</v>
      </c>
      <c r="AI101" s="2829"/>
      <c r="AJ101" s="2813"/>
      <c r="AK101" s="2816"/>
      <c r="AL101" s="2859"/>
      <c r="AM101" s="2820"/>
      <c r="AN101" s="2813">
        <f t="shared" si="53"/>
        <v>0</v>
      </c>
      <c r="AO101" s="2818"/>
      <c r="AP101" s="2818"/>
      <c r="AQ101" s="2818"/>
      <c r="AR101" s="2818"/>
      <c r="AS101" s="2818"/>
      <c r="AT101" s="2818"/>
      <c r="AU101" s="2818"/>
      <c r="AV101" s="2818"/>
      <c r="AW101" s="2818"/>
      <c r="AX101" s="2818"/>
      <c r="AY101" s="2818"/>
      <c r="AZ101" s="2818"/>
      <c r="BA101" s="2818">
        <f t="shared" si="39"/>
        <v>0</v>
      </c>
      <c r="BB101" s="2818">
        <f t="shared" si="40"/>
        <v>0</v>
      </c>
      <c r="BD101" s="2800">
        <f t="shared" si="43"/>
        <v>0</v>
      </c>
      <c r="BE101" s="2800">
        <f t="shared" si="44"/>
        <v>0</v>
      </c>
      <c r="BF101" s="2800">
        <f t="shared" si="41"/>
        <v>0</v>
      </c>
    </row>
    <row r="102" spans="2:58" s="2860" customFormat="1" ht="74.45" hidden="1" customHeight="1" x14ac:dyDescent="0.2">
      <c r="B102" s="4243"/>
      <c r="C102" s="2871" t="s">
        <v>558</v>
      </c>
      <c r="D102" s="2872" t="s">
        <v>809</v>
      </c>
      <c r="E102" s="2811"/>
      <c r="F102" s="2811"/>
      <c r="G102" s="2811"/>
      <c r="H102" s="2816">
        <f t="shared" si="45"/>
        <v>0</v>
      </c>
      <c r="I102" s="2811">
        <f>'یادداشت 7 دارایییی اصلاحی'!J359</f>
        <v>0</v>
      </c>
      <c r="J102" s="2811"/>
      <c r="K102" s="2811"/>
      <c r="L102" s="2811"/>
      <c r="M102" s="2811"/>
      <c r="N102" s="2813">
        <f t="shared" si="46"/>
        <v>0</v>
      </c>
      <c r="O102" s="2811"/>
      <c r="P102" s="2811"/>
      <c r="Q102" s="2811"/>
      <c r="R102" s="2812">
        <f>-'يادداشت 1-1-10 حسابهاي پرداخخخ '!L331</f>
        <v>0</v>
      </c>
      <c r="S102" s="2813"/>
      <c r="T102" s="2813"/>
      <c r="U102" s="2814">
        <f t="shared" si="47"/>
        <v>0</v>
      </c>
      <c r="V102" s="2813"/>
      <c r="W102" s="2816"/>
      <c r="X102" s="2811"/>
      <c r="Y102" s="2811"/>
      <c r="Z102" s="2811"/>
      <c r="AA102" s="2811"/>
      <c r="AB102" s="2820"/>
      <c r="AC102" s="2813">
        <f t="shared" si="48"/>
        <v>0</v>
      </c>
      <c r="AD102" s="2813"/>
      <c r="AE102" s="2813">
        <f t="shared" si="49"/>
        <v>0</v>
      </c>
      <c r="AF102" s="2813">
        <f t="shared" si="50"/>
        <v>0</v>
      </c>
      <c r="AG102" s="2813">
        <f t="shared" si="51"/>
        <v>0</v>
      </c>
      <c r="AH102" s="2813">
        <f t="shared" si="52"/>
        <v>0</v>
      </c>
      <c r="AI102" s="2829"/>
      <c r="AJ102" s="2813"/>
      <c r="AK102" s="2813"/>
      <c r="AL102" s="2859"/>
      <c r="AM102" s="2820"/>
      <c r="AN102" s="2813">
        <f t="shared" si="53"/>
        <v>0</v>
      </c>
      <c r="AO102" s="2818"/>
      <c r="AP102" s="2818"/>
      <c r="AQ102" s="2818"/>
      <c r="AR102" s="2818"/>
      <c r="AS102" s="2818"/>
      <c r="AT102" s="2818"/>
      <c r="AU102" s="2818"/>
      <c r="AV102" s="2818"/>
      <c r="AW102" s="2818"/>
      <c r="AX102" s="2818"/>
      <c r="AY102" s="2818"/>
      <c r="AZ102" s="2818"/>
      <c r="BA102" s="2818">
        <f t="shared" si="39"/>
        <v>0</v>
      </c>
      <c r="BB102" s="2818">
        <f t="shared" si="40"/>
        <v>0</v>
      </c>
      <c r="BD102" s="2800">
        <f t="shared" si="43"/>
        <v>0</v>
      </c>
      <c r="BE102" s="2800">
        <f t="shared" si="44"/>
        <v>0</v>
      </c>
      <c r="BF102" s="2800">
        <f t="shared" si="41"/>
        <v>0</v>
      </c>
    </row>
    <row r="103" spans="2:58" s="2860" customFormat="1" ht="74.45" hidden="1" customHeight="1" x14ac:dyDescent="0.2">
      <c r="B103" s="4243"/>
      <c r="C103" s="2861" t="s">
        <v>810</v>
      </c>
      <c r="D103" s="2862" t="s">
        <v>811</v>
      </c>
      <c r="E103" s="2811"/>
      <c r="F103" s="2811"/>
      <c r="G103" s="2811"/>
      <c r="H103" s="2816">
        <f t="shared" si="45"/>
        <v>0</v>
      </c>
      <c r="I103" s="2811">
        <f>'یادداشت 7 دارایییی اصلاحی'!J347</f>
        <v>0</v>
      </c>
      <c r="J103" s="2811"/>
      <c r="K103" s="2811"/>
      <c r="L103" s="2811"/>
      <c r="M103" s="2811"/>
      <c r="N103" s="2813">
        <f t="shared" si="46"/>
        <v>0</v>
      </c>
      <c r="O103" s="2811"/>
      <c r="P103" s="2811"/>
      <c r="Q103" s="2811"/>
      <c r="R103" s="2812">
        <f>-'يادداشت 1-1-10 حسابهاي پرداخخخ '!L361</f>
        <v>0</v>
      </c>
      <c r="S103" s="2813"/>
      <c r="T103" s="2813"/>
      <c r="U103" s="2814">
        <f t="shared" si="47"/>
        <v>0</v>
      </c>
      <c r="V103" s="2813"/>
      <c r="W103" s="2816"/>
      <c r="X103" s="2811"/>
      <c r="Y103" s="2811"/>
      <c r="Z103" s="2811"/>
      <c r="AA103" s="2811"/>
      <c r="AB103" s="2820"/>
      <c r="AC103" s="2813">
        <f t="shared" si="48"/>
        <v>0</v>
      </c>
      <c r="AD103" s="2813"/>
      <c r="AE103" s="2813">
        <f t="shared" si="49"/>
        <v>0</v>
      </c>
      <c r="AF103" s="2813">
        <f t="shared" si="50"/>
        <v>0</v>
      </c>
      <c r="AG103" s="2813">
        <f t="shared" si="51"/>
        <v>0</v>
      </c>
      <c r="AH103" s="2813">
        <f t="shared" si="52"/>
        <v>0</v>
      </c>
      <c r="AI103" s="2829"/>
      <c r="AJ103" s="2813"/>
      <c r="AK103" s="2816"/>
      <c r="AL103" s="2859"/>
      <c r="AM103" s="2820"/>
      <c r="AN103" s="2813">
        <f t="shared" si="53"/>
        <v>0</v>
      </c>
      <c r="AO103" s="2818"/>
      <c r="AP103" s="2818"/>
      <c r="AQ103" s="2818"/>
      <c r="AR103" s="2818"/>
      <c r="AS103" s="2818"/>
      <c r="AT103" s="2818"/>
      <c r="AU103" s="2818"/>
      <c r="AV103" s="2818"/>
      <c r="AW103" s="2818"/>
      <c r="AX103" s="2818"/>
      <c r="AY103" s="2818"/>
      <c r="AZ103" s="2818"/>
      <c r="BA103" s="2818">
        <f t="shared" si="39"/>
        <v>0</v>
      </c>
      <c r="BB103" s="2818">
        <f t="shared" si="40"/>
        <v>0</v>
      </c>
      <c r="BD103" s="2800">
        <f t="shared" si="43"/>
        <v>0</v>
      </c>
      <c r="BE103" s="2800">
        <f t="shared" si="44"/>
        <v>0</v>
      </c>
      <c r="BF103" s="2800">
        <f t="shared" si="41"/>
        <v>0</v>
      </c>
    </row>
    <row r="104" spans="2:58" s="2860" customFormat="1" ht="74.45" customHeight="1" x14ac:dyDescent="0.2">
      <c r="B104" s="4243"/>
      <c r="C104" s="1187" t="s">
        <v>1089</v>
      </c>
      <c r="D104" s="2873" t="s">
        <v>1090</v>
      </c>
      <c r="E104" s="2874">
        <f>'يادداشت 1-13وجوهدريافتي ازخزانه'!V84</f>
        <v>0</v>
      </c>
      <c r="F104" s="2874"/>
      <c r="G104" s="2823"/>
      <c r="H104" s="2874">
        <f t="shared" si="45"/>
        <v>0</v>
      </c>
      <c r="I104" s="2811">
        <f>'یادداشت 7 دارایییی اصلاحی'!J348</f>
        <v>19120836113</v>
      </c>
      <c r="J104" s="2811">
        <f>'يادداشت_-5موجودی_جنسی__(2)'!F54</f>
        <v>256200000</v>
      </c>
      <c r="K104" s="2811"/>
      <c r="L104" s="2811"/>
      <c r="M104" s="2811"/>
      <c r="N104" s="2813">
        <f t="shared" si="46"/>
        <v>32600040150</v>
      </c>
      <c r="O104" s="2811"/>
      <c r="P104" s="2811"/>
      <c r="Q104" s="2811">
        <f>-'يادداشت 11 -سايربدهي_هاي_جاري'!I118</f>
        <v>1380026415</v>
      </c>
      <c r="R104" s="2812">
        <f>-'يادداشت 1-1-10 حسابهاي پرداخخخ '!L175</f>
        <v>31220013735</v>
      </c>
      <c r="S104" s="2813"/>
      <c r="T104" s="2813"/>
      <c r="U104" s="2814">
        <f t="shared" si="47"/>
        <v>51977076263</v>
      </c>
      <c r="V104" s="2813"/>
      <c r="W104" s="2816">
        <f>-30898000000</f>
        <v>-30898000000</v>
      </c>
      <c r="X104" s="2811"/>
      <c r="Y104" s="2811"/>
      <c r="Z104" s="2811"/>
      <c r="AA104" s="2811"/>
      <c r="AB104" s="2820"/>
      <c r="AC104" s="2813">
        <f t="shared" si="48"/>
        <v>-21079076263</v>
      </c>
      <c r="AD104" s="2813"/>
      <c r="AE104" s="2813">
        <f t="shared" si="49"/>
        <v>-51977076263</v>
      </c>
      <c r="AF104" s="2813">
        <f t="shared" si="50"/>
        <v>-30898000000</v>
      </c>
      <c r="AG104" s="2813">
        <f t="shared" si="51"/>
        <v>21079076263</v>
      </c>
      <c r="AH104" s="2813">
        <f t="shared" si="52"/>
        <v>0</v>
      </c>
      <c r="AI104" s="2829"/>
      <c r="AJ104" s="2832"/>
      <c r="AK104" s="2813"/>
      <c r="AL104" s="2830"/>
      <c r="AM104" s="2813"/>
      <c r="AN104" s="2813">
        <f t="shared" si="53"/>
        <v>0</v>
      </c>
      <c r="AO104" s="2818"/>
      <c r="AP104" s="2818"/>
      <c r="AQ104" s="2818"/>
      <c r="AR104" s="2818"/>
      <c r="AS104" s="2818"/>
      <c r="AT104" s="2818"/>
      <c r="AU104" s="2818"/>
      <c r="AV104" s="2818"/>
      <c r="AW104" s="2818"/>
      <c r="AX104" s="2818"/>
      <c r="AY104" s="2818"/>
      <c r="AZ104" s="2818"/>
      <c r="BA104" s="2818">
        <f t="shared" si="39"/>
        <v>0</v>
      </c>
      <c r="BB104" s="2818">
        <f t="shared" si="40"/>
        <v>0</v>
      </c>
      <c r="BD104" s="2800">
        <f t="shared" si="43"/>
        <v>0</v>
      </c>
      <c r="BE104" s="2800">
        <f t="shared" si="44"/>
        <v>0</v>
      </c>
      <c r="BF104" s="2800">
        <f t="shared" si="41"/>
        <v>0</v>
      </c>
    </row>
    <row r="105" spans="2:58" s="2860" customFormat="1" ht="74.45" hidden="1" customHeight="1" x14ac:dyDescent="0.2">
      <c r="B105" s="4243"/>
      <c r="C105" s="2861" t="s">
        <v>636</v>
      </c>
      <c r="D105" s="2862" t="s">
        <v>635</v>
      </c>
      <c r="E105" s="2813"/>
      <c r="F105" s="2813"/>
      <c r="G105" s="2813"/>
      <c r="H105" s="2813">
        <f t="shared" si="45"/>
        <v>0</v>
      </c>
      <c r="I105" s="2816"/>
      <c r="J105" s="2811"/>
      <c r="K105" s="2811"/>
      <c r="L105" s="2811"/>
      <c r="M105" s="2811"/>
      <c r="N105" s="2813">
        <f t="shared" si="46"/>
        <v>0</v>
      </c>
      <c r="O105" s="2811"/>
      <c r="P105" s="2811"/>
      <c r="Q105" s="2811"/>
      <c r="R105" s="2812">
        <f>-'يادداشت 1-1-10 حسابهاي پرداخخخ '!L160</f>
        <v>0</v>
      </c>
      <c r="S105" s="2813"/>
      <c r="T105" s="2813"/>
      <c r="U105" s="2814">
        <f t="shared" si="47"/>
        <v>0</v>
      </c>
      <c r="V105" s="2813"/>
      <c r="W105" s="2816"/>
      <c r="X105" s="2811"/>
      <c r="Y105" s="2811"/>
      <c r="Z105" s="2811"/>
      <c r="AA105" s="2811"/>
      <c r="AB105" s="2864"/>
      <c r="AC105" s="2813">
        <f t="shared" si="48"/>
        <v>0</v>
      </c>
      <c r="AD105" s="2813"/>
      <c r="AE105" s="2813">
        <f t="shared" si="49"/>
        <v>0</v>
      </c>
      <c r="AF105" s="2813">
        <f t="shared" si="50"/>
        <v>0</v>
      </c>
      <c r="AG105" s="2813">
        <f t="shared" si="51"/>
        <v>0</v>
      </c>
      <c r="AH105" s="2813">
        <f t="shared" si="52"/>
        <v>0</v>
      </c>
      <c r="AI105" s="2829"/>
      <c r="AJ105" s="2826"/>
      <c r="AK105" s="2813"/>
      <c r="AL105" s="2830"/>
      <c r="AM105" s="2813"/>
      <c r="AN105" s="2813">
        <f t="shared" si="53"/>
        <v>0</v>
      </c>
      <c r="AO105" s="2818"/>
      <c r="AP105" s="2818"/>
      <c r="AQ105" s="2818"/>
      <c r="AR105" s="2818"/>
      <c r="AS105" s="2818"/>
      <c r="AT105" s="2818"/>
      <c r="AU105" s="2818"/>
      <c r="AV105" s="2818"/>
      <c r="AW105" s="2818"/>
      <c r="AX105" s="2818"/>
      <c r="AY105" s="2818"/>
      <c r="AZ105" s="2818"/>
      <c r="BA105" s="2818">
        <f t="shared" si="39"/>
        <v>0</v>
      </c>
      <c r="BB105" s="2818">
        <f t="shared" si="40"/>
        <v>0</v>
      </c>
      <c r="BD105" s="2800">
        <f t="shared" si="43"/>
        <v>0</v>
      </c>
      <c r="BE105" s="2800">
        <f t="shared" si="44"/>
        <v>0</v>
      </c>
      <c r="BF105" s="2800">
        <f t="shared" si="41"/>
        <v>0</v>
      </c>
    </row>
    <row r="106" spans="2:58" s="2860" customFormat="1" ht="74.45" customHeight="1" x14ac:dyDescent="0.2">
      <c r="B106" s="4243"/>
      <c r="C106" s="2875" t="s">
        <v>555</v>
      </c>
      <c r="D106" s="2876" t="s">
        <v>545</v>
      </c>
      <c r="E106" s="2813">
        <f>'يادداشت 1-13وجوهدريافتي ازخزانه'!AB88</f>
        <v>0</v>
      </c>
      <c r="F106" s="2813"/>
      <c r="G106" s="2813"/>
      <c r="H106" s="2813">
        <f t="shared" si="45"/>
        <v>0</v>
      </c>
      <c r="I106" s="2874">
        <f>'یادداشت 7 دارایییی اصلاحی'!J151</f>
        <v>154330202660</v>
      </c>
      <c r="J106" s="2823">
        <f>'يادداشت_-5موجودی_جنسی__(2)'!F66</f>
        <v>4000000000</v>
      </c>
      <c r="K106" s="2823">
        <f>'پيش پرداخت سرمايه اي يادداشت 6'!H62</f>
        <v>54586336316</v>
      </c>
      <c r="L106" s="2823"/>
      <c r="M106" s="2823"/>
      <c r="N106" s="2813">
        <f t="shared" si="46"/>
        <v>219586067132</v>
      </c>
      <c r="O106" s="2823"/>
      <c r="P106" s="2823"/>
      <c r="Q106" s="2823">
        <f>-'يادداشت 11 -سايربدهي_هاي_جاري'!I97</f>
        <v>8446394771</v>
      </c>
      <c r="R106" s="2863">
        <f>-'يادداشت 1-1-10 حسابهاي پرداخخخ '!L101</f>
        <v>211139672361</v>
      </c>
      <c r="S106" s="2813"/>
      <c r="T106" s="2813"/>
      <c r="U106" s="2814">
        <f t="shared" si="47"/>
        <v>432502606108</v>
      </c>
      <c r="V106" s="2813"/>
      <c r="W106" s="2874">
        <f>-200000000000</f>
        <v>-200000000000</v>
      </c>
      <c r="X106" s="2823"/>
      <c r="Y106" s="2823"/>
      <c r="Z106" s="2823"/>
      <c r="AA106" s="2863"/>
      <c r="AB106" s="2813"/>
      <c r="AC106" s="2813">
        <f t="shared" si="48"/>
        <v>-232502606108</v>
      </c>
      <c r="AD106" s="2813"/>
      <c r="AE106" s="2813">
        <f t="shared" si="49"/>
        <v>-432502606108</v>
      </c>
      <c r="AF106" s="2813">
        <f t="shared" si="50"/>
        <v>-200000000000</v>
      </c>
      <c r="AG106" s="2813">
        <f t="shared" si="51"/>
        <v>232502606108</v>
      </c>
      <c r="AH106" s="2813">
        <f t="shared" si="52"/>
        <v>0</v>
      </c>
      <c r="AI106" s="2877"/>
      <c r="AJ106" s="2878"/>
      <c r="AK106" s="2832"/>
      <c r="AL106" s="2879"/>
      <c r="AM106" s="2832"/>
      <c r="AN106" s="2813">
        <f t="shared" si="53"/>
        <v>0</v>
      </c>
      <c r="AO106" s="2818"/>
      <c r="AP106" s="2818"/>
      <c r="AQ106" s="2818"/>
      <c r="AR106" s="2818"/>
      <c r="AS106" s="2818"/>
      <c r="AT106" s="2818"/>
      <c r="AU106" s="2818"/>
      <c r="AV106" s="2818"/>
      <c r="AW106" s="2818"/>
      <c r="AX106" s="2818"/>
      <c r="AY106" s="2818"/>
      <c r="AZ106" s="2818"/>
      <c r="BA106" s="2818"/>
      <c r="BB106" s="2818"/>
      <c r="BD106" s="2800"/>
      <c r="BE106" s="2800"/>
      <c r="BF106" s="2800"/>
    </row>
    <row r="107" spans="2:58" s="2860" customFormat="1" ht="74.45" customHeight="1" x14ac:dyDescent="0.2">
      <c r="B107" s="4243"/>
      <c r="C107" s="2880" t="s">
        <v>1402</v>
      </c>
      <c r="D107" s="2881" t="s">
        <v>1403</v>
      </c>
      <c r="E107" s="2813">
        <f>'يادداشت 1-13وجوهدريافتي ازخزانه'!V89</f>
        <v>0</v>
      </c>
      <c r="F107" s="2813"/>
      <c r="G107" s="2813"/>
      <c r="H107" s="2813">
        <f t="shared" si="45"/>
        <v>0</v>
      </c>
      <c r="I107" s="2814">
        <f>'یادداشت 7 دارایییی اصلاحی'!J357</f>
        <v>857350000</v>
      </c>
      <c r="J107" s="2813"/>
      <c r="K107" s="2813"/>
      <c r="L107" s="2813"/>
      <c r="M107" s="2813"/>
      <c r="N107" s="2813">
        <f t="shared" si="46"/>
        <v>6752950000</v>
      </c>
      <c r="O107" s="2874"/>
      <c r="P107" s="2823"/>
      <c r="Q107" s="2823">
        <f>-'يادداشت 11 -سايربدهي_هاي_جاري'!I123</f>
        <v>555333336</v>
      </c>
      <c r="R107" s="2863">
        <f>-'يادداشت 1-1-10 حسابهاي پرداخخخ '!L176</f>
        <v>6197616664</v>
      </c>
      <c r="S107" s="2813"/>
      <c r="T107" s="2813"/>
      <c r="U107" s="2814">
        <f t="shared" si="47"/>
        <v>7610300000</v>
      </c>
      <c r="V107" s="2813"/>
      <c r="W107" s="2874">
        <f>-2841800000</f>
        <v>-2841800000</v>
      </c>
      <c r="X107" s="2823"/>
      <c r="Y107" s="2823"/>
      <c r="Z107" s="2823"/>
      <c r="AA107" s="2863"/>
      <c r="AB107" s="2813"/>
      <c r="AC107" s="2813">
        <f t="shared" si="48"/>
        <v>-4768500000</v>
      </c>
      <c r="AD107" s="2813"/>
      <c r="AE107" s="2813">
        <f t="shared" si="49"/>
        <v>-7610300000</v>
      </c>
      <c r="AF107" s="2813">
        <f t="shared" si="50"/>
        <v>-2841800000</v>
      </c>
      <c r="AG107" s="2813">
        <f t="shared" si="51"/>
        <v>4768500000</v>
      </c>
      <c r="AH107" s="2813">
        <f t="shared" si="52"/>
        <v>0</v>
      </c>
      <c r="AI107" s="2882"/>
      <c r="AJ107" s="2878"/>
      <c r="AK107" s="2832"/>
      <c r="AL107" s="2879"/>
      <c r="AM107" s="2832"/>
      <c r="AN107" s="2813">
        <f t="shared" si="53"/>
        <v>0</v>
      </c>
      <c r="AO107" s="2818"/>
      <c r="AP107" s="2818"/>
      <c r="AQ107" s="2818"/>
      <c r="AR107" s="2818"/>
      <c r="AS107" s="2818"/>
      <c r="AT107" s="2818"/>
      <c r="AU107" s="2818"/>
      <c r="AV107" s="2818"/>
      <c r="AW107" s="2818"/>
      <c r="AX107" s="2818"/>
      <c r="AY107" s="2818"/>
      <c r="AZ107" s="2818"/>
      <c r="BA107" s="2818"/>
      <c r="BB107" s="2818"/>
      <c r="BD107" s="2800"/>
      <c r="BE107" s="2800"/>
      <c r="BF107" s="2800"/>
    </row>
    <row r="108" spans="2:58" s="2860" customFormat="1" ht="74.45" customHeight="1" x14ac:dyDescent="0.2">
      <c r="B108" s="4243"/>
      <c r="C108" s="2883" t="s">
        <v>2068</v>
      </c>
      <c r="D108" s="2884" t="s">
        <v>2070</v>
      </c>
      <c r="E108" s="2843">
        <f>'يادداشت 1-13وجوهدريافتي ازخزانه'!V31</f>
        <v>70000000000</v>
      </c>
      <c r="F108" s="2843"/>
      <c r="G108" s="2843"/>
      <c r="H108" s="2846">
        <f t="shared" si="45"/>
        <v>70000000000</v>
      </c>
      <c r="I108" s="2813">
        <f>'یادداشت 7 دارایییی اصلاحی'!J396</f>
        <v>5466080190</v>
      </c>
      <c r="J108" s="2813"/>
      <c r="K108" s="2813">
        <f>'پيش پرداخت سرمايه اي يادداشت 6'!H99</f>
        <v>34128744967</v>
      </c>
      <c r="L108" s="2813"/>
      <c r="M108" s="2813"/>
      <c r="N108" s="2813">
        <f t="shared" si="46"/>
        <v>47384770428</v>
      </c>
      <c r="O108" s="2874"/>
      <c r="P108" s="2823"/>
      <c r="Q108" s="2823">
        <f>-'يادداشت 11 -سايربدهي_هاي_جاري'!I141</f>
        <v>647324603</v>
      </c>
      <c r="R108" s="2863">
        <f>-'يادداشت 1-1-10 حسابهاي پرداخخخ '!L105</f>
        <v>46737445825</v>
      </c>
      <c r="S108" s="2813"/>
      <c r="T108" s="2813"/>
      <c r="U108" s="2814">
        <f t="shared" si="47"/>
        <v>86979595585</v>
      </c>
      <c r="V108" s="2813"/>
      <c r="W108" s="2874"/>
      <c r="X108" s="2823"/>
      <c r="Y108" s="2823"/>
      <c r="Z108" s="2823"/>
      <c r="AA108" s="2863"/>
      <c r="AB108" s="2813"/>
      <c r="AC108" s="2813">
        <f t="shared" si="48"/>
        <v>-39672148521</v>
      </c>
      <c r="AD108" s="2813"/>
      <c r="AE108" s="2813">
        <f t="shared" si="49"/>
        <v>-39672148521</v>
      </c>
      <c r="AF108" s="2813">
        <f t="shared" si="50"/>
        <v>0</v>
      </c>
      <c r="AG108" s="2813">
        <f t="shared" si="51"/>
        <v>86979595585</v>
      </c>
      <c r="AH108" s="2813">
        <f t="shared" si="52"/>
        <v>47307447064</v>
      </c>
      <c r="AI108" s="2882">
        <f>'ي_3_موجودي_نقد '!I191</f>
        <v>22692552936</v>
      </c>
      <c r="AJ108" s="2878">
        <v>110000000000</v>
      </c>
      <c r="AK108" s="2878">
        <v>110000000000</v>
      </c>
      <c r="AL108" s="2879"/>
      <c r="AM108" s="2832"/>
      <c r="AN108" s="2813">
        <f t="shared" si="53"/>
        <v>62692552936</v>
      </c>
      <c r="AO108" s="2818"/>
      <c r="AP108" s="2818"/>
      <c r="AQ108" s="2818"/>
      <c r="AR108" s="2818"/>
      <c r="AS108" s="2818"/>
      <c r="AT108" s="2818"/>
      <c r="AU108" s="2818"/>
      <c r="AV108" s="2818"/>
      <c r="AW108" s="2818"/>
      <c r="AX108" s="2818"/>
      <c r="AY108" s="2818"/>
      <c r="AZ108" s="2818"/>
      <c r="BA108" s="2818"/>
      <c r="BB108" s="2818"/>
      <c r="BD108" s="2800"/>
      <c r="BE108" s="2800"/>
      <c r="BF108" s="2800"/>
    </row>
    <row r="109" spans="2:58" s="2860" customFormat="1" ht="74.45" customHeight="1" x14ac:dyDescent="0.2">
      <c r="B109" s="4243"/>
      <c r="C109" s="2885" t="s">
        <v>2069</v>
      </c>
      <c r="D109" s="2885" t="s">
        <v>2047</v>
      </c>
      <c r="E109" s="2813">
        <f>'يادداشت 1-13وجوهدريافتي ازخزانه'!V32</f>
        <v>20000000000</v>
      </c>
      <c r="F109" s="2813"/>
      <c r="G109" s="2813"/>
      <c r="H109" s="2816">
        <f t="shared" si="45"/>
        <v>20000000000</v>
      </c>
      <c r="I109" s="2813">
        <f>'یادداشت 7 دارایییی اصلاحی'!J395</f>
        <v>112260500</v>
      </c>
      <c r="J109" s="2813"/>
      <c r="K109" s="2813"/>
      <c r="L109" s="2813"/>
      <c r="M109" s="2813"/>
      <c r="N109" s="2813">
        <f t="shared" si="46"/>
        <v>0</v>
      </c>
      <c r="O109" s="2874"/>
      <c r="P109" s="2823"/>
      <c r="Q109" s="2823"/>
      <c r="R109" s="2863"/>
      <c r="S109" s="2813"/>
      <c r="T109" s="2813"/>
      <c r="U109" s="2814">
        <f t="shared" si="47"/>
        <v>112260500</v>
      </c>
      <c r="V109" s="2813"/>
      <c r="W109" s="2874"/>
      <c r="X109" s="2823"/>
      <c r="Y109" s="2823"/>
      <c r="Z109" s="2823"/>
      <c r="AA109" s="2863"/>
      <c r="AB109" s="2813"/>
      <c r="AC109" s="2813">
        <f t="shared" si="48"/>
        <v>-112260500</v>
      </c>
      <c r="AD109" s="2813"/>
      <c r="AE109" s="2813">
        <f t="shared" si="49"/>
        <v>-112260500</v>
      </c>
      <c r="AF109" s="2813">
        <f t="shared" si="50"/>
        <v>0</v>
      </c>
      <c r="AG109" s="2813">
        <f t="shared" si="51"/>
        <v>112260500</v>
      </c>
      <c r="AH109" s="2813">
        <f t="shared" si="52"/>
        <v>0</v>
      </c>
      <c r="AI109" s="2882">
        <f>'ي_3_موجودي_نقد '!I192</f>
        <v>20000000000</v>
      </c>
      <c r="AJ109" s="2878">
        <v>50000000000</v>
      </c>
      <c r="AK109" s="2878">
        <v>50000000000</v>
      </c>
      <c r="AL109" s="2878">
        <v>50000000000</v>
      </c>
      <c r="AM109" s="2832"/>
      <c r="AN109" s="2813">
        <f t="shared" si="53"/>
        <v>50000000000</v>
      </c>
      <c r="AO109" s="2818"/>
      <c r="AP109" s="2818"/>
      <c r="AQ109" s="2818"/>
      <c r="AR109" s="2818"/>
      <c r="AS109" s="2818"/>
      <c r="AT109" s="2818"/>
      <c r="AU109" s="2818"/>
      <c r="AV109" s="2818"/>
      <c r="AW109" s="2818"/>
      <c r="AX109" s="2818"/>
      <c r="AY109" s="2818"/>
      <c r="AZ109" s="2818"/>
      <c r="BA109" s="2818"/>
      <c r="BB109" s="2818"/>
      <c r="BD109" s="2800"/>
      <c r="BE109" s="2800"/>
      <c r="BF109" s="2800"/>
    </row>
    <row r="110" spans="2:58" s="2860" customFormat="1" ht="74.45" customHeight="1" x14ac:dyDescent="0.2">
      <c r="B110" s="4243"/>
      <c r="C110" s="2885" t="s">
        <v>2071</v>
      </c>
      <c r="D110" s="2885" t="s">
        <v>2048</v>
      </c>
      <c r="E110" s="2813">
        <f>'يادداشت 1-13وجوهدريافتي ازخزانه'!V33</f>
        <v>19433000000</v>
      </c>
      <c r="F110" s="2813"/>
      <c r="G110" s="2813"/>
      <c r="H110" s="2816">
        <f t="shared" si="45"/>
        <v>19433000000</v>
      </c>
      <c r="I110" s="2813">
        <f>'یادداشت 7 دارایییی اصلاحی'!J383</f>
        <v>19435166668</v>
      </c>
      <c r="J110" s="2813"/>
      <c r="K110" s="2813"/>
      <c r="L110" s="2813"/>
      <c r="M110" s="2813"/>
      <c r="N110" s="2813">
        <f t="shared" si="46"/>
        <v>15484333334</v>
      </c>
      <c r="O110" s="2874"/>
      <c r="P110" s="2823"/>
      <c r="Q110" s="2823">
        <f>-'يادداشت 11 -سايربدهي_هاي_جاري'!I147</f>
        <v>1059851853</v>
      </c>
      <c r="R110" s="2863">
        <f>-'يادداشت 1-1-10 حسابهاي پرداخخخ '!L139</f>
        <v>14424481481</v>
      </c>
      <c r="S110" s="2813"/>
      <c r="T110" s="2813"/>
      <c r="U110" s="2814">
        <f t="shared" si="47"/>
        <v>34919500002</v>
      </c>
      <c r="V110" s="2813"/>
      <c r="W110" s="2874"/>
      <c r="X110" s="2823"/>
      <c r="Y110" s="2823"/>
      <c r="Z110" s="2823"/>
      <c r="AA110" s="2863"/>
      <c r="AB110" s="2813"/>
      <c r="AC110" s="2813">
        <f t="shared" si="48"/>
        <v>-19486500002</v>
      </c>
      <c r="AD110" s="2813"/>
      <c r="AE110" s="2813">
        <f t="shared" si="49"/>
        <v>-19486500002</v>
      </c>
      <c r="AF110" s="2813">
        <f t="shared" si="50"/>
        <v>0</v>
      </c>
      <c r="AG110" s="2813">
        <f t="shared" si="51"/>
        <v>34919500002</v>
      </c>
      <c r="AH110" s="2813">
        <f t="shared" si="52"/>
        <v>15433000000</v>
      </c>
      <c r="AI110" s="2882">
        <f>'ي_3_موجودي_نقد '!I196</f>
        <v>4000000000</v>
      </c>
      <c r="AJ110" s="2878">
        <v>20000000000</v>
      </c>
      <c r="AK110" s="2878">
        <v>20000000000</v>
      </c>
      <c r="AL110" s="2879"/>
      <c r="AM110" s="2832"/>
      <c r="AN110" s="2813">
        <f t="shared" si="53"/>
        <v>4567000000</v>
      </c>
      <c r="AO110" s="2818"/>
      <c r="AP110" s="2818"/>
      <c r="AQ110" s="2818"/>
      <c r="AR110" s="2818"/>
      <c r="AS110" s="2818"/>
      <c r="AT110" s="2818"/>
      <c r="AU110" s="2818"/>
      <c r="AV110" s="2818"/>
      <c r="AW110" s="2818"/>
      <c r="AX110" s="2818"/>
      <c r="AY110" s="2818"/>
      <c r="AZ110" s="2818"/>
      <c r="BA110" s="2818"/>
      <c r="BB110" s="2818"/>
      <c r="BD110" s="2800"/>
      <c r="BE110" s="2800"/>
      <c r="BF110" s="2800"/>
    </row>
    <row r="111" spans="2:58" s="2860" customFormat="1" ht="74.45" customHeight="1" x14ac:dyDescent="0.2">
      <c r="B111" s="4247" t="s">
        <v>94</v>
      </c>
      <c r="C111" s="4237"/>
      <c r="D111" s="4237"/>
      <c r="E111" s="2816">
        <f>SUM(E82:E110)</f>
        <v>109433000000</v>
      </c>
      <c r="F111" s="2816">
        <f t="shared" ref="F111:AN111" si="54">SUM(F82:F110)</f>
        <v>0</v>
      </c>
      <c r="G111" s="2816">
        <f t="shared" si="54"/>
        <v>0</v>
      </c>
      <c r="H111" s="2816">
        <f t="shared" si="54"/>
        <v>109433000000</v>
      </c>
      <c r="I111" s="2816">
        <f t="shared" si="54"/>
        <v>2018777134739</v>
      </c>
      <c r="J111" s="2816">
        <f t="shared" si="54"/>
        <v>84336769200</v>
      </c>
      <c r="K111" s="2816">
        <f t="shared" si="54"/>
        <v>398709637816</v>
      </c>
      <c r="L111" s="2816">
        <f t="shared" si="54"/>
        <v>26252000000</v>
      </c>
      <c r="M111" s="2816">
        <f t="shared" si="54"/>
        <v>221691634089</v>
      </c>
      <c r="N111" s="2816">
        <f t="shared" si="54"/>
        <v>5079388936198</v>
      </c>
      <c r="O111" s="2816">
        <f t="shared" si="54"/>
        <v>0</v>
      </c>
      <c r="P111" s="2816">
        <f t="shared" si="54"/>
        <v>0</v>
      </c>
      <c r="Q111" s="2816">
        <f t="shared" si="54"/>
        <v>230613774268</v>
      </c>
      <c r="R111" s="2816">
        <f t="shared" si="54"/>
        <v>4848775161930</v>
      </c>
      <c r="S111" s="2816">
        <f t="shared" si="54"/>
        <v>35934000000</v>
      </c>
      <c r="T111" s="2816">
        <f t="shared" si="54"/>
        <v>0</v>
      </c>
      <c r="U111" s="2816">
        <f t="shared" si="54"/>
        <v>7865090112042</v>
      </c>
      <c r="V111" s="2816">
        <f t="shared" si="54"/>
        <v>-218889000000</v>
      </c>
      <c r="W111" s="2816">
        <f t="shared" si="54"/>
        <v>-2691656358500</v>
      </c>
      <c r="X111" s="2816">
        <f t="shared" si="54"/>
        <v>0</v>
      </c>
      <c r="Y111" s="2816">
        <f t="shared" si="54"/>
        <v>0</v>
      </c>
      <c r="Z111" s="2816">
        <f t="shared" si="54"/>
        <v>0</v>
      </c>
      <c r="AA111" s="2816">
        <f t="shared" si="54"/>
        <v>-155091000000</v>
      </c>
      <c r="AB111" s="2816">
        <f t="shared" si="54"/>
        <v>-68788666893</v>
      </c>
      <c r="AC111" s="2816">
        <f t="shared" si="54"/>
        <v>-4667924639585</v>
      </c>
      <c r="AD111" s="2816">
        <f t="shared" si="54"/>
        <v>0</v>
      </c>
      <c r="AE111" s="2816">
        <f t="shared" si="54"/>
        <v>-7802349664978</v>
      </c>
      <c r="AF111" s="2816">
        <f t="shared" si="54"/>
        <v>-3134425025393</v>
      </c>
      <c r="AG111" s="2816">
        <f t="shared" si="54"/>
        <v>4730665086649</v>
      </c>
      <c r="AH111" s="2816">
        <f t="shared" si="54"/>
        <v>62740447064</v>
      </c>
      <c r="AI111" s="2816">
        <f t="shared" si="54"/>
        <v>46692552936</v>
      </c>
      <c r="AJ111" s="2816">
        <f t="shared" si="54"/>
        <v>180000000000</v>
      </c>
      <c r="AK111" s="2816">
        <f t="shared" si="54"/>
        <v>180000000000</v>
      </c>
      <c r="AL111" s="2816">
        <f t="shared" si="54"/>
        <v>974272000000</v>
      </c>
      <c r="AM111" s="2816">
        <f t="shared" si="54"/>
        <v>0</v>
      </c>
      <c r="AN111" s="2816">
        <f t="shared" si="54"/>
        <v>117259552936</v>
      </c>
      <c r="AO111" s="2818"/>
      <c r="AP111" s="2818"/>
      <c r="AQ111" s="2818"/>
      <c r="AR111" s="2818"/>
      <c r="AS111" s="2818"/>
      <c r="AT111" s="2818"/>
      <c r="AU111" s="2818"/>
      <c r="AV111" s="2818"/>
      <c r="AW111" s="2818"/>
      <c r="AX111" s="2818"/>
      <c r="AY111" s="2818"/>
      <c r="AZ111" s="2818"/>
      <c r="BA111" s="2818"/>
      <c r="BB111" s="2818"/>
      <c r="BD111" s="2800"/>
      <c r="BE111" s="2800"/>
      <c r="BF111" s="2800"/>
    </row>
    <row r="112" spans="2:58" s="2860" customFormat="1" ht="74.45" customHeight="1" x14ac:dyDescent="0.2">
      <c r="B112" s="4248">
        <v>112</v>
      </c>
      <c r="C112" s="4248"/>
      <c r="D112" s="4248"/>
      <c r="E112" s="4248"/>
      <c r="F112" s="4248"/>
      <c r="G112" s="4248"/>
      <c r="H112" s="4248"/>
      <c r="I112" s="4248"/>
      <c r="J112" s="4248"/>
      <c r="K112" s="4248"/>
      <c r="L112" s="4248"/>
      <c r="M112" s="4248"/>
      <c r="N112" s="4248"/>
      <c r="O112" s="4248"/>
      <c r="P112" s="4248"/>
      <c r="Q112" s="4248"/>
      <c r="R112" s="4248"/>
      <c r="S112" s="4248"/>
      <c r="T112" s="4248"/>
      <c r="U112" s="4248"/>
      <c r="V112" s="4248"/>
      <c r="W112" s="4248"/>
      <c r="X112" s="4248"/>
      <c r="Y112" s="4248"/>
      <c r="Z112" s="4248"/>
      <c r="AA112" s="4248"/>
      <c r="AB112" s="4248"/>
      <c r="AC112" s="4248"/>
      <c r="AD112" s="4248"/>
      <c r="AE112" s="4248"/>
      <c r="AF112" s="4248"/>
      <c r="AG112" s="4248"/>
      <c r="AH112" s="4248"/>
      <c r="AI112" s="4248"/>
      <c r="AJ112" s="4248"/>
      <c r="AK112" s="4248"/>
      <c r="AL112" s="4248"/>
      <c r="AM112" s="4248"/>
      <c r="AN112" s="4248"/>
      <c r="AO112" s="2818"/>
      <c r="AP112" s="2818"/>
      <c r="AQ112" s="2818"/>
      <c r="AR112" s="2818"/>
      <c r="AS112" s="2818"/>
      <c r="AT112" s="2818"/>
      <c r="AU112" s="2818"/>
      <c r="AV112" s="2818"/>
      <c r="AW112" s="2818"/>
      <c r="AX112" s="2818"/>
      <c r="AY112" s="2818"/>
      <c r="AZ112" s="2818"/>
      <c r="BA112" s="2818"/>
      <c r="BB112" s="2818"/>
      <c r="BD112" s="2800"/>
      <c r="BE112" s="2800"/>
      <c r="BF112" s="2800"/>
    </row>
    <row r="113" spans="2:58" s="2860" customFormat="1" ht="80.45" customHeight="1" x14ac:dyDescent="0.2">
      <c r="B113" s="2849"/>
      <c r="C113" s="4219" t="s">
        <v>24</v>
      </c>
      <c r="D113" s="4219"/>
      <c r="E113" s="4219"/>
      <c r="F113" s="4219"/>
      <c r="G113" s="4219"/>
      <c r="H113" s="4219"/>
      <c r="I113" s="4219"/>
      <c r="J113" s="4219"/>
      <c r="K113" s="4219"/>
      <c r="L113" s="4219"/>
      <c r="M113" s="4219"/>
      <c r="N113" s="4219"/>
      <c r="O113" s="4219"/>
      <c r="P113" s="4219"/>
      <c r="Q113" s="4219"/>
      <c r="R113" s="4219"/>
      <c r="S113" s="4219"/>
      <c r="T113" s="4219"/>
      <c r="U113" s="4219"/>
      <c r="V113" s="4219"/>
      <c r="W113" s="4219"/>
      <c r="X113" s="4219"/>
      <c r="Y113" s="4219"/>
      <c r="Z113" s="4219"/>
      <c r="AA113" s="4219"/>
      <c r="AB113" s="4219"/>
      <c r="AC113" s="4219"/>
      <c r="AD113" s="4219"/>
      <c r="AE113" s="4219"/>
      <c r="AF113" s="4219"/>
      <c r="AG113" s="4219"/>
      <c r="AH113" s="4219"/>
      <c r="AI113" s="4219"/>
      <c r="AJ113" s="4219"/>
      <c r="AK113" s="4219"/>
      <c r="AL113" s="4219"/>
      <c r="AM113" s="4219"/>
      <c r="AN113" s="4219"/>
      <c r="AO113" s="2818"/>
      <c r="AP113" s="2818"/>
      <c r="AQ113" s="2818"/>
      <c r="AR113" s="2818"/>
      <c r="AS113" s="2818"/>
      <c r="AT113" s="2818"/>
      <c r="AU113" s="2818"/>
      <c r="AV113" s="2818"/>
      <c r="AW113" s="2818"/>
      <c r="AX113" s="2818"/>
      <c r="AY113" s="2818"/>
      <c r="AZ113" s="2818"/>
      <c r="BA113" s="2818"/>
      <c r="BB113" s="2818"/>
      <c r="BD113" s="2800"/>
      <c r="BE113" s="2800"/>
      <c r="BF113" s="2800"/>
    </row>
    <row r="114" spans="2:58" s="2860" customFormat="1" ht="80.45" customHeight="1" x14ac:dyDescent="0.2">
      <c r="B114" s="2849"/>
      <c r="C114" s="4219" t="s">
        <v>51</v>
      </c>
      <c r="D114" s="4219"/>
      <c r="E114" s="4219"/>
      <c r="F114" s="4219"/>
      <c r="G114" s="4219"/>
      <c r="H114" s="4219"/>
      <c r="I114" s="4219"/>
      <c r="J114" s="4219"/>
      <c r="K114" s="4219"/>
      <c r="L114" s="4219"/>
      <c r="M114" s="4219"/>
      <c r="N114" s="4219"/>
      <c r="O114" s="4219"/>
      <c r="P114" s="4219"/>
      <c r="Q114" s="4219"/>
      <c r="R114" s="4219"/>
      <c r="S114" s="4219"/>
      <c r="T114" s="4219"/>
      <c r="U114" s="4219"/>
      <c r="V114" s="4219"/>
      <c r="W114" s="4219"/>
      <c r="X114" s="4219"/>
      <c r="Y114" s="4219"/>
      <c r="Z114" s="4219"/>
      <c r="AA114" s="4219"/>
      <c r="AB114" s="4219"/>
      <c r="AC114" s="4219"/>
      <c r="AD114" s="4219"/>
      <c r="AE114" s="4219"/>
      <c r="AF114" s="4219"/>
      <c r="AG114" s="4219"/>
      <c r="AH114" s="4219"/>
      <c r="AI114" s="4219"/>
      <c r="AJ114" s="4219"/>
      <c r="AK114" s="4219"/>
      <c r="AL114" s="4219"/>
      <c r="AM114" s="4219"/>
      <c r="AN114" s="4219"/>
      <c r="AO114" s="2818"/>
      <c r="AP114" s="2818"/>
      <c r="AQ114" s="2818"/>
      <c r="AR114" s="2818"/>
      <c r="AS114" s="2818"/>
      <c r="AT114" s="2818"/>
      <c r="AU114" s="2818"/>
      <c r="AV114" s="2818"/>
      <c r="AW114" s="2818"/>
      <c r="AX114" s="2818"/>
      <c r="AY114" s="2818"/>
      <c r="AZ114" s="2818"/>
      <c r="BA114" s="2818"/>
      <c r="BB114" s="2818"/>
      <c r="BD114" s="2800"/>
      <c r="BE114" s="2800"/>
      <c r="BF114" s="2800"/>
    </row>
    <row r="115" spans="2:58" s="2860" customFormat="1" ht="80.45" customHeight="1" x14ac:dyDescent="0.2">
      <c r="B115" s="2849"/>
      <c r="C115" s="4219" t="s">
        <v>337</v>
      </c>
      <c r="D115" s="4219"/>
      <c r="E115" s="4219"/>
      <c r="F115" s="4219"/>
      <c r="G115" s="4219"/>
      <c r="H115" s="4219"/>
      <c r="I115" s="4219"/>
      <c r="J115" s="4219"/>
      <c r="K115" s="4219"/>
      <c r="L115" s="4219"/>
      <c r="M115" s="4219"/>
      <c r="N115" s="4219"/>
      <c r="O115" s="4219"/>
      <c r="P115" s="4219"/>
      <c r="Q115" s="4219"/>
      <c r="R115" s="4219"/>
      <c r="S115" s="4219"/>
      <c r="T115" s="4219"/>
      <c r="U115" s="4219"/>
      <c r="V115" s="4219"/>
      <c r="W115" s="4219"/>
      <c r="X115" s="4219"/>
      <c r="Y115" s="4219"/>
      <c r="Z115" s="4219"/>
      <c r="AA115" s="4219"/>
      <c r="AB115" s="4219"/>
      <c r="AC115" s="4219"/>
      <c r="AD115" s="4219"/>
      <c r="AE115" s="4219"/>
      <c r="AF115" s="4219"/>
      <c r="AG115" s="4219"/>
      <c r="AH115" s="4219"/>
      <c r="AI115" s="4219"/>
      <c r="AJ115" s="4219"/>
      <c r="AK115" s="4219"/>
      <c r="AL115" s="4219"/>
      <c r="AM115" s="4219"/>
      <c r="AN115" s="4219"/>
      <c r="AO115" s="2818"/>
      <c r="AP115" s="2818"/>
      <c r="AQ115" s="2818"/>
      <c r="AR115" s="2818"/>
      <c r="AS115" s="2818"/>
      <c r="AT115" s="2818"/>
      <c r="AU115" s="2818"/>
      <c r="AV115" s="2818"/>
      <c r="AW115" s="2818"/>
      <c r="AX115" s="2818"/>
      <c r="AY115" s="2818"/>
      <c r="AZ115" s="2818"/>
      <c r="BA115" s="2818"/>
      <c r="BB115" s="2818"/>
      <c r="BD115" s="2800"/>
      <c r="BE115" s="2800"/>
      <c r="BF115" s="2800"/>
    </row>
    <row r="116" spans="2:58" s="2860" customFormat="1" ht="80.45" customHeight="1" x14ac:dyDescent="0.2">
      <c r="B116" s="2849"/>
      <c r="C116" s="4219" t="s">
        <v>1992</v>
      </c>
      <c r="D116" s="4219"/>
      <c r="E116" s="4219"/>
      <c r="F116" s="4219"/>
      <c r="G116" s="4219"/>
      <c r="H116" s="4219"/>
      <c r="I116" s="4219"/>
      <c r="J116" s="4219"/>
      <c r="K116" s="4219"/>
      <c r="L116" s="4219"/>
      <c r="M116" s="4219"/>
      <c r="N116" s="4219"/>
      <c r="O116" s="4219"/>
      <c r="P116" s="4219"/>
      <c r="Q116" s="4219"/>
      <c r="R116" s="4219"/>
      <c r="S116" s="4219"/>
      <c r="T116" s="4219"/>
      <c r="U116" s="4219"/>
      <c r="V116" s="4219"/>
      <c r="W116" s="4219"/>
      <c r="X116" s="4219"/>
      <c r="Y116" s="4219"/>
      <c r="Z116" s="4219"/>
      <c r="AA116" s="4219"/>
      <c r="AB116" s="4219"/>
      <c r="AC116" s="4219"/>
      <c r="AD116" s="4219"/>
      <c r="AE116" s="4219"/>
      <c r="AF116" s="4219"/>
      <c r="AG116" s="4219"/>
      <c r="AH116" s="4219"/>
      <c r="AI116" s="4219"/>
      <c r="AJ116" s="4219"/>
      <c r="AK116" s="4219"/>
      <c r="AL116" s="4219"/>
      <c r="AM116" s="4219"/>
      <c r="AN116" s="4219"/>
      <c r="AO116" s="2818"/>
      <c r="AP116" s="2818"/>
      <c r="AQ116" s="2818"/>
      <c r="AR116" s="2818"/>
      <c r="AS116" s="2818"/>
      <c r="AT116" s="2818"/>
      <c r="AU116" s="2818"/>
      <c r="AV116" s="2818"/>
      <c r="AW116" s="2818"/>
      <c r="AX116" s="2818"/>
      <c r="AY116" s="2818"/>
      <c r="AZ116" s="2818"/>
      <c r="BA116" s="2818"/>
      <c r="BB116" s="2818"/>
      <c r="BD116" s="2800"/>
      <c r="BE116" s="2800"/>
      <c r="BF116" s="2800"/>
    </row>
    <row r="117" spans="2:58" s="2860" customFormat="1" ht="74.45" customHeight="1" x14ac:dyDescent="0.2">
      <c r="B117" s="2849"/>
      <c r="C117" s="4220" t="s">
        <v>1850</v>
      </c>
      <c r="D117" s="4220"/>
      <c r="E117" s="4220"/>
      <c r="F117" s="4220"/>
      <c r="G117" s="4220"/>
      <c r="H117" s="4220"/>
      <c r="I117" s="4220"/>
      <c r="J117" s="4220"/>
      <c r="K117" s="4220"/>
      <c r="L117" s="4220"/>
      <c r="M117" s="4220"/>
      <c r="N117" s="4220"/>
      <c r="O117" s="4220"/>
      <c r="P117" s="4220"/>
      <c r="Q117" s="4220"/>
      <c r="R117" s="4220"/>
      <c r="S117" s="4220"/>
      <c r="T117" s="4220"/>
      <c r="U117" s="4220"/>
      <c r="V117" s="4220"/>
      <c r="W117" s="4220"/>
      <c r="X117" s="4220"/>
      <c r="Y117" s="4220"/>
      <c r="Z117" s="2802"/>
      <c r="AA117" s="2802"/>
      <c r="AB117" s="2802"/>
      <c r="AC117" s="2802"/>
      <c r="AD117" s="2802"/>
      <c r="AE117" s="2802"/>
      <c r="AF117" s="2802"/>
      <c r="AG117" s="2802"/>
      <c r="AH117" s="2802"/>
      <c r="AI117" s="2802"/>
      <c r="AJ117" s="2802"/>
      <c r="AK117" s="2802"/>
      <c r="AL117" s="2802"/>
      <c r="AM117" s="2802"/>
      <c r="AN117" s="2802"/>
      <c r="AO117" s="2818"/>
      <c r="AP117" s="2818"/>
      <c r="AQ117" s="2818"/>
      <c r="AR117" s="2818"/>
      <c r="AS117" s="2818"/>
      <c r="AT117" s="2818"/>
      <c r="AU117" s="2818"/>
      <c r="AV117" s="2818"/>
      <c r="AW117" s="2818"/>
      <c r="AX117" s="2818"/>
      <c r="AY117" s="2818"/>
      <c r="AZ117" s="2818"/>
      <c r="BA117" s="2818"/>
      <c r="BB117" s="2818"/>
      <c r="BD117" s="2800"/>
      <c r="BE117" s="2800"/>
      <c r="BF117" s="2800"/>
    </row>
    <row r="118" spans="2:58" s="2860" customFormat="1" ht="74.45" customHeight="1" x14ac:dyDescent="0.2">
      <c r="B118" s="2849"/>
      <c r="C118" s="2803"/>
      <c r="D118" s="2804"/>
      <c r="E118" s="2803"/>
      <c r="F118" s="2803"/>
      <c r="G118" s="2803"/>
      <c r="H118" s="2803"/>
      <c r="I118" s="2803"/>
      <c r="J118" s="2803"/>
      <c r="K118" s="2803"/>
      <c r="L118" s="2803"/>
      <c r="M118" s="2803"/>
      <c r="N118" s="2803"/>
      <c r="O118" s="2803"/>
      <c r="P118" s="2803"/>
      <c r="Q118" s="2803"/>
      <c r="R118" s="2803"/>
      <c r="S118" s="2803"/>
      <c r="T118" s="2803"/>
      <c r="U118" s="2803"/>
      <c r="V118" s="2803"/>
      <c r="W118" s="2803"/>
      <c r="X118" s="2803"/>
      <c r="Y118" s="2803"/>
      <c r="Z118" s="2803"/>
      <c r="AA118" s="2803"/>
      <c r="AB118" s="2803"/>
      <c r="AC118" s="2803"/>
      <c r="AD118" s="2803"/>
      <c r="AE118" s="2803"/>
      <c r="AF118" s="2803"/>
      <c r="AG118" s="2803"/>
      <c r="AH118" s="2803"/>
      <c r="AI118" s="2803"/>
      <c r="AJ118" s="2803"/>
      <c r="AK118" s="2803"/>
      <c r="AL118" s="2803"/>
      <c r="AM118" s="4254" t="s">
        <v>523</v>
      </c>
      <c r="AN118" s="4254"/>
      <c r="AO118" s="2818"/>
      <c r="AP118" s="2818"/>
      <c r="AQ118" s="2818"/>
      <c r="AR118" s="2818"/>
      <c r="AS118" s="2818"/>
      <c r="AT118" s="2818"/>
      <c r="AU118" s="2818"/>
      <c r="AV118" s="2818"/>
      <c r="AW118" s="2818"/>
      <c r="AX118" s="2818"/>
      <c r="AY118" s="2818"/>
      <c r="AZ118" s="2818"/>
      <c r="BA118" s="2818"/>
      <c r="BB118" s="2818"/>
      <c r="BD118" s="2800"/>
      <c r="BE118" s="2800"/>
      <c r="BF118" s="2800"/>
    </row>
    <row r="119" spans="2:58" s="2860" customFormat="1" ht="74.45" customHeight="1" x14ac:dyDescent="0.2">
      <c r="B119" s="4222" t="s">
        <v>419</v>
      </c>
      <c r="C119" s="4233" t="s">
        <v>196</v>
      </c>
      <c r="D119" s="4234" t="s">
        <v>197</v>
      </c>
      <c r="E119" s="4223" t="s">
        <v>2017</v>
      </c>
      <c r="F119" s="4223"/>
      <c r="G119" s="4223"/>
      <c r="H119" s="4235"/>
      <c r="I119" s="4233" t="s">
        <v>505</v>
      </c>
      <c r="J119" s="4233"/>
      <c r="K119" s="4233"/>
      <c r="L119" s="4233"/>
      <c r="M119" s="4233"/>
      <c r="N119" s="4233"/>
      <c r="O119" s="4233"/>
      <c r="P119" s="4233"/>
      <c r="Q119" s="4233"/>
      <c r="R119" s="4233"/>
      <c r="S119" s="4233"/>
      <c r="T119" s="4233"/>
      <c r="U119" s="4233"/>
      <c r="V119" s="4233" t="s">
        <v>900</v>
      </c>
      <c r="W119" s="4233"/>
      <c r="X119" s="4233"/>
      <c r="Y119" s="4233"/>
      <c r="Z119" s="4233"/>
      <c r="AA119" s="4233"/>
      <c r="AB119" s="4233"/>
      <c r="AC119" s="4233"/>
      <c r="AD119" s="4233"/>
      <c r="AE119" s="4233"/>
      <c r="AF119" s="2805"/>
      <c r="AG119" s="4223" t="s">
        <v>526</v>
      </c>
      <c r="AH119" s="4223" t="s">
        <v>518</v>
      </c>
      <c r="AI119" s="4223" t="s">
        <v>2021</v>
      </c>
      <c r="AJ119" s="4223" t="s">
        <v>527</v>
      </c>
      <c r="AK119" s="4223" t="s">
        <v>506</v>
      </c>
      <c r="AL119" s="2806"/>
      <c r="AM119" s="4223" t="s">
        <v>507</v>
      </c>
      <c r="AN119" s="4223"/>
      <c r="AO119" s="2818"/>
      <c r="AP119" s="2818"/>
      <c r="AQ119" s="2818"/>
      <c r="AR119" s="2818"/>
      <c r="AS119" s="2818"/>
      <c r="AT119" s="2818"/>
      <c r="AU119" s="2818"/>
      <c r="AV119" s="2818"/>
      <c r="AW119" s="2818"/>
      <c r="AX119" s="2818"/>
      <c r="AY119" s="2818"/>
      <c r="AZ119" s="2818"/>
      <c r="BA119" s="2818"/>
      <c r="BB119" s="2818"/>
      <c r="BD119" s="2800"/>
      <c r="BE119" s="2800"/>
      <c r="BF119" s="2800"/>
    </row>
    <row r="120" spans="2:58" s="2860" customFormat="1" ht="271.89999999999998" customHeight="1" x14ac:dyDescent="0.2">
      <c r="B120" s="4222"/>
      <c r="C120" s="4233"/>
      <c r="D120" s="4234"/>
      <c r="E120" s="2951" t="s">
        <v>1915</v>
      </c>
      <c r="F120" s="2951" t="s">
        <v>508</v>
      </c>
      <c r="G120" s="2951" t="s">
        <v>1919</v>
      </c>
      <c r="H120" s="2951" t="s">
        <v>510</v>
      </c>
      <c r="I120" s="1438" t="s">
        <v>511</v>
      </c>
      <c r="J120" s="1438" t="s">
        <v>314</v>
      </c>
      <c r="K120" s="1438" t="s">
        <v>920</v>
      </c>
      <c r="L120" s="1438" t="s">
        <v>512</v>
      </c>
      <c r="M120" s="2808" t="s">
        <v>975</v>
      </c>
      <c r="N120" s="1438" t="s">
        <v>1104</v>
      </c>
      <c r="O120" s="2808" t="s">
        <v>975</v>
      </c>
      <c r="P120" s="2808" t="s">
        <v>988</v>
      </c>
      <c r="Q120" s="2808" t="s">
        <v>974</v>
      </c>
      <c r="R120" s="1438" t="s">
        <v>533</v>
      </c>
      <c r="S120" s="1438" t="s">
        <v>1180</v>
      </c>
      <c r="T120" s="2808" t="s">
        <v>1339</v>
      </c>
      <c r="U120" s="1438" t="s">
        <v>27</v>
      </c>
      <c r="V120" s="1438" t="s">
        <v>2018</v>
      </c>
      <c r="W120" s="1438" t="s">
        <v>520</v>
      </c>
      <c r="X120" s="2951" t="s">
        <v>1960</v>
      </c>
      <c r="Y120" s="1438" t="s">
        <v>2019</v>
      </c>
      <c r="Z120" s="1438" t="s">
        <v>509</v>
      </c>
      <c r="AA120" s="1438" t="s">
        <v>2020</v>
      </c>
      <c r="AB120" s="2808" t="s">
        <v>936</v>
      </c>
      <c r="AC120" s="2808" t="s">
        <v>1070</v>
      </c>
      <c r="AD120" s="2808" t="s">
        <v>1339</v>
      </c>
      <c r="AE120" s="1438" t="s">
        <v>27</v>
      </c>
      <c r="AF120" s="2951" t="s">
        <v>534</v>
      </c>
      <c r="AG120" s="4223"/>
      <c r="AH120" s="4223"/>
      <c r="AI120" s="4236"/>
      <c r="AJ120" s="4223"/>
      <c r="AK120" s="4223"/>
      <c r="AL120" s="2806"/>
      <c r="AM120" s="2951" t="s">
        <v>513</v>
      </c>
      <c r="AN120" s="2951" t="s">
        <v>514</v>
      </c>
      <c r="AO120" s="2818"/>
      <c r="AP120" s="2818"/>
      <c r="AQ120" s="2818"/>
      <c r="AR120" s="2818"/>
      <c r="AS120" s="2818"/>
      <c r="AT120" s="2818"/>
      <c r="AU120" s="2818"/>
      <c r="AV120" s="2818"/>
      <c r="AW120" s="2818"/>
      <c r="AX120" s="2818"/>
      <c r="AY120" s="2818"/>
      <c r="AZ120" s="2818"/>
      <c r="BA120" s="2818"/>
      <c r="BB120" s="2818"/>
      <c r="BD120" s="2800"/>
      <c r="BE120" s="2800"/>
      <c r="BF120" s="2800"/>
    </row>
    <row r="121" spans="2:58" s="2860" customFormat="1" ht="87" customHeight="1" x14ac:dyDescent="0.2">
      <c r="B121" s="4244" t="s">
        <v>2233</v>
      </c>
      <c r="C121" s="4237" t="s">
        <v>181</v>
      </c>
      <c r="D121" s="4237"/>
      <c r="E121" s="2850">
        <f t="shared" ref="E121:AN121" si="55">E111</f>
        <v>109433000000</v>
      </c>
      <c r="F121" s="2850">
        <f t="shared" si="55"/>
        <v>0</v>
      </c>
      <c r="G121" s="2850">
        <f t="shared" si="55"/>
        <v>0</v>
      </c>
      <c r="H121" s="2850">
        <f t="shared" si="55"/>
        <v>109433000000</v>
      </c>
      <c r="I121" s="2850">
        <f t="shared" si="55"/>
        <v>2018777134739</v>
      </c>
      <c r="J121" s="2850">
        <f t="shared" si="55"/>
        <v>84336769200</v>
      </c>
      <c r="K121" s="2850">
        <f t="shared" si="55"/>
        <v>398709637816</v>
      </c>
      <c r="L121" s="2850">
        <f t="shared" si="55"/>
        <v>26252000000</v>
      </c>
      <c r="M121" s="2850">
        <f t="shared" si="55"/>
        <v>221691634089</v>
      </c>
      <c r="N121" s="2850">
        <f t="shared" si="55"/>
        <v>5079388936198</v>
      </c>
      <c r="O121" s="2850">
        <f t="shared" si="55"/>
        <v>0</v>
      </c>
      <c r="P121" s="2850">
        <f t="shared" si="55"/>
        <v>0</v>
      </c>
      <c r="Q121" s="2850">
        <f t="shared" si="55"/>
        <v>230613774268</v>
      </c>
      <c r="R121" s="2850">
        <f t="shared" si="55"/>
        <v>4848775161930</v>
      </c>
      <c r="S121" s="2850">
        <f t="shared" si="55"/>
        <v>35934000000</v>
      </c>
      <c r="T121" s="2850">
        <f t="shared" si="55"/>
        <v>0</v>
      </c>
      <c r="U121" s="2850">
        <f t="shared" si="55"/>
        <v>7865090112042</v>
      </c>
      <c r="V121" s="2850">
        <f t="shared" si="55"/>
        <v>-218889000000</v>
      </c>
      <c r="W121" s="2850">
        <f t="shared" si="55"/>
        <v>-2691656358500</v>
      </c>
      <c r="X121" s="2850">
        <f t="shared" si="55"/>
        <v>0</v>
      </c>
      <c r="Y121" s="2850">
        <f t="shared" si="55"/>
        <v>0</v>
      </c>
      <c r="Z121" s="2850">
        <f t="shared" si="55"/>
        <v>0</v>
      </c>
      <c r="AA121" s="2850">
        <f t="shared" si="55"/>
        <v>-155091000000</v>
      </c>
      <c r="AB121" s="2850">
        <f t="shared" si="55"/>
        <v>-68788666893</v>
      </c>
      <c r="AC121" s="2850">
        <f t="shared" si="55"/>
        <v>-4667924639585</v>
      </c>
      <c r="AD121" s="2850">
        <f t="shared" si="55"/>
        <v>0</v>
      </c>
      <c r="AE121" s="2850">
        <f t="shared" si="55"/>
        <v>-7802349664978</v>
      </c>
      <c r="AF121" s="2850">
        <f t="shared" si="55"/>
        <v>-3134425025393</v>
      </c>
      <c r="AG121" s="2850">
        <f t="shared" si="55"/>
        <v>4730665086649</v>
      </c>
      <c r="AH121" s="2850">
        <f t="shared" si="55"/>
        <v>62740447064</v>
      </c>
      <c r="AI121" s="2850">
        <f t="shared" si="55"/>
        <v>46692552936</v>
      </c>
      <c r="AJ121" s="2850">
        <f t="shared" si="55"/>
        <v>180000000000</v>
      </c>
      <c r="AK121" s="2850">
        <f t="shared" si="55"/>
        <v>180000000000</v>
      </c>
      <c r="AL121" s="2850">
        <f t="shared" si="55"/>
        <v>974272000000</v>
      </c>
      <c r="AM121" s="2850">
        <f t="shared" si="55"/>
        <v>0</v>
      </c>
      <c r="AN121" s="2850">
        <f t="shared" si="55"/>
        <v>117259552936</v>
      </c>
      <c r="AO121" s="2818"/>
      <c r="AP121" s="2818"/>
      <c r="AQ121" s="2818"/>
      <c r="AR121" s="2818"/>
      <c r="AS121" s="2818"/>
      <c r="AT121" s="2818"/>
      <c r="AU121" s="2818"/>
      <c r="AV121" s="2818"/>
      <c r="AW121" s="2818"/>
      <c r="AX121" s="2818"/>
      <c r="AY121" s="2818"/>
      <c r="AZ121" s="2818"/>
      <c r="BA121" s="2818"/>
      <c r="BB121" s="2818"/>
      <c r="BD121" s="2800"/>
      <c r="BE121" s="2800"/>
      <c r="BF121" s="2800"/>
    </row>
    <row r="122" spans="2:58" s="2860" customFormat="1" ht="74.45" customHeight="1" x14ac:dyDescent="0.2">
      <c r="B122" s="4245"/>
      <c r="C122" s="2885" t="s">
        <v>2049</v>
      </c>
      <c r="D122" s="2885" t="s">
        <v>2025</v>
      </c>
      <c r="E122" s="2813">
        <f>'يادداشت 1-13وجوهدريافتي ازخزانه'!V34</f>
        <v>1136000000000</v>
      </c>
      <c r="F122" s="2813"/>
      <c r="G122" s="2813"/>
      <c r="H122" s="2816">
        <f t="shared" si="45"/>
        <v>1136000000000</v>
      </c>
      <c r="I122" s="2813">
        <f>'یادداشت 7 دارایییی اصلاحی'!J363</f>
        <v>385018931985</v>
      </c>
      <c r="J122" s="2813"/>
      <c r="K122" s="2813">
        <f>'پيش پرداخت سرمايه اي يادداشت 6'!H104</f>
        <v>4746000000</v>
      </c>
      <c r="L122" s="2813"/>
      <c r="M122" s="2813"/>
      <c r="N122" s="2813">
        <f t="shared" si="46"/>
        <v>345687003530</v>
      </c>
      <c r="O122" s="2874"/>
      <c r="P122" s="2823"/>
      <c r="Q122" s="2823">
        <f>-'يادداشت 11 -سايربدهي_هاي_جاري'!I137</f>
        <v>4574434639</v>
      </c>
      <c r="R122" s="2863">
        <f>-'يادداشت 1-1-10 حسابهاي پرداخخخ '!L77</f>
        <v>341112568891</v>
      </c>
      <c r="S122" s="2813"/>
      <c r="T122" s="2813"/>
      <c r="U122" s="2814">
        <f t="shared" si="47"/>
        <v>735451935515</v>
      </c>
      <c r="V122" s="2813"/>
      <c r="W122" s="2874"/>
      <c r="X122" s="2823"/>
      <c r="Y122" s="2823"/>
      <c r="Z122" s="2823"/>
      <c r="AA122" s="2863"/>
      <c r="AB122" s="2813">
        <f>-3141000000</f>
        <v>-3141000000</v>
      </c>
      <c r="AC122" s="2813">
        <f t="shared" si="48"/>
        <v>-394014931985</v>
      </c>
      <c r="AD122" s="2813"/>
      <c r="AE122" s="2813">
        <f t="shared" si="49"/>
        <v>-397155931985</v>
      </c>
      <c r="AF122" s="2813">
        <f t="shared" si="50"/>
        <v>-3141000000</v>
      </c>
      <c r="AG122" s="2813">
        <f t="shared" si="51"/>
        <v>732310935515</v>
      </c>
      <c r="AH122" s="2813">
        <f t="shared" si="52"/>
        <v>338296003530</v>
      </c>
      <c r="AI122" s="2882">
        <f>'ي_3_موجودي_نقد '!I168</f>
        <v>797703996470</v>
      </c>
      <c r="AJ122" s="2878">
        <v>1196000000000</v>
      </c>
      <c r="AK122" s="2878">
        <v>1196000000000</v>
      </c>
      <c r="AL122" s="2879"/>
      <c r="AM122" s="2832"/>
      <c r="AN122" s="2813">
        <f t="shared" si="53"/>
        <v>857703996470</v>
      </c>
      <c r="AO122" s="2818"/>
      <c r="AP122" s="2818"/>
      <c r="AQ122" s="2818"/>
      <c r="AR122" s="2818"/>
      <c r="AS122" s="2818"/>
      <c r="AT122" s="2818"/>
      <c r="AU122" s="2818"/>
      <c r="AV122" s="2818"/>
      <c r="AW122" s="2818"/>
      <c r="AX122" s="2818"/>
      <c r="AY122" s="2818"/>
      <c r="AZ122" s="2818"/>
      <c r="BA122" s="2818"/>
      <c r="BB122" s="2818"/>
      <c r="BD122" s="2800"/>
      <c r="BE122" s="2800"/>
      <c r="BF122" s="2800"/>
    </row>
    <row r="123" spans="2:58" s="2860" customFormat="1" ht="74.45" customHeight="1" x14ac:dyDescent="0.2">
      <c r="B123" s="4245"/>
      <c r="C123" s="2885" t="s">
        <v>2053</v>
      </c>
      <c r="D123" s="2885" t="s">
        <v>2031</v>
      </c>
      <c r="E123" s="2813">
        <f>'يادداشت 1-13وجوهدريافتي ازخزانه'!V35</f>
        <v>314700000000</v>
      </c>
      <c r="F123" s="2813"/>
      <c r="G123" s="2813"/>
      <c r="H123" s="2816">
        <f t="shared" si="45"/>
        <v>314700000000</v>
      </c>
      <c r="I123" s="2813">
        <f>'یادداشت 7 دارایییی اصلاحی'!J379</f>
        <v>162013135308</v>
      </c>
      <c r="J123" s="2813"/>
      <c r="K123" s="2813"/>
      <c r="L123" s="2813"/>
      <c r="M123" s="2813"/>
      <c r="N123" s="2813">
        <f t="shared" si="46"/>
        <v>23822550000</v>
      </c>
      <c r="O123" s="2874"/>
      <c r="P123" s="2823"/>
      <c r="Q123" s="2823">
        <f>-'يادداشت 11 -سايربدهي_هاي_جاري'!I143</f>
        <v>1849750406</v>
      </c>
      <c r="R123" s="2863">
        <f>-'يادداشت 1-1-10 حسابهاي پرداخخخ '!L60</f>
        <v>21972799594</v>
      </c>
      <c r="S123" s="2813"/>
      <c r="T123" s="2813"/>
      <c r="U123" s="2814">
        <f t="shared" si="47"/>
        <v>185835685308</v>
      </c>
      <c r="V123" s="2813"/>
      <c r="W123" s="2874"/>
      <c r="X123" s="2823"/>
      <c r="Y123" s="2823"/>
      <c r="Z123" s="2823"/>
      <c r="AA123" s="2863"/>
      <c r="AB123" s="2813"/>
      <c r="AC123" s="2813">
        <f t="shared" si="48"/>
        <v>-160243135308</v>
      </c>
      <c r="AD123" s="2813"/>
      <c r="AE123" s="2813">
        <f t="shared" si="49"/>
        <v>-160243135308</v>
      </c>
      <c r="AF123" s="2813">
        <f t="shared" si="50"/>
        <v>0</v>
      </c>
      <c r="AG123" s="2813">
        <f t="shared" si="51"/>
        <v>185835685308</v>
      </c>
      <c r="AH123" s="2813">
        <f t="shared" si="52"/>
        <v>25592550000</v>
      </c>
      <c r="AI123" s="2882">
        <f>'ي_3_موجودي_نقد '!I174</f>
        <v>289107450000</v>
      </c>
      <c r="AJ123" s="2878">
        <v>365000000000</v>
      </c>
      <c r="AK123" s="2832">
        <v>330000000000</v>
      </c>
      <c r="AL123" s="2879"/>
      <c r="AM123" s="2832"/>
      <c r="AN123" s="2813">
        <f t="shared" si="53"/>
        <v>304407450000</v>
      </c>
      <c r="AO123" s="2818"/>
      <c r="AP123" s="2818"/>
      <c r="AQ123" s="2818"/>
      <c r="AR123" s="2818"/>
      <c r="AS123" s="2818"/>
      <c r="AT123" s="2818"/>
      <c r="AU123" s="2818"/>
      <c r="AV123" s="2818"/>
      <c r="AW123" s="2818"/>
      <c r="AX123" s="2818"/>
      <c r="AY123" s="2818"/>
      <c r="AZ123" s="2818"/>
      <c r="BA123" s="2818"/>
      <c r="BB123" s="2818"/>
      <c r="BD123" s="2800"/>
      <c r="BE123" s="2800"/>
      <c r="BF123" s="2800"/>
    </row>
    <row r="124" spans="2:58" s="2860" customFormat="1" ht="74.45" customHeight="1" x14ac:dyDescent="0.2">
      <c r="B124" s="4245"/>
      <c r="C124" s="2886" t="s">
        <v>2058</v>
      </c>
      <c r="D124" s="2887" t="s">
        <v>598</v>
      </c>
      <c r="E124" s="2813">
        <f>'يادداشت 1-13وجوهدريافتي ازخزانه'!V36</f>
        <v>236042000000</v>
      </c>
      <c r="F124" s="2813"/>
      <c r="G124" s="2813"/>
      <c r="H124" s="2816">
        <f t="shared" si="45"/>
        <v>236042000000</v>
      </c>
      <c r="I124" s="2813">
        <f>'یادداشت 7 دارایییی اصلاحی'!J380</f>
        <v>114416454625</v>
      </c>
      <c r="J124" s="2813"/>
      <c r="K124" s="2813"/>
      <c r="L124" s="2813"/>
      <c r="M124" s="2813"/>
      <c r="N124" s="2813">
        <f t="shared" si="46"/>
        <v>73340281802</v>
      </c>
      <c r="O124" s="2874"/>
      <c r="P124" s="2823"/>
      <c r="Q124" s="2823">
        <f>-'يادداشت 11 -سايربدهي_هاي_جاري'!I144</f>
        <v>4413318459</v>
      </c>
      <c r="R124" s="2863">
        <f>-'يادداشت 1-1-10 حسابهاي پرداخخخ '!L89</f>
        <v>68926963343</v>
      </c>
      <c r="S124" s="2813"/>
      <c r="T124" s="2813"/>
      <c r="U124" s="2814">
        <f t="shared" si="47"/>
        <v>187756736427</v>
      </c>
      <c r="V124" s="2813"/>
      <c r="W124" s="2874"/>
      <c r="X124" s="2823"/>
      <c r="Y124" s="2823"/>
      <c r="Z124" s="2823"/>
      <c r="AA124" s="2863"/>
      <c r="AB124" s="2813"/>
      <c r="AC124" s="2813">
        <f t="shared" si="48"/>
        <v>-122932842097</v>
      </c>
      <c r="AD124" s="2813"/>
      <c r="AE124" s="2813">
        <f t="shared" si="49"/>
        <v>-122932842097</v>
      </c>
      <c r="AF124" s="2813">
        <f t="shared" si="50"/>
        <v>0</v>
      </c>
      <c r="AG124" s="2813">
        <f t="shared" si="51"/>
        <v>187756736427</v>
      </c>
      <c r="AH124" s="2813">
        <f t="shared" si="52"/>
        <v>64823894330</v>
      </c>
      <c r="AI124" s="2882">
        <f>'ي_3_موجودي_نقد '!I179</f>
        <v>171218105670</v>
      </c>
      <c r="AJ124" s="2878">
        <v>265000000000</v>
      </c>
      <c r="AK124" s="2832">
        <v>280000000000</v>
      </c>
      <c r="AL124" s="2879"/>
      <c r="AM124" s="2832"/>
      <c r="AN124" s="2813">
        <f t="shared" si="53"/>
        <v>215176105670</v>
      </c>
      <c r="AO124" s="2818"/>
      <c r="AP124" s="2818"/>
      <c r="AQ124" s="2818"/>
      <c r="AR124" s="2818"/>
      <c r="AS124" s="2818"/>
      <c r="AT124" s="2818"/>
      <c r="AU124" s="2818"/>
      <c r="AV124" s="2818"/>
      <c r="AW124" s="2818"/>
      <c r="AX124" s="2818"/>
      <c r="AY124" s="2818"/>
      <c r="AZ124" s="2818"/>
      <c r="BA124" s="2818"/>
      <c r="BB124" s="2818"/>
      <c r="BD124" s="2800"/>
      <c r="BE124" s="2800"/>
      <c r="BF124" s="2800"/>
    </row>
    <row r="125" spans="2:58" s="2860" customFormat="1" ht="74.45" customHeight="1" x14ac:dyDescent="0.2">
      <c r="B125" s="4245"/>
      <c r="C125" s="2885" t="s">
        <v>2051</v>
      </c>
      <c r="D125" s="2885" t="s">
        <v>2029</v>
      </c>
      <c r="E125" s="2813">
        <f>'يادداشت 1-13وجوهدريافتي ازخزانه'!V37</f>
        <v>562975000000</v>
      </c>
      <c r="F125" s="2813"/>
      <c r="G125" s="2813"/>
      <c r="H125" s="2816">
        <f t="shared" si="45"/>
        <v>562975000000</v>
      </c>
      <c r="I125" s="2813">
        <f>'یادداشت 7 دارایییی اصلاحی'!J381</f>
        <v>89281022069</v>
      </c>
      <c r="J125" s="2813"/>
      <c r="K125" s="2813"/>
      <c r="L125" s="2813"/>
      <c r="M125" s="2813"/>
      <c r="N125" s="2813">
        <f t="shared" si="46"/>
        <v>74033899862</v>
      </c>
      <c r="O125" s="2874"/>
      <c r="P125" s="2823"/>
      <c r="Q125" s="2823">
        <f>-'يادداشت 11 -سايربدهي_هاي_جاري'!I145</f>
        <v>8282022334</v>
      </c>
      <c r="R125" s="2863">
        <f>-'يادداشت 1-1-10 حسابهاي پرداخخخ '!L107</f>
        <v>65751877528</v>
      </c>
      <c r="S125" s="2813"/>
      <c r="T125" s="2813"/>
      <c r="U125" s="2814">
        <f t="shared" si="47"/>
        <v>163314921931</v>
      </c>
      <c r="V125" s="2813"/>
      <c r="W125" s="2874"/>
      <c r="X125" s="2823"/>
      <c r="Y125" s="2823"/>
      <c r="Z125" s="2823"/>
      <c r="AA125" s="2863"/>
      <c r="AB125" s="2813"/>
      <c r="AC125" s="2813">
        <f t="shared" si="48"/>
        <v>-89281022069</v>
      </c>
      <c r="AD125" s="2813"/>
      <c r="AE125" s="2813">
        <f t="shared" si="49"/>
        <v>-89281022069</v>
      </c>
      <c r="AF125" s="2813">
        <f t="shared" si="50"/>
        <v>0</v>
      </c>
      <c r="AG125" s="2813">
        <f t="shared" si="51"/>
        <v>163314921931</v>
      </c>
      <c r="AH125" s="2813">
        <f t="shared" si="52"/>
        <v>74033899862</v>
      </c>
      <c r="AI125" s="2882">
        <f>'ي_3_موجودي_نقد '!I171</f>
        <v>488941100138</v>
      </c>
      <c r="AJ125" s="2878">
        <v>553000000000</v>
      </c>
      <c r="AK125" s="2832">
        <v>593000000000</v>
      </c>
      <c r="AL125" s="2879"/>
      <c r="AM125" s="2832"/>
      <c r="AN125" s="2813">
        <f t="shared" si="53"/>
        <v>518966100138</v>
      </c>
      <c r="AO125" s="2818"/>
      <c r="AP125" s="2818"/>
      <c r="AQ125" s="2818"/>
      <c r="AR125" s="2818"/>
      <c r="AS125" s="2818"/>
      <c r="AT125" s="2818"/>
      <c r="AU125" s="2818"/>
      <c r="AV125" s="2818"/>
      <c r="AW125" s="2818"/>
      <c r="AX125" s="2818"/>
      <c r="AY125" s="2818"/>
      <c r="AZ125" s="2818"/>
      <c r="BA125" s="2818"/>
      <c r="BB125" s="2818"/>
      <c r="BD125" s="2800"/>
      <c r="BE125" s="2800"/>
      <c r="BF125" s="2800"/>
    </row>
    <row r="126" spans="2:58" s="2860" customFormat="1" ht="74.45" customHeight="1" x14ac:dyDescent="0.2">
      <c r="B126" s="4245"/>
      <c r="C126" s="2886" t="s">
        <v>2050</v>
      </c>
      <c r="D126" s="2887" t="s">
        <v>620</v>
      </c>
      <c r="E126" s="2813">
        <f>'يادداشت 1-13وجوهدريافتي ازخزانه'!V38</f>
        <v>670714000000</v>
      </c>
      <c r="F126" s="2813"/>
      <c r="G126" s="2813"/>
      <c r="H126" s="2816">
        <f t="shared" si="45"/>
        <v>670714000000</v>
      </c>
      <c r="I126" s="2813">
        <f>'یادداشت 7 دارایییی اصلاحی'!J382</f>
        <v>251212905527</v>
      </c>
      <c r="J126" s="2813"/>
      <c r="K126" s="2813">
        <f>'پيش پرداخت سرمايه اي يادداشت 6'!H105</f>
        <v>3202564348</v>
      </c>
      <c r="L126" s="2813"/>
      <c r="M126" s="2813"/>
      <c r="N126" s="2813">
        <f t="shared" si="46"/>
        <v>130174545127</v>
      </c>
      <c r="O126" s="2874"/>
      <c r="P126" s="2823"/>
      <c r="Q126" s="2823">
        <f>-'يادداشت 11 -سايربدهي_هاي_جاري'!I146</f>
        <v>6079160100</v>
      </c>
      <c r="R126" s="2863">
        <f>-'يادداشت 1-1-10 حسابهاي پرداخخخ '!L58</f>
        <v>124095385027</v>
      </c>
      <c r="S126" s="2813"/>
      <c r="T126" s="2813"/>
      <c r="U126" s="2814">
        <f t="shared" si="47"/>
        <v>384590015002</v>
      </c>
      <c r="V126" s="2813"/>
      <c r="W126" s="2874"/>
      <c r="X126" s="2823"/>
      <c r="Y126" s="2823"/>
      <c r="Z126" s="2823"/>
      <c r="AA126" s="2863"/>
      <c r="AB126" s="2813">
        <f>-4791117981</f>
        <v>-4791117981</v>
      </c>
      <c r="AC126" s="2813">
        <f t="shared" si="48"/>
        <v>-269246907347</v>
      </c>
      <c r="AD126" s="2813"/>
      <c r="AE126" s="2813">
        <f t="shared" si="49"/>
        <v>-274038025328</v>
      </c>
      <c r="AF126" s="2813">
        <f t="shared" si="50"/>
        <v>-4791117981</v>
      </c>
      <c r="AG126" s="2813">
        <f t="shared" si="51"/>
        <v>379798897021</v>
      </c>
      <c r="AH126" s="2813">
        <f t="shared" si="52"/>
        <v>110551989674</v>
      </c>
      <c r="AI126" s="2882">
        <f>'ي_3_موجودي_نقد '!I170</f>
        <v>560162010326</v>
      </c>
      <c r="AJ126" s="2878">
        <v>850000000000</v>
      </c>
      <c r="AK126" s="2832">
        <v>863019000000</v>
      </c>
      <c r="AL126" s="2879"/>
      <c r="AM126" s="2832"/>
      <c r="AN126" s="2813">
        <f t="shared" si="53"/>
        <v>752467010326</v>
      </c>
      <c r="AO126" s="2818"/>
      <c r="AP126" s="2818"/>
      <c r="AQ126" s="2818"/>
      <c r="AR126" s="2818"/>
      <c r="AS126" s="2818"/>
      <c r="AT126" s="2818"/>
      <c r="AU126" s="2818"/>
      <c r="AV126" s="2818"/>
      <c r="AW126" s="2818"/>
      <c r="AX126" s="2818"/>
      <c r="AY126" s="2818"/>
      <c r="AZ126" s="2818"/>
      <c r="BA126" s="2818"/>
      <c r="BB126" s="2818"/>
      <c r="BD126" s="2800"/>
      <c r="BE126" s="2800"/>
      <c r="BF126" s="2800"/>
    </row>
    <row r="127" spans="2:58" s="2860" customFormat="1" ht="74.45" customHeight="1" x14ac:dyDescent="0.2">
      <c r="B127" s="4245"/>
      <c r="C127" s="2885" t="s">
        <v>2055</v>
      </c>
      <c r="D127" s="2885" t="s">
        <v>2033</v>
      </c>
      <c r="E127" s="2813">
        <f>'يادداشت 1-13وجوهدريافتي ازخزانه'!V39</f>
        <v>315548000000</v>
      </c>
      <c r="F127" s="2813"/>
      <c r="G127" s="2813"/>
      <c r="H127" s="2816">
        <f t="shared" si="45"/>
        <v>315548000000</v>
      </c>
      <c r="I127" s="2813">
        <f>'یادداشت 7 دارایییی اصلاحی'!J384</f>
        <v>59179240787</v>
      </c>
      <c r="J127" s="2813"/>
      <c r="K127" s="2813"/>
      <c r="L127" s="2813"/>
      <c r="M127" s="2813"/>
      <c r="N127" s="2813">
        <f t="shared" si="46"/>
        <v>41007033101</v>
      </c>
      <c r="O127" s="2874"/>
      <c r="P127" s="2823"/>
      <c r="Q127" s="2823">
        <f>-'يادداشت 11 -سايربدهي_هاي_جاري'!I148</f>
        <v>2743518432</v>
      </c>
      <c r="R127" s="2863">
        <f>-'يادداشت 1-1-10 حسابهاي پرداخخخ '!L106</f>
        <v>38263514669</v>
      </c>
      <c r="S127" s="2813"/>
      <c r="T127" s="2813"/>
      <c r="U127" s="2814">
        <f t="shared" si="47"/>
        <v>100186273888</v>
      </c>
      <c r="V127" s="2813"/>
      <c r="W127" s="2874"/>
      <c r="X127" s="2823"/>
      <c r="Y127" s="2823"/>
      <c r="Z127" s="2823"/>
      <c r="AA127" s="2863"/>
      <c r="AB127" s="2813"/>
      <c r="AC127" s="2813">
        <f t="shared" si="48"/>
        <v>-65500063301</v>
      </c>
      <c r="AD127" s="2813"/>
      <c r="AE127" s="2813">
        <f t="shared" si="49"/>
        <v>-65500063301</v>
      </c>
      <c r="AF127" s="2813">
        <f t="shared" si="50"/>
        <v>0</v>
      </c>
      <c r="AG127" s="2813">
        <f t="shared" si="51"/>
        <v>100186273888</v>
      </c>
      <c r="AH127" s="2813">
        <f t="shared" si="52"/>
        <v>34686210587</v>
      </c>
      <c r="AI127" s="2882">
        <f>'ي_3_موجودي_نقد '!I176</f>
        <v>280861789413</v>
      </c>
      <c r="AJ127" s="2878">
        <v>380000000000</v>
      </c>
      <c r="AK127" s="2832">
        <v>380000000000</v>
      </c>
      <c r="AL127" s="2879"/>
      <c r="AM127" s="2832"/>
      <c r="AN127" s="2813">
        <f t="shared" si="53"/>
        <v>345313789413</v>
      </c>
      <c r="AO127" s="2818"/>
      <c r="AP127" s="2818"/>
      <c r="AQ127" s="2818"/>
      <c r="AR127" s="2818"/>
      <c r="AS127" s="2818"/>
      <c r="AT127" s="2818"/>
      <c r="AU127" s="2818"/>
      <c r="AV127" s="2818"/>
      <c r="AW127" s="2818"/>
      <c r="AX127" s="2818"/>
      <c r="AY127" s="2818"/>
      <c r="AZ127" s="2818"/>
      <c r="BA127" s="2818"/>
      <c r="BB127" s="2818"/>
      <c r="BD127" s="2800"/>
      <c r="BE127" s="2800"/>
      <c r="BF127" s="2800"/>
    </row>
    <row r="128" spans="2:58" s="2860" customFormat="1" ht="74.45" customHeight="1" x14ac:dyDescent="0.2">
      <c r="B128" s="4245"/>
      <c r="C128" s="2885" t="s">
        <v>2064</v>
      </c>
      <c r="D128" s="2885" t="s">
        <v>2042</v>
      </c>
      <c r="E128" s="2813">
        <f>'يادداشت 1-13وجوهدريافتي ازخزانه'!V40</f>
        <v>50000000000</v>
      </c>
      <c r="F128" s="2813"/>
      <c r="G128" s="2813"/>
      <c r="H128" s="2816">
        <f t="shared" si="45"/>
        <v>50000000000</v>
      </c>
      <c r="I128" s="2813">
        <f>'یادداشت 7 دارایییی اصلاحی'!J390</f>
        <v>2348155774</v>
      </c>
      <c r="J128" s="2813"/>
      <c r="K128" s="2813"/>
      <c r="L128" s="2813"/>
      <c r="M128" s="2813"/>
      <c r="N128" s="2813">
        <f t="shared" si="46"/>
        <v>459952134</v>
      </c>
      <c r="O128" s="2874"/>
      <c r="P128" s="2823"/>
      <c r="Q128" s="2823">
        <f>-'يادداشت 11 -سايربدهي_هاي_جاري'!I154</f>
        <v>6310296</v>
      </c>
      <c r="R128" s="2863">
        <f>-'يادداشت 1-1-10 حسابهاي پرداخخخ '!L145</f>
        <v>453641838</v>
      </c>
      <c r="S128" s="2813"/>
      <c r="T128" s="2813"/>
      <c r="U128" s="2814">
        <f t="shared" si="47"/>
        <v>2808107908</v>
      </c>
      <c r="V128" s="2813"/>
      <c r="W128" s="2874"/>
      <c r="X128" s="2823"/>
      <c r="Y128" s="2823"/>
      <c r="Z128" s="2823"/>
      <c r="AA128" s="2863"/>
      <c r="AB128" s="2813"/>
      <c r="AC128" s="2813">
        <f t="shared" si="48"/>
        <v>-2348155774</v>
      </c>
      <c r="AD128" s="2813"/>
      <c r="AE128" s="2813">
        <f t="shared" si="49"/>
        <v>-2348155774</v>
      </c>
      <c r="AF128" s="2813">
        <f t="shared" si="50"/>
        <v>0</v>
      </c>
      <c r="AG128" s="2813">
        <f t="shared" si="51"/>
        <v>2808107908</v>
      </c>
      <c r="AH128" s="2813">
        <f t="shared" si="52"/>
        <v>459952134</v>
      </c>
      <c r="AI128" s="2882">
        <f>'ي_3_موجودي_نقد '!I186</f>
        <v>49540047866</v>
      </c>
      <c r="AJ128" s="2878">
        <v>50000000000</v>
      </c>
      <c r="AK128" s="2878">
        <v>50000000000</v>
      </c>
      <c r="AL128" s="2879"/>
      <c r="AM128" s="2832"/>
      <c r="AN128" s="2813">
        <f t="shared" si="53"/>
        <v>49540047866</v>
      </c>
      <c r="AO128" s="2818"/>
      <c r="AP128" s="2818"/>
      <c r="AQ128" s="2818"/>
      <c r="AR128" s="2818"/>
      <c r="AS128" s="2818"/>
      <c r="AT128" s="2818"/>
      <c r="AU128" s="2818"/>
      <c r="AV128" s="2818"/>
      <c r="AW128" s="2818"/>
      <c r="AX128" s="2818"/>
      <c r="AY128" s="2818"/>
      <c r="AZ128" s="2818"/>
      <c r="BA128" s="2818"/>
      <c r="BB128" s="2818"/>
      <c r="BD128" s="2800"/>
      <c r="BE128" s="2800"/>
      <c r="BF128" s="2800"/>
    </row>
    <row r="129" spans="2:58" s="2860" customFormat="1" ht="74.45" customHeight="1" x14ac:dyDescent="0.2">
      <c r="B129" s="4245"/>
      <c r="C129" s="2885" t="s">
        <v>2056</v>
      </c>
      <c r="D129" s="2885" t="s">
        <v>2072</v>
      </c>
      <c r="E129" s="2813">
        <f>'يادداشت 1-13وجوهدريافتي ازخزانه'!V41</f>
        <v>534000000000</v>
      </c>
      <c r="F129" s="2813"/>
      <c r="G129" s="2813"/>
      <c r="H129" s="2816">
        <f t="shared" si="45"/>
        <v>534000000000</v>
      </c>
      <c r="I129" s="2813">
        <f>'یادداشت 7 دارایییی اصلاحی'!J365</f>
        <v>439873994462</v>
      </c>
      <c r="J129" s="2813">
        <f>'يادداشت_-5موجودی_جنسی__(2)'!F69</f>
        <v>22773212791</v>
      </c>
      <c r="K129" s="2813">
        <f>'پيش پرداخت سرمايه اي يادداشت 6'!H103</f>
        <v>51431230116</v>
      </c>
      <c r="L129" s="2813"/>
      <c r="M129" s="2813">
        <v>40525842981</v>
      </c>
      <c r="N129" s="2813">
        <f t="shared" si="46"/>
        <v>304524635983</v>
      </c>
      <c r="O129" s="2874"/>
      <c r="P129" s="2823"/>
      <c r="Q129" s="2823">
        <f>-'يادداشت 11 -سايربدهي_هاي_جاري'!I140</f>
        <v>7746483795</v>
      </c>
      <c r="R129" s="2863">
        <f>-'يادداشت 1-1-10 حسابهاي پرداخخخ '!L54</f>
        <v>296778152188</v>
      </c>
      <c r="S129" s="2813"/>
      <c r="T129" s="2813"/>
      <c r="U129" s="2814">
        <f t="shared" si="47"/>
        <v>859128916333</v>
      </c>
      <c r="V129" s="2813"/>
      <c r="W129" s="2874"/>
      <c r="X129" s="2823"/>
      <c r="Y129" s="2823"/>
      <c r="Z129" s="2823"/>
      <c r="AA129" s="2863"/>
      <c r="AB129" s="2813"/>
      <c r="AC129" s="2813">
        <f t="shared" si="48"/>
        <v>-580128916333</v>
      </c>
      <c r="AD129" s="2813"/>
      <c r="AE129" s="2813">
        <f t="shared" si="49"/>
        <v>-580128916333</v>
      </c>
      <c r="AF129" s="2813">
        <f t="shared" si="50"/>
        <v>0</v>
      </c>
      <c r="AG129" s="2813">
        <f t="shared" si="51"/>
        <v>859128916333</v>
      </c>
      <c r="AH129" s="2813">
        <f t="shared" si="52"/>
        <v>279000000000</v>
      </c>
      <c r="AI129" s="2882">
        <f>'ي_3_موجودي_نقد '!I177</f>
        <v>255000000000</v>
      </c>
      <c r="AJ129" s="2878">
        <v>534000000000</v>
      </c>
      <c r="AK129" s="2878">
        <v>534000000000</v>
      </c>
      <c r="AL129" s="2879"/>
      <c r="AM129" s="2832"/>
      <c r="AN129" s="2813">
        <f t="shared" si="53"/>
        <v>255000000000</v>
      </c>
      <c r="AO129" s="2818"/>
      <c r="AP129" s="2818"/>
      <c r="AQ129" s="2818"/>
      <c r="AR129" s="2818"/>
      <c r="AS129" s="2818"/>
      <c r="AT129" s="2818"/>
      <c r="AU129" s="2818"/>
      <c r="AV129" s="2818"/>
      <c r="AW129" s="2818"/>
      <c r="AX129" s="2818"/>
      <c r="AY129" s="2818"/>
      <c r="AZ129" s="2818"/>
      <c r="BA129" s="2818"/>
      <c r="BB129" s="2818"/>
      <c r="BD129" s="2800"/>
      <c r="BE129" s="2800"/>
      <c r="BF129" s="2800"/>
    </row>
    <row r="130" spans="2:58" s="2860" customFormat="1" ht="74.45" customHeight="1" x14ac:dyDescent="0.2">
      <c r="B130" s="4245"/>
      <c r="C130" s="2888" t="s">
        <v>2061</v>
      </c>
      <c r="D130" s="2889" t="s">
        <v>600</v>
      </c>
      <c r="E130" s="2813">
        <f>'يادداشت 1-13وجوهدريافتي ازخزانه'!V42</f>
        <v>151930000000</v>
      </c>
      <c r="F130" s="2813"/>
      <c r="G130" s="2813"/>
      <c r="H130" s="2816">
        <f t="shared" si="45"/>
        <v>151930000000</v>
      </c>
      <c r="I130" s="2813">
        <f>'یادداشت 7 دارایییی اصلاحی'!J385</f>
        <v>74184301315</v>
      </c>
      <c r="J130" s="2813"/>
      <c r="K130" s="2813">
        <f>'پيش پرداخت سرمايه اي يادداشت 6'!H106</f>
        <v>2098978752</v>
      </c>
      <c r="L130" s="2813"/>
      <c r="M130" s="2813"/>
      <c r="N130" s="2813">
        <f t="shared" si="46"/>
        <v>44863731640</v>
      </c>
      <c r="O130" s="2874"/>
      <c r="P130" s="2823"/>
      <c r="Q130" s="2823">
        <f>-'يادداشت 11 -سايربدهي_هاي_جاري'!I149</f>
        <v>1029073316</v>
      </c>
      <c r="R130" s="2863">
        <f>-'يادداشت 1-1-10 حسابهاي پرداخخخ '!L86</f>
        <v>43834658324</v>
      </c>
      <c r="S130" s="2813"/>
      <c r="T130" s="2813"/>
      <c r="U130" s="2814">
        <f t="shared" si="47"/>
        <v>121147011707</v>
      </c>
      <c r="V130" s="2813"/>
      <c r="W130" s="2874"/>
      <c r="X130" s="2823"/>
      <c r="Y130" s="2823"/>
      <c r="Z130" s="2823"/>
      <c r="AA130" s="2863"/>
      <c r="AB130" s="2813"/>
      <c r="AC130" s="2813">
        <f t="shared" si="48"/>
        <v>-90360360014</v>
      </c>
      <c r="AD130" s="2813"/>
      <c r="AE130" s="2813">
        <f t="shared" si="49"/>
        <v>-90360360014</v>
      </c>
      <c r="AF130" s="2813">
        <f t="shared" si="50"/>
        <v>0</v>
      </c>
      <c r="AG130" s="2813">
        <f t="shared" si="51"/>
        <v>121147011707</v>
      </c>
      <c r="AH130" s="2813">
        <f t="shared" si="52"/>
        <v>30786651693</v>
      </c>
      <c r="AI130" s="2882">
        <f>'ي_3_موجودي_نقد '!I182</f>
        <v>121143348307</v>
      </c>
      <c r="AJ130" s="2878">
        <v>185000000000</v>
      </c>
      <c r="AK130" s="2832">
        <v>205000000000</v>
      </c>
      <c r="AL130" s="2879"/>
      <c r="AM130" s="2832"/>
      <c r="AN130" s="2813">
        <f t="shared" si="53"/>
        <v>174213348307</v>
      </c>
      <c r="AO130" s="2818"/>
      <c r="AP130" s="2818"/>
      <c r="AQ130" s="2818"/>
      <c r="AR130" s="2818"/>
      <c r="AS130" s="2818"/>
      <c r="AT130" s="2818"/>
      <c r="AU130" s="2818"/>
      <c r="AV130" s="2818"/>
      <c r="AW130" s="2818"/>
      <c r="AX130" s="2818"/>
      <c r="AY130" s="2818"/>
      <c r="AZ130" s="2818"/>
      <c r="BA130" s="2818"/>
      <c r="BB130" s="2818"/>
      <c r="BD130" s="2800"/>
      <c r="BE130" s="2800"/>
      <c r="BF130" s="2800"/>
    </row>
    <row r="131" spans="2:58" s="2860" customFormat="1" ht="74.45" customHeight="1" x14ac:dyDescent="0.2">
      <c r="B131" s="4245"/>
      <c r="C131" s="2886" t="s">
        <v>2052</v>
      </c>
      <c r="D131" s="2887" t="s">
        <v>601</v>
      </c>
      <c r="E131" s="2813">
        <f>'يادداشت 1-13وجوهدريافتي ازخزانه'!V43</f>
        <v>418200000000</v>
      </c>
      <c r="F131" s="2813"/>
      <c r="G131" s="2813"/>
      <c r="H131" s="2816">
        <f t="shared" si="45"/>
        <v>418200000000</v>
      </c>
      <c r="I131" s="2813">
        <f>'یادداشت 7 دارایییی اصلاحی'!J386</f>
        <v>104671338693</v>
      </c>
      <c r="J131" s="2813">
        <f>'يادداشت_-5موجودی_جنسی__(2)'!F67</f>
        <v>5617824828</v>
      </c>
      <c r="K131" s="2813">
        <f>'پيش پرداخت سرمايه اي يادداشت 6'!H107</f>
        <v>4872000000</v>
      </c>
      <c r="L131" s="2813"/>
      <c r="M131" s="2813"/>
      <c r="N131" s="2813">
        <f t="shared" si="46"/>
        <v>77109020887</v>
      </c>
      <c r="O131" s="2874"/>
      <c r="P131" s="2823"/>
      <c r="Q131" s="2823">
        <f>-'يادداشت 11 -سايربدهي_هاي_جاري'!I150</f>
        <v>2148232142</v>
      </c>
      <c r="R131" s="2863">
        <f>-'يادداشت 1-1-10 حسابهاي پرداخخخ '!L83</f>
        <v>74960788745</v>
      </c>
      <c r="S131" s="2813"/>
      <c r="T131" s="2813"/>
      <c r="U131" s="2814">
        <f t="shared" si="47"/>
        <v>192270184408</v>
      </c>
      <c r="V131" s="2813"/>
      <c r="W131" s="2874"/>
      <c r="X131" s="2823"/>
      <c r="Y131" s="2823"/>
      <c r="Z131" s="2823"/>
      <c r="AA131" s="2863"/>
      <c r="AB131" s="2813"/>
      <c r="AC131" s="2813">
        <f t="shared" si="48"/>
        <v>-133744073252</v>
      </c>
      <c r="AD131" s="2813"/>
      <c r="AE131" s="2813">
        <f t="shared" si="49"/>
        <v>-133744073252</v>
      </c>
      <c r="AF131" s="2813">
        <f t="shared" si="50"/>
        <v>0</v>
      </c>
      <c r="AG131" s="2813">
        <f t="shared" si="51"/>
        <v>192270184408</v>
      </c>
      <c r="AH131" s="2813">
        <f t="shared" si="52"/>
        <v>58526111156</v>
      </c>
      <c r="AI131" s="2882">
        <f>'ي_3_موجودي_نقد '!I172</f>
        <v>359673888844</v>
      </c>
      <c r="AJ131" s="2878">
        <v>507200000000</v>
      </c>
      <c r="AK131" s="2832">
        <v>507200000000</v>
      </c>
      <c r="AL131" s="2879"/>
      <c r="AM131" s="2832"/>
      <c r="AN131" s="2813">
        <f t="shared" si="53"/>
        <v>448673888844</v>
      </c>
      <c r="AO131" s="2818"/>
      <c r="AP131" s="2818"/>
      <c r="AQ131" s="2818"/>
      <c r="AR131" s="2818"/>
      <c r="AS131" s="2818"/>
      <c r="AT131" s="2818"/>
      <c r="AU131" s="2818"/>
      <c r="AV131" s="2818"/>
      <c r="AW131" s="2818"/>
      <c r="AX131" s="2818"/>
      <c r="AY131" s="2818"/>
      <c r="AZ131" s="2818"/>
      <c r="BA131" s="2818"/>
      <c r="BB131" s="2818"/>
      <c r="BD131" s="2800"/>
      <c r="BE131" s="2800"/>
      <c r="BF131" s="2800"/>
    </row>
    <row r="132" spans="2:58" s="2860" customFormat="1" ht="74.45" customHeight="1" x14ac:dyDescent="0.2">
      <c r="B132" s="4245"/>
      <c r="C132" s="2890" t="s">
        <v>2057</v>
      </c>
      <c r="D132" s="2891" t="s">
        <v>2034</v>
      </c>
      <c r="E132" s="2813">
        <f>'يادداشت 1-13وجوهدريافتي ازخزانه'!V44</f>
        <v>313500000000</v>
      </c>
      <c r="F132" s="2813"/>
      <c r="G132" s="2813"/>
      <c r="H132" s="2816">
        <f t="shared" si="45"/>
        <v>313500000000</v>
      </c>
      <c r="I132" s="2813">
        <f>'یادداشت 7 دارایییی اصلاحی'!J364</f>
        <v>156777850617</v>
      </c>
      <c r="J132" s="2813"/>
      <c r="K132" s="2813">
        <f>'پيش پرداخت سرمايه اي يادداشت 6'!H101</f>
        <v>5279913116</v>
      </c>
      <c r="L132" s="2813"/>
      <c r="M132" s="2813"/>
      <c r="N132" s="2813">
        <f t="shared" si="46"/>
        <v>125714000000</v>
      </c>
      <c r="O132" s="2874"/>
      <c r="P132" s="2823"/>
      <c r="Q132" s="2823">
        <f>-'يادداشت 11 -سايربدهي_هاي_جاري'!I138</f>
        <v>5563001737</v>
      </c>
      <c r="R132" s="2863">
        <f>-'يادداشت 1-1-10 حسابهاي پرداخخخ '!L84</f>
        <v>120150998263</v>
      </c>
      <c r="S132" s="2813"/>
      <c r="T132" s="2813"/>
      <c r="U132" s="2814">
        <f t="shared" si="47"/>
        <v>287771763733</v>
      </c>
      <c r="V132" s="2813"/>
      <c r="W132" s="2874"/>
      <c r="X132" s="2823"/>
      <c r="Y132" s="2823"/>
      <c r="Z132" s="2823"/>
      <c r="AA132" s="2863"/>
      <c r="AB132" s="2813"/>
      <c r="AC132" s="2813">
        <f t="shared" si="48"/>
        <v>-162057763733</v>
      </c>
      <c r="AD132" s="2813"/>
      <c r="AE132" s="2813">
        <f t="shared" si="49"/>
        <v>-162057763733</v>
      </c>
      <c r="AF132" s="2813">
        <f t="shared" si="50"/>
        <v>0</v>
      </c>
      <c r="AG132" s="2813">
        <f t="shared" si="51"/>
        <v>287771763733</v>
      </c>
      <c r="AH132" s="2813">
        <f t="shared" si="52"/>
        <v>125714000000</v>
      </c>
      <c r="AI132" s="2882">
        <f>'ي_3_موجودي_نقد '!I178</f>
        <v>187786000000</v>
      </c>
      <c r="AJ132" s="2878">
        <v>318000000000</v>
      </c>
      <c r="AK132" s="2878">
        <v>318000000000</v>
      </c>
      <c r="AL132" s="2879"/>
      <c r="AM132" s="2832"/>
      <c r="AN132" s="2813">
        <f t="shared" si="53"/>
        <v>192286000000</v>
      </c>
      <c r="AO132" s="2818"/>
      <c r="AP132" s="2818"/>
      <c r="AQ132" s="2818"/>
      <c r="AR132" s="2818"/>
      <c r="AS132" s="2818"/>
      <c r="AT132" s="2818"/>
      <c r="AU132" s="2818"/>
      <c r="AV132" s="2818"/>
      <c r="AW132" s="2818"/>
      <c r="AX132" s="2818"/>
      <c r="AY132" s="2818"/>
      <c r="AZ132" s="2818"/>
      <c r="BA132" s="2818"/>
      <c r="BB132" s="2818"/>
      <c r="BD132" s="2800"/>
      <c r="BE132" s="2800"/>
      <c r="BF132" s="2800"/>
    </row>
    <row r="133" spans="2:58" s="2860" customFormat="1" ht="74.45" customHeight="1" x14ac:dyDescent="0.2">
      <c r="B133" s="4245"/>
      <c r="C133" s="2886" t="s">
        <v>2054</v>
      </c>
      <c r="D133" s="2887" t="s">
        <v>602</v>
      </c>
      <c r="E133" s="2813">
        <f>'يادداشت 1-13وجوهدريافتي ازخزانه'!V45</f>
        <v>285661000000</v>
      </c>
      <c r="F133" s="2813"/>
      <c r="G133" s="2813"/>
      <c r="H133" s="2816">
        <f t="shared" si="45"/>
        <v>285661000000</v>
      </c>
      <c r="I133" s="2813">
        <f>'یادداشت 7 دارایییی اصلاحی'!J387</f>
        <v>4533162787</v>
      </c>
      <c r="J133" s="2813"/>
      <c r="K133" s="2813"/>
      <c r="L133" s="2813"/>
      <c r="M133" s="2813"/>
      <c r="N133" s="2813">
        <f t="shared" si="46"/>
        <v>2902603382</v>
      </c>
      <c r="O133" s="2874"/>
      <c r="P133" s="2823"/>
      <c r="Q133" s="2823">
        <f>-'يادداشت 11 -سايربدهي_هاي_جاري'!I151</f>
        <v>55277169</v>
      </c>
      <c r="R133" s="2863">
        <f>-'يادداشت 1-1-10 حسابهاي پرداخخخ '!L147</f>
        <v>2847326213</v>
      </c>
      <c r="S133" s="2813"/>
      <c r="T133" s="2813"/>
      <c r="U133" s="2814">
        <f t="shared" si="47"/>
        <v>7435766169</v>
      </c>
      <c r="V133" s="2813"/>
      <c r="W133" s="2874"/>
      <c r="X133" s="2823"/>
      <c r="Y133" s="2823"/>
      <c r="Z133" s="2823"/>
      <c r="AA133" s="2863"/>
      <c r="AB133" s="2813"/>
      <c r="AC133" s="2813">
        <f t="shared" si="48"/>
        <v>-4533162787</v>
      </c>
      <c r="AD133" s="2813"/>
      <c r="AE133" s="2813">
        <f t="shared" si="49"/>
        <v>-4533162787</v>
      </c>
      <c r="AF133" s="2813">
        <f t="shared" si="50"/>
        <v>0</v>
      </c>
      <c r="AG133" s="2813">
        <f t="shared" si="51"/>
        <v>7435766169</v>
      </c>
      <c r="AH133" s="2813">
        <f t="shared" si="52"/>
        <v>2902603382</v>
      </c>
      <c r="AI133" s="2882">
        <f>'ي_3_موجودي_نقد '!I175</f>
        <v>282758396618</v>
      </c>
      <c r="AJ133" s="2878">
        <v>276300000000</v>
      </c>
      <c r="AK133" s="2832">
        <v>286300000000</v>
      </c>
      <c r="AL133" s="2879"/>
      <c r="AM133" s="2832"/>
      <c r="AN133" s="2813">
        <f t="shared" si="53"/>
        <v>283397396618</v>
      </c>
      <c r="AO133" s="2818"/>
      <c r="AP133" s="2818"/>
      <c r="AQ133" s="2818"/>
      <c r="AR133" s="2818"/>
      <c r="AS133" s="2818"/>
      <c r="AT133" s="2818"/>
      <c r="AU133" s="2818"/>
      <c r="AV133" s="2818"/>
      <c r="AW133" s="2818"/>
      <c r="AX133" s="2818"/>
      <c r="AY133" s="2818"/>
      <c r="AZ133" s="2818"/>
      <c r="BA133" s="2818"/>
      <c r="BB133" s="2818"/>
      <c r="BD133" s="2800"/>
      <c r="BE133" s="2800"/>
      <c r="BF133" s="2800"/>
    </row>
    <row r="134" spans="2:58" s="2860" customFormat="1" ht="74.45" customHeight="1" x14ac:dyDescent="0.2">
      <c r="B134" s="4245"/>
      <c r="C134" s="2885" t="s">
        <v>2063</v>
      </c>
      <c r="D134" s="2885" t="s">
        <v>2039</v>
      </c>
      <c r="E134" s="2813">
        <f>'يادداشت 1-13وجوهدريافتي ازخزانه'!V46</f>
        <v>100000000000</v>
      </c>
      <c r="F134" s="2813"/>
      <c r="G134" s="2813"/>
      <c r="H134" s="2816">
        <f t="shared" si="45"/>
        <v>100000000000</v>
      </c>
      <c r="I134" s="2813">
        <f>'یادداشت 7 دارایییی اصلاحی'!J391</f>
        <v>16100906742</v>
      </c>
      <c r="J134" s="2813"/>
      <c r="K134" s="2813"/>
      <c r="L134" s="2813"/>
      <c r="M134" s="2813"/>
      <c r="N134" s="2813">
        <f t="shared" si="46"/>
        <v>10000000000</v>
      </c>
      <c r="O134" s="2874"/>
      <c r="P134" s="2823"/>
      <c r="Q134" s="2823">
        <f>-'يادداشت 11 -سايربدهي_هاي_جاري'!I155</f>
        <v>40000000</v>
      </c>
      <c r="R134" s="2863">
        <f>-'يادداشت 1-1-10 حسابهاي پرداخخخ '!L130</f>
        <v>9960000000</v>
      </c>
      <c r="S134" s="2813"/>
      <c r="T134" s="2813"/>
      <c r="U134" s="2814">
        <f t="shared" si="47"/>
        <v>26100906742</v>
      </c>
      <c r="V134" s="2813"/>
      <c r="W134" s="2874"/>
      <c r="X134" s="2823"/>
      <c r="Y134" s="2823"/>
      <c r="Z134" s="2823"/>
      <c r="AA134" s="2863"/>
      <c r="AB134" s="2813"/>
      <c r="AC134" s="2813">
        <f t="shared" si="48"/>
        <v>-16100906742</v>
      </c>
      <c r="AD134" s="2813"/>
      <c r="AE134" s="2813">
        <f t="shared" si="49"/>
        <v>-16100906742</v>
      </c>
      <c r="AF134" s="2813">
        <f t="shared" si="50"/>
        <v>0</v>
      </c>
      <c r="AG134" s="2813">
        <f t="shared" si="51"/>
        <v>26100906742</v>
      </c>
      <c r="AH134" s="2813">
        <f t="shared" si="52"/>
        <v>10000000000</v>
      </c>
      <c r="AI134" s="2882">
        <f>'ي_3_موجودي_نقد '!I184</f>
        <v>90000000000</v>
      </c>
      <c r="AJ134" s="2878">
        <v>104609000000</v>
      </c>
      <c r="AK134" s="2878">
        <v>104609000000</v>
      </c>
      <c r="AL134" s="2879"/>
      <c r="AM134" s="2832"/>
      <c r="AN134" s="2813">
        <f t="shared" si="53"/>
        <v>94609000000</v>
      </c>
      <c r="AO134" s="2818"/>
      <c r="AP134" s="2818"/>
      <c r="AQ134" s="2818"/>
      <c r="AR134" s="2818"/>
      <c r="AS134" s="2818"/>
      <c r="AT134" s="2818"/>
      <c r="AU134" s="2818"/>
      <c r="AV134" s="2818"/>
      <c r="AW134" s="2818"/>
      <c r="AX134" s="2818"/>
      <c r="AY134" s="2818"/>
      <c r="AZ134" s="2818"/>
      <c r="BA134" s="2818"/>
      <c r="BB134" s="2818"/>
      <c r="BD134" s="2800"/>
      <c r="BE134" s="2800"/>
      <c r="BF134" s="2800"/>
    </row>
    <row r="135" spans="2:58" s="2860" customFormat="1" ht="74.45" customHeight="1" x14ac:dyDescent="0.2">
      <c r="B135" s="4245"/>
      <c r="C135" s="2885" t="s">
        <v>2066</v>
      </c>
      <c r="D135" s="2885" t="s">
        <v>2044</v>
      </c>
      <c r="E135" s="2813">
        <f>'يادداشت 1-13وجوهدريافتي ازخزانه'!V47</f>
        <v>35000000000</v>
      </c>
      <c r="F135" s="2813"/>
      <c r="G135" s="2813"/>
      <c r="H135" s="2816">
        <f t="shared" si="45"/>
        <v>35000000000</v>
      </c>
      <c r="I135" s="2813">
        <f>'یادداشت 7 دارایییی اصلاحی'!J393</f>
        <v>17085281265</v>
      </c>
      <c r="J135" s="2813"/>
      <c r="K135" s="2813"/>
      <c r="L135" s="2813"/>
      <c r="M135" s="2813"/>
      <c r="N135" s="2813">
        <f t="shared" si="46"/>
        <v>4286000000</v>
      </c>
      <c r="O135" s="2874"/>
      <c r="P135" s="2823"/>
      <c r="Q135" s="2823">
        <f>-'يادداشت 11 -سايربدهي_هاي_جاري'!I157</f>
        <v>754026669</v>
      </c>
      <c r="R135" s="2863">
        <f>-'يادداشت 1-1-10 حسابهاي پرداخخخ '!L111</f>
        <v>3531973331</v>
      </c>
      <c r="S135" s="2813"/>
      <c r="T135" s="2813"/>
      <c r="U135" s="2814">
        <f t="shared" si="47"/>
        <v>21371281265</v>
      </c>
      <c r="V135" s="2813"/>
      <c r="W135" s="2874"/>
      <c r="X135" s="2823"/>
      <c r="Y135" s="2823"/>
      <c r="Z135" s="2823"/>
      <c r="AA135" s="2863"/>
      <c r="AB135" s="2813"/>
      <c r="AC135" s="2813">
        <f t="shared" si="48"/>
        <v>-17085281265</v>
      </c>
      <c r="AD135" s="2813"/>
      <c r="AE135" s="2813">
        <f t="shared" si="49"/>
        <v>-17085281265</v>
      </c>
      <c r="AF135" s="2813">
        <f t="shared" si="50"/>
        <v>0</v>
      </c>
      <c r="AG135" s="2813">
        <f t="shared" si="51"/>
        <v>21371281265</v>
      </c>
      <c r="AH135" s="2813">
        <f t="shared" si="52"/>
        <v>4286000000</v>
      </c>
      <c r="AI135" s="2882">
        <f>'ي_3_موجودي_نقد '!I188</f>
        <v>30714000000</v>
      </c>
      <c r="AJ135" s="2878">
        <v>35000000000</v>
      </c>
      <c r="AK135" s="2878">
        <v>35000000000</v>
      </c>
      <c r="AL135" s="2879"/>
      <c r="AM135" s="2832"/>
      <c r="AN135" s="2813">
        <f t="shared" si="53"/>
        <v>30714000000</v>
      </c>
      <c r="AO135" s="2818"/>
      <c r="AP135" s="2818"/>
      <c r="AQ135" s="2818"/>
      <c r="AR135" s="2818"/>
      <c r="AS135" s="2818"/>
      <c r="AT135" s="2818"/>
      <c r="AU135" s="2818"/>
      <c r="AV135" s="2818"/>
      <c r="AW135" s="2818"/>
      <c r="AX135" s="2818"/>
      <c r="AY135" s="2818"/>
      <c r="AZ135" s="2818"/>
      <c r="BA135" s="2818"/>
      <c r="BB135" s="2818"/>
      <c r="BD135" s="2800"/>
      <c r="BE135" s="2800"/>
      <c r="BF135" s="2800"/>
    </row>
    <row r="136" spans="2:58" s="2860" customFormat="1" ht="74.45" customHeight="1" x14ac:dyDescent="0.2">
      <c r="B136" s="4245"/>
      <c r="C136" s="2885" t="s">
        <v>2059</v>
      </c>
      <c r="D136" s="2885" t="s">
        <v>2036</v>
      </c>
      <c r="E136" s="2813">
        <f>'يادداشت 1-13وجوهدريافتي ازخزانه'!V48</f>
        <v>346100000000</v>
      </c>
      <c r="F136" s="2813"/>
      <c r="G136" s="2813"/>
      <c r="H136" s="2816">
        <f t="shared" si="45"/>
        <v>346100000000</v>
      </c>
      <c r="I136" s="2813">
        <f>'یادداشت 7 دارایییی اصلاحی'!J394</f>
        <v>275593699418</v>
      </c>
      <c r="J136" s="2813">
        <f>'يادداشت_-5موجودی_جنسی__(2)'!F68</f>
        <v>55235199667</v>
      </c>
      <c r="K136" s="2813"/>
      <c r="L136" s="2813"/>
      <c r="M136" s="2813"/>
      <c r="N136" s="2813">
        <f t="shared" si="46"/>
        <v>264938210069</v>
      </c>
      <c r="O136" s="2874"/>
      <c r="P136" s="2823"/>
      <c r="Q136" s="2823">
        <f>-'يادداشت 11 -سايربدهي_هاي_جاري'!I152</f>
        <v>8176571311</v>
      </c>
      <c r="R136" s="2863">
        <f>-'يادداشت 1-1-10 حسابهاي پرداخخخ '!L62</f>
        <v>256761638758</v>
      </c>
      <c r="S136" s="2813"/>
      <c r="T136" s="2813"/>
      <c r="U136" s="2814">
        <f>N136+L136+K136+J136+I136+M136+S136</f>
        <v>595767109154</v>
      </c>
      <c r="V136" s="2813"/>
      <c r="W136" s="2874"/>
      <c r="X136" s="2823"/>
      <c r="Y136" s="2823"/>
      <c r="Z136" s="2823"/>
      <c r="AA136" s="2863"/>
      <c r="AB136" s="2813">
        <f>-2329210069</f>
        <v>-2329210069</v>
      </c>
      <c r="AC136" s="2813">
        <f t="shared" si="48"/>
        <v>-416728899085</v>
      </c>
      <c r="AD136" s="2813"/>
      <c r="AE136" s="2813">
        <f t="shared" si="49"/>
        <v>-419058109154</v>
      </c>
      <c r="AF136" s="2813">
        <f t="shared" si="50"/>
        <v>-2329210069</v>
      </c>
      <c r="AG136" s="2813">
        <f t="shared" si="51"/>
        <v>593437899085</v>
      </c>
      <c r="AH136" s="2813">
        <f t="shared" si="52"/>
        <v>176709000000</v>
      </c>
      <c r="AI136" s="2882">
        <f>'ي_3_موجودي_نقد '!I180</f>
        <v>169391000000</v>
      </c>
      <c r="AJ136" s="2878">
        <v>375000000000</v>
      </c>
      <c r="AK136" s="2878">
        <v>375000000000</v>
      </c>
      <c r="AL136" s="2879"/>
      <c r="AM136" s="2832"/>
      <c r="AN136" s="2813">
        <f t="shared" si="53"/>
        <v>198291000000</v>
      </c>
      <c r="AO136" s="2818"/>
      <c r="AP136" s="2818"/>
      <c r="AQ136" s="2818"/>
      <c r="AR136" s="2818"/>
      <c r="AS136" s="2818"/>
      <c r="AT136" s="2818"/>
      <c r="AU136" s="2818"/>
      <c r="AV136" s="2818"/>
      <c r="AW136" s="2818"/>
      <c r="AX136" s="2818"/>
      <c r="AY136" s="2818"/>
      <c r="AZ136" s="2818"/>
      <c r="BA136" s="2818"/>
      <c r="BB136" s="2818"/>
      <c r="BD136" s="2800"/>
      <c r="BE136" s="2800"/>
      <c r="BF136" s="2800"/>
    </row>
    <row r="137" spans="2:58" s="2860" customFormat="1" ht="74.45" customHeight="1" x14ac:dyDescent="0.2">
      <c r="B137" s="4245"/>
      <c r="C137" s="2885" t="s">
        <v>2065</v>
      </c>
      <c r="D137" s="2885" t="s">
        <v>2043</v>
      </c>
      <c r="E137" s="2813">
        <f>'يادداشت 1-13وجوهدريافتي ازخزانه'!V49</f>
        <v>100000000000</v>
      </c>
      <c r="F137" s="2813"/>
      <c r="G137" s="2813"/>
      <c r="H137" s="2816">
        <f t="shared" si="45"/>
        <v>100000000000</v>
      </c>
      <c r="I137" s="2813">
        <f>'یادداشت 7 دارایییی اصلاحی'!J388</f>
        <v>49203302935</v>
      </c>
      <c r="J137" s="2813"/>
      <c r="K137" s="2813"/>
      <c r="L137" s="2813"/>
      <c r="M137" s="2813"/>
      <c r="N137" s="2813">
        <f t="shared" si="46"/>
        <v>67722772152</v>
      </c>
      <c r="O137" s="2874"/>
      <c r="P137" s="2823"/>
      <c r="Q137" s="2823"/>
      <c r="R137" s="2863">
        <f>-'يادداشت 1-1-10 حسابهاي پرداخخخ '!L119</f>
        <v>67722772152</v>
      </c>
      <c r="S137" s="2813"/>
      <c r="T137" s="2813"/>
      <c r="U137" s="2814">
        <f t="shared" si="47"/>
        <v>116926075087</v>
      </c>
      <c r="V137" s="2813"/>
      <c r="W137" s="2874"/>
      <c r="X137" s="2823"/>
      <c r="Y137" s="2823"/>
      <c r="Z137" s="2823"/>
      <c r="AA137" s="2863"/>
      <c r="AB137" s="2813"/>
      <c r="AC137" s="2813">
        <f t="shared" si="48"/>
        <v>-50973302935</v>
      </c>
      <c r="AD137" s="2813"/>
      <c r="AE137" s="2813">
        <f t="shared" si="49"/>
        <v>-50973302935</v>
      </c>
      <c r="AF137" s="2813">
        <f t="shared" si="50"/>
        <v>0</v>
      </c>
      <c r="AG137" s="2813">
        <f t="shared" si="51"/>
        <v>116926075087</v>
      </c>
      <c r="AH137" s="2813">
        <f t="shared" si="52"/>
        <v>65952772152</v>
      </c>
      <c r="AI137" s="2882">
        <f>'ي_3_موجودي_نقد '!I187</f>
        <v>34047227848</v>
      </c>
      <c r="AJ137" s="2878">
        <v>200000000000</v>
      </c>
      <c r="AK137" s="2832">
        <v>100000000000</v>
      </c>
      <c r="AL137" s="2879"/>
      <c r="AM137" s="2832"/>
      <c r="AN137" s="2813">
        <f t="shared" si="53"/>
        <v>34047227848</v>
      </c>
      <c r="AO137" s="2818"/>
      <c r="AP137" s="2818"/>
      <c r="AQ137" s="2818"/>
      <c r="AR137" s="2818"/>
      <c r="AS137" s="2818"/>
      <c r="AT137" s="2818"/>
      <c r="AU137" s="2818"/>
      <c r="AV137" s="2818"/>
      <c r="AW137" s="2818"/>
      <c r="AX137" s="2818"/>
      <c r="AY137" s="2818"/>
      <c r="AZ137" s="2818"/>
      <c r="BA137" s="2818"/>
      <c r="BB137" s="2818"/>
      <c r="BD137" s="2800"/>
      <c r="BE137" s="2800"/>
      <c r="BF137" s="2800"/>
    </row>
    <row r="138" spans="2:58" s="2860" customFormat="1" ht="74.45" customHeight="1" x14ac:dyDescent="0.2">
      <c r="B138" s="4245"/>
      <c r="C138" s="2885" t="s">
        <v>2060</v>
      </c>
      <c r="D138" s="2885" t="s">
        <v>2037</v>
      </c>
      <c r="E138" s="2813">
        <f>'يادداشت 1-13وجوهدريافتي ازخزانه'!V50</f>
        <v>219645000000</v>
      </c>
      <c r="F138" s="2813"/>
      <c r="G138" s="2813"/>
      <c r="H138" s="2816">
        <f t="shared" si="45"/>
        <v>219645000000</v>
      </c>
      <c r="I138" s="2813">
        <f>'یادداشت 7 دارایییی اصلاحی'!J389</f>
        <v>273030597751</v>
      </c>
      <c r="J138" s="2813"/>
      <c r="K138" s="2813"/>
      <c r="L138" s="2813"/>
      <c r="M138" s="2813"/>
      <c r="N138" s="2813">
        <f t="shared" si="46"/>
        <v>107000638373</v>
      </c>
      <c r="O138" s="2874"/>
      <c r="P138" s="2823"/>
      <c r="Q138" s="2823">
        <f>-'يادداشت 11 -سايربدهي_هاي_جاري'!I153</f>
        <v>5537030042</v>
      </c>
      <c r="R138" s="2863">
        <f>-'يادداشت 1-1-10 حسابهاي پرداخخخ '!L55</f>
        <v>101463608331</v>
      </c>
      <c r="S138" s="2813"/>
      <c r="T138" s="2813"/>
      <c r="U138" s="2814">
        <f t="shared" si="47"/>
        <v>380031236124</v>
      </c>
      <c r="V138" s="2813"/>
      <c r="W138" s="2874"/>
      <c r="X138" s="2823"/>
      <c r="Y138" s="2823"/>
      <c r="Z138" s="2823"/>
      <c r="AA138" s="2863"/>
      <c r="AB138" s="2813"/>
      <c r="AC138" s="2813">
        <f t="shared" si="48"/>
        <v>-282824260967</v>
      </c>
      <c r="AD138" s="2813"/>
      <c r="AE138" s="2813">
        <f t="shared" si="49"/>
        <v>-282824260967</v>
      </c>
      <c r="AF138" s="2813">
        <f t="shared" si="50"/>
        <v>0</v>
      </c>
      <c r="AG138" s="2813">
        <f t="shared" si="51"/>
        <v>380031236124</v>
      </c>
      <c r="AH138" s="2813">
        <f t="shared" si="52"/>
        <v>97206975157</v>
      </c>
      <c r="AI138" s="2882">
        <f>'ي_3_موجودي_نقد '!I181</f>
        <v>122438024843</v>
      </c>
      <c r="AJ138" s="2878">
        <v>255000000000</v>
      </c>
      <c r="AK138" s="2878">
        <v>255000000000</v>
      </c>
      <c r="AL138" s="2879"/>
      <c r="AM138" s="2832"/>
      <c r="AN138" s="2813">
        <f t="shared" si="53"/>
        <v>157793024843</v>
      </c>
      <c r="AO138" s="2818"/>
      <c r="AP138" s="2818"/>
      <c r="AQ138" s="2818"/>
      <c r="AR138" s="2818"/>
      <c r="AS138" s="2818"/>
      <c r="AT138" s="2818"/>
      <c r="AU138" s="2818"/>
      <c r="AV138" s="2818"/>
      <c r="AW138" s="2818"/>
      <c r="AX138" s="2818"/>
      <c r="AY138" s="2818"/>
      <c r="AZ138" s="2818"/>
      <c r="BA138" s="2818"/>
      <c r="BB138" s="2818"/>
      <c r="BD138" s="2800"/>
      <c r="BE138" s="2800"/>
      <c r="BF138" s="2800"/>
    </row>
    <row r="139" spans="2:58" s="2860" customFormat="1" ht="74.45" customHeight="1" x14ac:dyDescent="0.2">
      <c r="B139" s="4245"/>
      <c r="C139" s="2885" t="s">
        <v>2062</v>
      </c>
      <c r="D139" s="2885" t="s">
        <v>2144</v>
      </c>
      <c r="E139" s="2813">
        <f>'يادداشت 1-13وجوهدريافتي ازخزانه'!V51</f>
        <v>145000000000</v>
      </c>
      <c r="F139" s="2813"/>
      <c r="G139" s="2813"/>
      <c r="H139" s="2816">
        <f t="shared" si="45"/>
        <v>145000000000</v>
      </c>
      <c r="I139" s="2813">
        <f>'یادداشت 7 دارایییی اصلاحی'!J366</f>
        <v>95372406184</v>
      </c>
      <c r="J139" s="2813"/>
      <c r="K139" s="2813">
        <f>'پيش پرداخت سرمايه اي يادداشت 6'!H108</f>
        <v>920849717</v>
      </c>
      <c r="L139" s="2813"/>
      <c r="M139" s="2813"/>
      <c r="N139" s="2813">
        <f t="shared" si="46"/>
        <v>44074944759</v>
      </c>
      <c r="O139" s="2874"/>
      <c r="P139" s="2823"/>
      <c r="Q139" s="2823">
        <f>-'يادداشت 11 -سايربدهي_هاي_جاري'!I142</f>
        <v>2822431207</v>
      </c>
      <c r="R139" s="2863">
        <f>-'يادداشت 1-1-10 حسابهاي پرداخخخ '!L85</f>
        <v>41252513552</v>
      </c>
      <c r="S139" s="2813"/>
      <c r="T139" s="2813"/>
      <c r="U139" s="2814">
        <f t="shared" si="47"/>
        <v>140368200660</v>
      </c>
      <c r="V139" s="2813"/>
      <c r="W139" s="2874"/>
      <c r="X139" s="2823"/>
      <c r="Y139" s="2823"/>
      <c r="Z139" s="2823"/>
      <c r="AA139" s="2863"/>
      <c r="AB139" s="2813"/>
      <c r="AC139" s="2813">
        <f t="shared" si="48"/>
        <v>-96524494091</v>
      </c>
      <c r="AD139" s="2813"/>
      <c r="AE139" s="2813">
        <f t="shared" si="49"/>
        <v>-96524494091</v>
      </c>
      <c r="AF139" s="2813">
        <f t="shared" si="50"/>
        <v>0</v>
      </c>
      <c r="AG139" s="2813">
        <f t="shared" si="51"/>
        <v>140368200660</v>
      </c>
      <c r="AH139" s="2813">
        <f t="shared" si="52"/>
        <v>43843706569</v>
      </c>
      <c r="AI139" s="2882">
        <f>'ي_3_موجودي_نقد '!I183</f>
        <v>101156293431</v>
      </c>
      <c r="AJ139" s="2878">
        <v>295000000000</v>
      </c>
      <c r="AK139" s="2832">
        <v>295000000000</v>
      </c>
      <c r="AL139" s="2879"/>
      <c r="AM139" s="2832"/>
      <c r="AN139" s="2813">
        <f t="shared" si="53"/>
        <v>251156293431</v>
      </c>
      <c r="AO139" s="2818"/>
      <c r="AP139" s="2818"/>
      <c r="AQ139" s="2818"/>
      <c r="AR139" s="2818"/>
      <c r="AS139" s="2818"/>
      <c r="AT139" s="2818"/>
      <c r="AU139" s="2818"/>
      <c r="AV139" s="2818"/>
      <c r="AW139" s="2818"/>
      <c r="AX139" s="2818"/>
      <c r="AY139" s="2818"/>
      <c r="AZ139" s="2818"/>
      <c r="BA139" s="2818"/>
      <c r="BB139" s="2818"/>
      <c r="BD139" s="2800"/>
      <c r="BE139" s="2800"/>
      <c r="BF139" s="2800"/>
    </row>
    <row r="140" spans="2:58" s="2860" customFormat="1" ht="74.45" customHeight="1" x14ac:dyDescent="0.2">
      <c r="B140" s="4245"/>
      <c r="C140" s="2885" t="s">
        <v>2067</v>
      </c>
      <c r="D140" s="2885" t="s">
        <v>2045</v>
      </c>
      <c r="E140" s="2832">
        <f>'يادداشت 1-13وجوهدريافتي ازخزانه'!V52</f>
        <v>130747000000</v>
      </c>
      <c r="F140" s="2832"/>
      <c r="G140" s="2832"/>
      <c r="H140" s="2874">
        <f t="shared" si="45"/>
        <v>130747000000</v>
      </c>
      <c r="I140" s="2813">
        <f>'یادداشت 7 دارایییی اصلاحی'!J367</f>
        <v>138865375683</v>
      </c>
      <c r="J140" s="2813"/>
      <c r="K140" s="2813">
        <f>'پيش پرداخت سرمايه اي يادداشت 6'!H102</f>
        <v>6774860279</v>
      </c>
      <c r="L140" s="2813"/>
      <c r="M140" s="2813"/>
      <c r="N140" s="2813">
        <f t="shared" si="46"/>
        <v>135274027770</v>
      </c>
      <c r="O140" s="2874"/>
      <c r="P140" s="2823"/>
      <c r="Q140" s="2823">
        <f>-'يادداشت 11 -سايربدهي_هاي_جاري'!I139</f>
        <v>7452276419</v>
      </c>
      <c r="R140" s="2863">
        <f>-'يادداشت 1-1-10 حسابهاي پرداخخخ '!L102</f>
        <v>127821751351</v>
      </c>
      <c r="S140" s="2813"/>
      <c r="T140" s="2813"/>
      <c r="U140" s="2814">
        <f>N140+L140+K140+J140+I140+M140+S140</f>
        <v>280914263732</v>
      </c>
      <c r="V140" s="2813"/>
      <c r="W140" s="2874"/>
      <c r="X140" s="2823"/>
      <c r="Y140" s="2823"/>
      <c r="Z140" s="2823"/>
      <c r="AA140" s="2863"/>
      <c r="AB140" s="2813"/>
      <c r="AC140" s="2813">
        <f t="shared" si="48"/>
        <v>-173167263732</v>
      </c>
      <c r="AD140" s="2813"/>
      <c r="AE140" s="2813">
        <f t="shared" si="49"/>
        <v>-173167263732</v>
      </c>
      <c r="AF140" s="2813">
        <f t="shared" si="50"/>
        <v>0</v>
      </c>
      <c r="AG140" s="2813">
        <f t="shared" si="51"/>
        <v>280914263732</v>
      </c>
      <c r="AH140" s="2813">
        <f t="shared" si="52"/>
        <v>107747000000</v>
      </c>
      <c r="AI140" s="2882">
        <f>'ي_3_موجودي_نقد '!I189</f>
        <v>23000000000</v>
      </c>
      <c r="AJ140" s="2878">
        <v>193000000000</v>
      </c>
      <c r="AK140" s="2878">
        <v>193000000000</v>
      </c>
      <c r="AL140" s="2879"/>
      <c r="AM140" s="2832"/>
      <c r="AN140" s="2813">
        <f t="shared" si="53"/>
        <v>85253000000</v>
      </c>
      <c r="AO140" s="2818"/>
      <c r="AP140" s="2818"/>
      <c r="AQ140" s="2818"/>
      <c r="AR140" s="2818"/>
      <c r="AS140" s="2818"/>
      <c r="AT140" s="2818"/>
      <c r="AU140" s="2818"/>
      <c r="AV140" s="2818"/>
      <c r="AW140" s="2818"/>
      <c r="AX140" s="2818"/>
      <c r="AY140" s="2818"/>
      <c r="AZ140" s="2818"/>
      <c r="BA140" s="2818"/>
      <c r="BB140" s="2818"/>
      <c r="BD140" s="2800"/>
      <c r="BE140" s="2800"/>
      <c r="BF140" s="2800"/>
    </row>
    <row r="141" spans="2:58" s="2860" customFormat="1" ht="74.45" customHeight="1" x14ac:dyDescent="0.2">
      <c r="B141" s="4245"/>
      <c r="C141" s="4238" t="s">
        <v>997</v>
      </c>
      <c r="D141" s="4239"/>
      <c r="E141" s="2813"/>
      <c r="F141" s="2813"/>
      <c r="G141" s="2813"/>
      <c r="H141" s="2813">
        <f t="shared" ref="H141" si="56">SUM(E141:G141)</f>
        <v>0</v>
      </c>
      <c r="I141" s="2893">
        <f>'یادداشت 7 دارایییی اصلاحی'!J84+'یادداشت 7 دارایییی اصلاحی'!J43</f>
        <v>9775677</v>
      </c>
      <c r="J141" s="2864"/>
      <c r="K141" s="2864"/>
      <c r="L141" s="2864"/>
      <c r="M141" s="2864"/>
      <c r="N141" s="2813">
        <f t="shared" si="46"/>
        <v>57846589403</v>
      </c>
      <c r="O141" s="2823"/>
      <c r="P141" s="2823"/>
      <c r="Q141" s="2823">
        <f>-'يادداشت 11 -سايربدهي_هاي_جاري'!I158-'يادداشت 11 -سايربدهي_هاي_جاري'!I71-'يادداشت 11 -سايربدهي_هاي_جاري'!I67-'يادداشت 11 -سايربدهي_هاي_جاري'!I35-'يادداشت 11 -سايربدهي_هاي_جاري'!I32-'يادداشت 11 -سايربدهي_هاي_جاري'!I24</f>
        <v>562470709</v>
      </c>
      <c r="R141" s="2863">
        <f>-'يادداشت 1-1-10 حسابهاي پرداخخخ '!L177-'يادداشت 1-1-10 حسابهاي پرداخخخ '!L133-'يادداشت 1-1-10 حسابهاي پرداخخخ '!L163-'يادداشت 1-1-10 حسابهاي پرداخخخ '!L165</f>
        <v>57284118694</v>
      </c>
      <c r="S141" s="2813"/>
      <c r="T141" s="2813"/>
      <c r="U141" s="2814">
        <f t="shared" si="47"/>
        <v>57856365080</v>
      </c>
      <c r="V141" s="2813"/>
      <c r="W141" s="2874"/>
      <c r="X141" s="2823"/>
      <c r="Y141" s="2823"/>
      <c r="Z141" s="2823"/>
      <c r="AA141" s="2863"/>
      <c r="AB141" s="2813"/>
      <c r="AC141" s="2813">
        <f t="shared" si="48"/>
        <v>-57856365080</v>
      </c>
      <c r="AD141" s="2813"/>
      <c r="AE141" s="2813">
        <f t="shared" si="49"/>
        <v>-57856365080</v>
      </c>
      <c r="AF141" s="2813">
        <f t="shared" si="50"/>
        <v>0</v>
      </c>
      <c r="AG141" s="2813">
        <f t="shared" si="51"/>
        <v>57856365080</v>
      </c>
      <c r="AH141" s="2813">
        <f t="shared" si="52"/>
        <v>0</v>
      </c>
      <c r="AI141" s="2882"/>
      <c r="AJ141" s="2878"/>
      <c r="AK141" s="2832"/>
      <c r="AL141" s="2879"/>
      <c r="AM141" s="2832"/>
      <c r="AN141" s="2813">
        <f>AK141-AH141</f>
        <v>0</v>
      </c>
      <c r="AO141" s="2818"/>
      <c r="AP141" s="2818"/>
      <c r="AQ141" s="2818"/>
      <c r="AR141" s="2818"/>
      <c r="AS141" s="2818"/>
      <c r="AT141" s="2818"/>
      <c r="AU141" s="2818"/>
      <c r="AV141" s="2818"/>
      <c r="AW141" s="2818"/>
      <c r="AX141" s="2818"/>
      <c r="AY141" s="2818"/>
      <c r="AZ141" s="2818"/>
      <c r="BA141" s="2818">
        <f t="shared" si="39"/>
        <v>0</v>
      </c>
      <c r="BB141" s="2818">
        <f t="shared" si="40"/>
        <v>0</v>
      </c>
      <c r="BD141" s="2800">
        <f t="shared" si="43"/>
        <v>0</v>
      </c>
      <c r="BE141" s="2800">
        <f t="shared" si="44"/>
        <v>0</v>
      </c>
      <c r="BF141" s="2800">
        <f t="shared" si="41"/>
        <v>0</v>
      </c>
    </row>
    <row r="142" spans="2:58" s="2860" customFormat="1" ht="87" customHeight="1" x14ac:dyDescent="0.2">
      <c r="B142" s="4246"/>
      <c r="C142" s="4240" t="s">
        <v>1328</v>
      </c>
      <c r="D142" s="4241"/>
      <c r="E142" s="2813">
        <f>SUM(E121:E141)</f>
        <v>6175195000000</v>
      </c>
      <c r="F142" s="2813">
        <f t="shared" ref="F142:AN142" si="57">SUM(F121:F141)</f>
        <v>0</v>
      </c>
      <c r="G142" s="2813">
        <f t="shared" si="57"/>
        <v>0</v>
      </c>
      <c r="H142" s="2813">
        <f t="shared" si="57"/>
        <v>6175195000000</v>
      </c>
      <c r="I142" s="2813">
        <f t="shared" si="57"/>
        <v>4727548974343</v>
      </c>
      <c r="J142" s="2813">
        <f t="shared" si="57"/>
        <v>167963006486</v>
      </c>
      <c r="K142" s="2813">
        <f t="shared" si="57"/>
        <v>478036034144</v>
      </c>
      <c r="L142" s="2813">
        <f t="shared" si="57"/>
        <v>26252000000</v>
      </c>
      <c r="M142" s="2813">
        <f t="shared" si="57"/>
        <v>262217477070</v>
      </c>
      <c r="N142" s="2813">
        <f t="shared" si="57"/>
        <v>7014171376172</v>
      </c>
      <c r="O142" s="2813">
        <f t="shared" si="57"/>
        <v>0</v>
      </c>
      <c r="P142" s="2813">
        <f t="shared" si="57"/>
        <v>0</v>
      </c>
      <c r="Q142" s="2813">
        <f t="shared" si="57"/>
        <v>300449163450</v>
      </c>
      <c r="R142" s="2813">
        <f t="shared" si="57"/>
        <v>6713722212722</v>
      </c>
      <c r="S142" s="2813">
        <f t="shared" si="57"/>
        <v>35934000000</v>
      </c>
      <c r="T142" s="2813">
        <f t="shared" si="57"/>
        <v>0</v>
      </c>
      <c r="U142" s="2813">
        <f t="shared" si="57"/>
        <v>12712122868215</v>
      </c>
      <c r="V142" s="2813">
        <f t="shared" si="57"/>
        <v>-218889000000</v>
      </c>
      <c r="W142" s="2813">
        <f t="shared" si="57"/>
        <v>-2691656358500</v>
      </c>
      <c r="X142" s="2813">
        <f t="shared" si="57"/>
        <v>0</v>
      </c>
      <c r="Y142" s="2813">
        <f t="shared" si="57"/>
        <v>0</v>
      </c>
      <c r="Z142" s="2813">
        <f t="shared" si="57"/>
        <v>0</v>
      </c>
      <c r="AA142" s="2813">
        <f t="shared" si="57"/>
        <v>-155091000000</v>
      </c>
      <c r="AB142" s="2813">
        <f t="shared" si="57"/>
        <v>-79049994943</v>
      </c>
      <c r="AC142" s="2813">
        <f t="shared" si="57"/>
        <v>-7853576747482</v>
      </c>
      <c r="AD142" s="2813">
        <f t="shared" si="57"/>
        <v>0</v>
      </c>
      <c r="AE142" s="2813">
        <f t="shared" si="57"/>
        <v>-10998263100925</v>
      </c>
      <c r="AF142" s="2813">
        <f t="shared" si="57"/>
        <v>-3144686353443</v>
      </c>
      <c r="AG142" s="2813">
        <f t="shared" si="57"/>
        <v>9567436514772</v>
      </c>
      <c r="AH142" s="2813">
        <f t="shared" si="57"/>
        <v>1713859767290</v>
      </c>
      <c r="AI142" s="2813">
        <f t="shared" si="57"/>
        <v>4461335232710</v>
      </c>
      <c r="AJ142" s="2813">
        <f t="shared" si="57"/>
        <v>7117109000000</v>
      </c>
      <c r="AK142" s="2813">
        <f t="shared" si="57"/>
        <v>7080128000000</v>
      </c>
      <c r="AL142" s="2813">
        <f t="shared" si="57"/>
        <v>974272000000</v>
      </c>
      <c r="AM142" s="2813">
        <f t="shared" si="57"/>
        <v>0</v>
      </c>
      <c r="AN142" s="2813">
        <f t="shared" si="57"/>
        <v>5366268232710</v>
      </c>
      <c r="AO142" s="2818"/>
      <c r="AP142" s="2818"/>
      <c r="AQ142" s="2818"/>
      <c r="AR142" s="2818"/>
      <c r="AS142" s="2818"/>
      <c r="AT142" s="2818"/>
      <c r="AU142" s="2818"/>
      <c r="AV142" s="2818"/>
      <c r="AW142" s="2818"/>
      <c r="AX142" s="2818"/>
      <c r="AY142" s="2818"/>
      <c r="AZ142" s="2818"/>
      <c r="BA142" s="2818">
        <f t="shared" si="39"/>
        <v>1713859767290</v>
      </c>
      <c r="BB142" s="2818">
        <f t="shared" si="40"/>
        <v>0</v>
      </c>
      <c r="BD142" s="2800">
        <f t="shared" si="43"/>
        <v>6175195000000</v>
      </c>
      <c r="BE142" s="2800">
        <f t="shared" si="44"/>
        <v>0</v>
      </c>
      <c r="BF142" s="2800">
        <f t="shared" si="41"/>
        <v>-4461335232710</v>
      </c>
    </row>
    <row r="143" spans="2:58" s="2860" customFormat="1" ht="96" customHeight="1" x14ac:dyDescent="0.2">
      <c r="B143" s="4237" t="s">
        <v>931</v>
      </c>
      <c r="C143" s="4237"/>
      <c r="D143" s="4237"/>
      <c r="E143" s="2813">
        <f t="shared" ref="E143:AI143" si="58">E142+E28</f>
        <v>15976214000000</v>
      </c>
      <c r="F143" s="2813">
        <f t="shared" si="58"/>
        <v>0</v>
      </c>
      <c r="G143" s="2813">
        <f t="shared" si="58"/>
        <v>0</v>
      </c>
      <c r="H143" s="2813">
        <f t="shared" si="58"/>
        <v>15976214000000</v>
      </c>
      <c r="I143" s="2813">
        <f t="shared" si="58"/>
        <v>16936903676412</v>
      </c>
      <c r="J143" s="2813">
        <f t="shared" si="58"/>
        <v>719022128341</v>
      </c>
      <c r="K143" s="2813">
        <f t="shared" si="58"/>
        <v>1524499574079</v>
      </c>
      <c r="L143" s="2813">
        <f t="shared" si="58"/>
        <v>67675000000</v>
      </c>
      <c r="M143" s="2813">
        <f t="shared" si="58"/>
        <v>669945005780</v>
      </c>
      <c r="N143" s="2813">
        <f t="shared" si="58"/>
        <v>23276126751273</v>
      </c>
      <c r="O143" s="2813">
        <f t="shared" si="58"/>
        <v>0</v>
      </c>
      <c r="P143" s="2813">
        <f t="shared" si="58"/>
        <v>219789737</v>
      </c>
      <c r="Q143" s="2813">
        <f t="shared" si="58"/>
        <v>1111875488412</v>
      </c>
      <c r="R143" s="2813">
        <f t="shared" si="58"/>
        <v>22164031473124</v>
      </c>
      <c r="S143" s="2813">
        <f t="shared" si="58"/>
        <v>375455000000</v>
      </c>
      <c r="T143" s="2813">
        <f t="shared" si="58"/>
        <v>0</v>
      </c>
      <c r="U143" s="2813">
        <f t="shared" si="58"/>
        <v>43569627135885</v>
      </c>
      <c r="V143" s="2813">
        <f t="shared" si="58"/>
        <v>-805234980000</v>
      </c>
      <c r="W143" s="2813">
        <f t="shared" si="58"/>
        <v>-4533366612140</v>
      </c>
      <c r="X143" s="2813">
        <f t="shared" si="58"/>
        <v>0</v>
      </c>
      <c r="Y143" s="2813">
        <f t="shared" si="58"/>
        <v>-209115000000</v>
      </c>
      <c r="Z143" s="2813">
        <f t="shared" si="58"/>
        <v>0</v>
      </c>
      <c r="AA143" s="2813">
        <f t="shared" si="58"/>
        <v>-1700133000000</v>
      </c>
      <c r="AB143" s="2813">
        <f t="shared" si="58"/>
        <v>-705075582320</v>
      </c>
      <c r="AC143" s="2813">
        <f t="shared" si="58"/>
        <v>-25326273516053</v>
      </c>
      <c r="AD143" s="2813">
        <f t="shared" si="58"/>
        <v>0</v>
      </c>
      <c r="AE143" s="2813">
        <f t="shared" si="58"/>
        <v>-33279198690513</v>
      </c>
      <c r="AF143" s="2813">
        <f t="shared" si="58"/>
        <v>-7952925174460</v>
      </c>
      <c r="AG143" s="2813">
        <f t="shared" si="58"/>
        <v>35616701961425</v>
      </c>
      <c r="AH143" s="2813">
        <f t="shared" si="58"/>
        <v>10290428445372</v>
      </c>
      <c r="AI143" s="2813">
        <f t="shared" si="58"/>
        <v>5685785554628</v>
      </c>
      <c r="AJ143" s="2813">
        <v>5</v>
      </c>
      <c r="AK143" s="2813">
        <f>AK142+AK28</f>
        <v>54760657000000</v>
      </c>
      <c r="AL143" s="2813">
        <f>AL142+AL28</f>
        <v>34393609000000</v>
      </c>
      <c r="AM143" s="2813">
        <f>AM142+AM28</f>
        <v>0</v>
      </c>
      <c r="AN143" s="2813">
        <f>AN142+AN28</f>
        <v>44470228554628</v>
      </c>
      <c r="AO143" s="2818"/>
      <c r="AP143" s="2818"/>
      <c r="AQ143" s="2818"/>
      <c r="AR143" s="2818"/>
      <c r="AS143" s="2818"/>
      <c r="AT143" s="2818"/>
      <c r="AU143" s="2818"/>
      <c r="AV143" s="2818"/>
      <c r="AW143" s="2818"/>
      <c r="AX143" s="2818"/>
      <c r="AY143" s="2818"/>
      <c r="AZ143" s="2818"/>
      <c r="BA143" s="2818">
        <f t="shared" si="39"/>
        <v>10290428445372</v>
      </c>
      <c r="BB143" s="2818">
        <f t="shared" si="40"/>
        <v>0</v>
      </c>
      <c r="BD143" s="2800">
        <f t="shared" si="43"/>
        <v>15976214000000</v>
      </c>
      <c r="BE143" s="2800">
        <f t="shared" si="44"/>
        <v>0</v>
      </c>
      <c r="BF143" s="2800">
        <f t="shared" si="41"/>
        <v>-5685785554628</v>
      </c>
    </row>
    <row r="144" spans="2:58" s="2860" customFormat="1" ht="94.9" customHeight="1" x14ac:dyDescent="0.2">
      <c r="B144" s="4221">
        <v>113</v>
      </c>
      <c r="C144" s="4221"/>
      <c r="D144" s="4221"/>
      <c r="E144" s="4221"/>
      <c r="F144" s="4221"/>
      <c r="G144" s="4221"/>
      <c r="H144" s="4221"/>
      <c r="I144" s="4221"/>
      <c r="J144" s="4221"/>
      <c r="K144" s="4221"/>
      <c r="L144" s="4221"/>
      <c r="M144" s="4221"/>
      <c r="N144" s="4221"/>
      <c r="O144" s="4221"/>
      <c r="P144" s="4221"/>
      <c r="Q144" s="4221"/>
      <c r="R144" s="4221"/>
      <c r="S144" s="4221"/>
      <c r="T144" s="4221"/>
      <c r="U144" s="4221"/>
      <c r="V144" s="4221"/>
      <c r="W144" s="4221"/>
      <c r="X144" s="4221"/>
      <c r="Y144" s="4221"/>
      <c r="Z144" s="4221"/>
      <c r="AA144" s="4221"/>
      <c r="AB144" s="4221"/>
      <c r="AC144" s="4221"/>
      <c r="AD144" s="4221"/>
      <c r="AE144" s="4221"/>
      <c r="AF144" s="4221"/>
      <c r="AG144" s="4221"/>
      <c r="AH144" s="4221"/>
      <c r="AI144" s="4221"/>
      <c r="AJ144" s="4221"/>
      <c r="AK144" s="4221"/>
      <c r="AL144" s="4221"/>
      <c r="AM144" s="4221"/>
      <c r="AN144" s="4221"/>
      <c r="AO144" s="2894"/>
      <c r="AP144" s="2894"/>
      <c r="AQ144" s="2894"/>
      <c r="AR144" s="2894"/>
      <c r="AS144" s="2894"/>
      <c r="AT144" s="2894"/>
      <c r="AU144" s="2894"/>
      <c r="AV144" s="2894"/>
      <c r="AW144" s="2894"/>
      <c r="AX144" s="2894"/>
      <c r="AY144" s="2894"/>
      <c r="AZ144" s="2894"/>
      <c r="BA144" s="2818">
        <f t="shared" si="39"/>
        <v>0</v>
      </c>
      <c r="BB144" s="2818">
        <f t="shared" si="40"/>
        <v>0</v>
      </c>
      <c r="BD144" s="2800">
        <f t="shared" si="43"/>
        <v>0</v>
      </c>
      <c r="BE144" s="2800">
        <f t="shared" si="44"/>
        <v>0</v>
      </c>
      <c r="BF144" s="2800">
        <f t="shared" si="41"/>
        <v>0</v>
      </c>
    </row>
    <row r="145" spans="2:58" s="2860" customFormat="1" ht="44.45" customHeight="1" x14ac:dyDescent="0.2">
      <c r="B145" s="2800"/>
      <c r="C145" s="4219" t="s">
        <v>24</v>
      </c>
      <c r="D145" s="4219"/>
      <c r="E145" s="4219"/>
      <c r="F145" s="4219"/>
      <c r="G145" s="4219"/>
      <c r="H145" s="4219"/>
      <c r="I145" s="4219"/>
      <c r="J145" s="4219"/>
      <c r="K145" s="4219"/>
      <c r="L145" s="4219"/>
      <c r="M145" s="4219"/>
      <c r="N145" s="4219"/>
      <c r="O145" s="4219"/>
      <c r="P145" s="4219"/>
      <c r="Q145" s="4219"/>
      <c r="R145" s="4219"/>
      <c r="S145" s="4219"/>
      <c r="T145" s="4219"/>
      <c r="U145" s="4219"/>
      <c r="V145" s="4219"/>
      <c r="W145" s="4219"/>
      <c r="X145" s="4219"/>
      <c r="Y145" s="4219"/>
      <c r="Z145" s="4219"/>
      <c r="AA145" s="4219"/>
      <c r="AB145" s="4219"/>
      <c r="AC145" s="4219"/>
      <c r="AD145" s="4219"/>
      <c r="AE145" s="4219"/>
      <c r="AF145" s="4219"/>
      <c r="AG145" s="4219"/>
      <c r="AH145" s="4219"/>
      <c r="AI145" s="4219"/>
      <c r="AJ145" s="4219"/>
      <c r="AK145" s="4219"/>
      <c r="AL145" s="4219"/>
      <c r="AM145" s="4219"/>
      <c r="AN145" s="4219"/>
      <c r="AO145" s="2950"/>
      <c r="AP145" s="2950"/>
      <c r="AQ145" s="2950">
        <f>AI143-'ي_3_موجودي_نقد '!I198</f>
        <v>0</v>
      </c>
      <c r="AR145" s="2950"/>
      <c r="AS145" s="2950"/>
      <c r="AT145" s="2950"/>
      <c r="AU145" s="2950"/>
      <c r="AV145" s="2950"/>
      <c r="AW145" s="2950"/>
      <c r="AX145" s="2950"/>
      <c r="AY145" s="2950"/>
      <c r="AZ145" s="2950"/>
      <c r="BA145" s="2818">
        <f t="shared" si="39"/>
        <v>0</v>
      </c>
      <c r="BB145" s="2818">
        <f t="shared" si="40"/>
        <v>0</v>
      </c>
      <c r="BD145" s="2800">
        <f t="shared" si="43"/>
        <v>0</v>
      </c>
      <c r="BE145" s="2800">
        <f t="shared" si="44"/>
        <v>0</v>
      </c>
      <c r="BF145" s="2800">
        <f t="shared" si="41"/>
        <v>0</v>
      </c>
    </row>
    <row r="146" spans="2:58" s="2860" customFormat="1" ht="44.45" customHeight="1" x14ac:dyDescent="0.2">
      <c r="B146" s="2800"/>
      <c r="C146" s="4219" t="s">
        <v>51</v>
      </c>
      <c r="D146" s="4219"/>
      <c r="E146" s="4219"/>
      <c r="F146" s="4219"/>
      <c r="G146" s="4219"/>
      <c r="H146" s="4219"/>
      <c r="I146" s="4219"/>
      <c r="J146" s="4219"/>
      <c r="K146" s="4219"/>
      <c r="L146" s="4219"/>
      <c r="M146" s="4219"/>
      <c r="N146" s="4219"/>
      <c r="O146" s="4219"/>
      <c r="P146" s="4219"/>
      <c r="Q146" s="4219"/>
      <c r="R146" s="4219"/>
      <c r="S146" s="4219"/>
      <c r="T146" s="4219"/>
      <c r="U146" s="4219"/>
      <c r="V146" s="4219"/>
      <c r="W146" s="4219"/>
      <c r="X146" s="4219"/>
      <c r="Y146" s="4219"/>
      <c r="Z146" s="4219"/>
      <c r="AA146" s="4219"/>
      <c r="AB146" s="4219"/>
      <c r="AC146" s="4219"/>
      <c r="AD146" s="4219"/>
      <c r="AE146" s="4219"/>
      <c r="AF146" s="4219"/>
      <c r="AG146" s="4219"/>
      <c r="AH146" s="4219"/>
      <c r="AI146" s="4219"/>
      <c r="AJ146" s="4219"/>
      <c r="AK146" s="4219"/>
      <c r="AL146" s="4219"/>
      <c r="AM146" s="4219"/>
      <c r="AN146" s="4219"/>
      <c r="AO146" s="2950"/>
      <c r="AP146" s="2950"/>
      <c r="AQ146" s="2950"/>
      <c r="AR146" s="2950"/>
      <c r="AS146" s="2950"/>
      <c r="AT146" s="2950"/>
      <c r="AU146" s="2950"/>
      <c r="AV146" s="2950"/>
      <c r="AW146" s="2950"/>
      <c r="AX146" s="2950"/>
      <c r="AY146" s="2950"/>
      <c r="AZ146" s="2950"/>
      <c r="BA146" s="2818">
        <f t="shared" si="39"/>
        <v>0</v>
      </c>
      <c r="BB146" s="2818">
        <f t="shared" si="40"/>
        <v>0</v>
      </c>
      <c r="BD146" s="2800">
        <f t="shared" si="43"/>
        <v>0</v>
      </c>
      <c r="BE146" s="2800">
        <f t="shared" si="44"/>
        <v>0</v>
      </c>
      <c r="BF146" s="2800">
        <f t="shared" si="41"/>
        <v>0</v>
      </c>
    </row>
    <row r="147" spans="2:58" s="2860" customFormat="1" ht="44.45" customHeight="1" x14ac:dyDescent="0.2">
      <c r="B147" s="2800"/>
      <c r="C147" s="4219" t="s">
        <v>337</v>
      </c>
      <c r="D147" s="4219"/>
      <c r="E147" s="4219"/>
      <c r="F147" s="4219"/>
      <c r="G147" s="4219"/>
      <c r="H147" s="4219"/>
      <c r="I147" s="4219"/>
      <c r="J147" s="4219"/>
      <c r="K147" s="4219"/>
      <c r="L147" s="4219"/>
      <c r="M147" s="4219"/>
      <c r="N147" s="4219"/>
      <c r="O147" s="4219"/>
      <c r="P147" s="4219"/>
      <c r="Q147" s="4219"/>
      <c r="R147" s="4219"/>
      <c r="S147" s="4219"/>
      <c r="T147" s="4219"/>
      <c r="U147" s="4219"/>
      <c r="V147" s="4219"/>
      <c r="W147" s="4219"/>
      <c r="X147" s="4219"/>
      <c r="Y147" s="4219"/>
      <c r="Z147" s="4219"/>
      <c r="AA147" s="4219"/>
      <c r="AB147" s="4219"/>
      <c r="AC147" s="4219"/>
      <c r="AD147" s="4219"/>
      <c r="AE147" s="4219"/>
      <c r="AF147" s="4219"/>
      <c r="AG147" s="4219"/>
      <c r="AH147" s="4219"/>
      <c r="AI147" s="4219"/>
      <c r="AJ147" s="4219"/>
      <c r="AK147" s="4219"/>
      <c r="AL147" s="4219"/>
      <c r="AM147" s="4219"/>
      <c r="AN147" s="4219"/>
      <c r="AO147" s="2950"/>
      <c r="AP147" s="2950"/>
      <c r="AQ147" s="2950"/>
      <c r="AR147" s="2950"/>
      <c r="AS147" s="2950"/>
      <c r="AT147" s="2950"/>
      <c r="AU147" s="2950"/>
      <c r="AV147" s="2950"/>
      <c r="AW147" s="2950"/>
      <c r="AX147" s="2950"/>
      <c r="AY147" s="2950"/>
      <c r="AZ147" s="2950"/>
      <c r="BA147" s="2818">
        <f t="shared" si="39"/>
        <v>0</v>
      </c>
      <c r="BB147" s="2818">
        <f t="shared" si="40"/>
        <v>0</v>
      </c>
      <c r="BD147" s="2800">
        <f t="shared" si="43"/>
        <v>0</v>
      </c>
      <c r="BE147" s="2800">
        <f t="shared" si="44"/>
        <v>0</v>
      </c>
      <c r="BF147" s="2800">
        <f t="shared" si="41"/>
        <v>0</v>
      </c>
    </row>
    <row r="148" spans="2:58" s="2860" customFormat="1" ht="44.45" customHeight="1" x14ac:dyDescent="0.2">
      <c r="B148" s="2800"/>
      <c r="C148" s="4219" t="s">
        <v>1992</v>
      </c>
      <c r="D148" s="4219"/>
      <c r="E148" s="4219"/>
      <c r="F148" s="4219"/>
      <c r="G148" s="4219"/>
      <c r="H148" s="4219"/>
      <c r="I148" s="4219"/>
      <c r="J148" s="4219"/>
      <c r="K148" s="4219"/>
      <c r="L148" s="4219"/>
      <c r="M148" s="4219"/>
      <c r="N148" s="4219"/>
      <c r="O148" s="4219"/>
      <c r="P148" s="4219"/>
      <c r="Q148" s="4219"/>
      <c r="R148" s="4219"/>
      <c r="S148" s="4219"/>
      <c r="T148" s="4219"/>
      <c r="U148" s="4219"/>
      <c r="V148" s="4219"/>
      <c r="W148" s="4219"/>
      <c r="X148" s="4219"/>
      <c r="Y148" s="4219"/>
      <c r="Z148" s="4219"/>
      <c r="AA148" s="4219"/>
      <c r="AB148" s="4219"/>
      <c r="AC148" s="4219"/>
      <c r="AD148" s="4219"/>
      <c r="AE148" s="4219"/>
      <c r="AF148" s="4219"/>
      <c r="AG148" s="4219"/>
      <c r="AH148" s="4219"/>
      <c r="AI148" s="4219"/>
      <c r="AJ148" s="4219"/>
      <c r="AK148" s="4219"/>
      <c r="AL148" s="4219"/>
      <c r="AM148" s="4219"/>
      <c r="AN148" s="4219"/>
      <c r="AO148" s="2950"/>
      <c r="AP148" s="2950"/>
      <c r="AQ148" s="2950"/>
      <c r="AR148" s="2950"/>
      <c r="AS148" s="2950"/>
      <c r="AT148" s="2950"/>
      <c r="AU148" s="2950"/>
      <c r="AV148" s="2950"/>
      <c r="AW148" s="2950"/>
      <c r="AX148" s="2950"/>
      <c r="AY148" s="2950"/>
      <c r="AZ148" s="2950"/>
      <c r="BA148" s="2818">
        <f t="shared" si="39"/>
        <v>0</v>
      </c>
      <c r="BB148" s="2818">
        <f t="shared" si="40"/>
        <v>0</v>
      </c>
      <c r="BD148" s="2800">
        <f t="shared" si="43"/>
        <v>0</v>
      </c>
      <c r="BE148" s="2800">
        <f t="shared" si="44"/>
        <v>0</v>
      </c>
      <c r="BF148" s="2800">
        <f t="shared" si="41"/>
        <v>0</v>
      </c>
    </row>
    <row r="149" spans="2:58" s="2860" customFormat="1" ht="33.75" customHeight="1" x14ac:dyDescent="0.2">
      <c r="B149" s="2800"/>
      <c r="C149" s="4220" t="s">
        <v>1850</v>
      </c>
      <c r="D149" s="4220"/>
      <c r="E149" s="4220"/>
      <c r="F149" s="4220"/>
      <c r="G149" s="4220"/>
      <c r="H149" s="4220"/>
      <c r="I149" s="4220"/>
      <c r="J149" s="4220"/>
      <c r="K149" s="4220"/>
      <c r="L149" s="4220"/>
      <c r="M149" s="4220"/>
      <c r="N149" s="4220"/>
      <c r="O149" s="4220"/>
      <c r="P149" s="4220"/>
      <c r="Q149" s="4220"/>
      <c r="R149" s="4220"/>
      <c r="S149" s="4220"/>
      <c r="T149" s="4220"/>
      <c r="U149" s="4220"/>
      <c r="V149" s="4220"/>
      <c r="W149" s="4220"/>
      <c r="X149" s="4220"/>
      <c r="Y149" s="4220"/>
      <c r="Z149" s="2802"/>
      <c r="AA149" s="2802"/>
      <c r="AB149" s="2802"/>
      <c r="AC149" s="2802"/>
      <c r="AD149" s="2802"/>
      <c r="AE149" s="2802"/>
      <c r="AF149" s="2802"/>
      <c r="AG149" s="2802"/>
      <c r="AH149" s="2802"/>
      <c r="AI149" s="2802"/>
      <c r="AJ149" s="2802"/>
      <c r="AK149" s="2802"/>
      <c r="AL149" s="2802"/>
      <c r="AM149" s="2802"/>
      <c r="AN149" s="2802"/>
      <c r="AO149" s="2802"/>
      <c r="AP149" s="2802"/>
      <c r="AQ149" s="2802"/>
      <c r="AR149" s="2802"/>
      <c r="AS149" s="2802"/>
      <c r="AT149" s="2802"/>
      <c r="AU149" s="2802"/>
      <c r="AV149" s="2802"/>
      <c r="AW149" s="2802"/>
      <c r="AX149" s="2802"/>
      <c r="AY149" s="2802"/>
      <c r="AZ149" s="2802"/>
      <c r="BA149" s="2818">
        <f t="shared" si="39"/>
        <v>0</v>
      </c>
      <c r="BB149" s="2818">
        <f t="shared" si="40"/>
        <v>0</v>
      </c>
      <c r="BD149" s="2800">
        <f t="shared" si="43"/>
        <v>0</v>
      </c>
      <c r="BE149" s="2800">
        <f t="shared" si="44"/>
        <v>0</v>
      </c>
      <c r="BF149" s="2800">
        <f t="shared" si="41"/>
        <v>0</v>
      </c>
    </row>
    <row r="150" spans="2:58" s="2860" customFormat="1" ht="33.75" customHeight="1" x14ac:dyDescent="0.2">
      <c r="B150" s="2800"/>
      <c r="C150" s="2803"/>
      <c r="D150" s="2804"/>
      <c r="E150" s="2803"/>
      <c r="F150" s="2803"/>
      <c r="G150" s="2803"/>
      <c r="H150" s="2803"/>
      <c r="I150" s="2803"/>
      <c r="J150" s="2803"/>
      <c r="K150" s="2803"/>
      <c r="L150" s="2803"/>
      <c r="M150" s="2803"/>
      <c r="N150" s="2803"/>
      <c r="O150" s="2803"/>
      <c r="P150" s="2803"/>
      <c r="Q150" s="2803"/>
      <c r="R150" s="2803" t="s">
        <v>30</v>
      </c>
      <c r="S150" s="2803"/>
      <c r="T150" s="2803"/>
      <c r="U150" s="2803"/>
      <c r="V150" s="2803"/>
      <c r="W150" s="2803"/>
      <c r="X150" s="2803"/>
      <c r="Y150" s="2803"/>
      <c r="Z150" s="2803"/>
      <c r="AA150" s="2803"/>
      <c r="AB150" s="2803"/>
      <c r="AC150" s="2803"/>
      <c r="AD150" s="2803"/>
      <c r="AE150" s="2803"/>
      <c r="AF150" s="2803"/>
      <c r="AG150" s="2803"/>
      <c r="AH150" s="2803"/>
      <c r="AI150" s="2803"/>
      <c r="AJ150" s="2803"/>
      <c r="AK150" s="2803"/>
      <c r="AL150" s="2803"/>
      <c r="AM150" s="4232" t="s">
        <v>523</v>
      </c>
      <c r="AN150" s="4232"/>
      <c r="AO150" s="2952"/>
      <c r="AP150" s="2952"/>
      <c r="AQ150" s="2952"/>
      <c r="AR150" s="2952"/>
      <c r="AS150" s="2952"/>
      <c r="AT150" s="2952"/>
      <c r="AU150" s="2952"/>
      <c r="AV150" s="2952"/>
      <c r="AW150" s="2952"/>
      <c r="AX150" s="2952"/>
      <c r="AY150" s="2952"/>
      <c r="AZ150" s="2952"/>
      <c r="BA150" s="2818">
        <f t="shared" si="39"/>
        <v>0</v>
      </c>
      <c r="BB150" s="2818">
        <f t="shared" si="40"/>
        <v>0</v>
      </c>
      <c r="BD150" s="2800">
        <f t="shared" si="43"/>
        <v>0</v>
      </c>
      <c r="BE150" s="2800">
        <f t="shared" si="44"/>
        <v>0</v>
      </c>
      <c r="BF150" s="2800">
        <f t="shared" si="41"/>
        <v>0</v>
      </c>
    </row>
    <row r="151" spans="2:58" s="2860" customFormat="1" ht="96.6" customHeight="1" x14ac:dyDescent="0.2">
      <c r="B151" s="4222" t="s">
        <v>419</v>
      </c>
      <c r="C151" s="4233" t="s">
        <v>196</v>
      </c>
      <c r="D151" s="4234" t="s">
        <v>197</v>
      </c>
      <c r="E151" s="4223" t="s">
        <v>2017</v>
      </c>
      <c r="F151" s="4223"/>
      <c r="G151" s="4223"/>
      <c r="H151" s="4235"/>
      <c r="I151" s="4233" t="s">
        <v>505</v>
      </c>
      <c r="J151" s="4233"/>
      <c r="K151" s="4233"/>
      <c r="L151" s="4233"/>
      <c r="M151" s="4233"/>
      <c r="N151" s="4233"/>
      <c r="O151" s="4233"/>
      <c r="P151" s="4233"/>
      <c r="Q151" s="4233"/>
      <c r="R151" s="4233"/>
      <c r="S151" s="4233"/>
      <c r="T151" s="4233"/>
      <c r="U151" s="4233"/>
      <c r="V151" s="4233" t="s">
        <v>900</v>
      </c>
      <c r="W151" s="4233"/>
      <c r="X151" s="4233"/>
      <c r="Y151" s="4233"/>
      <c r="Z151" s="4233"/>
      <c r="AA151" s="4233"/>
      <c r="AB151" s="4233"/>
      <c r="AC151" s="4233"/>
      <c r="AD151" s="4233"/>
      <c r="AE151" s="4233"/>
      <c r="AF151" s="2805"/>
      <c r="AG151" s="4223" t="s">
        <v>526</v>
      </c>
      <c r="AH151" s="4223" t="s">
        <v>518</v>
      </c>
      <c r="AI151" s="4223" t="s">
        <v>2021</v>
      </c>
      <c r="AJ151" s="4223" t="s">
        <v>527</v>
      </c>
      <c r="AK151" s="4223" t="s">
        <v>506</v>
      </c>
      <c r="AL151" s="2806"/>
      <c r="AM151" s="4223" t="s">
        <v>507</v>
      </c>
      <c r="AN151" s="4223"/>
      <c r="AO151" s="2807"/>
      <c r="AP151" s="2807"/>
      <c r="AQ151" s="2807"/>
      <c r="AR151" s="2807"/>
      <c r="AS151" s="2807"/>
      <c r="AT151" s="2807"/>
      <c r="AU151" s="2807"/>
      <c r="AV151" s="2807"/>
      <c r="AW151" s="2807"/>
      <c r="AX151" s="2807"/>
      <c r="AY151" s="2807"/>
      <c r="AZ151" s="2807"/>
      <c r="BA151" s="2818">
        <f t="shared" si="39"/>
        <v>0</v>
      </c>
      <c r="BB151" s="2818" t="e">
        <f t="shared" si="40"/>
        <v>#VALUE!</v>
      </c>
      <c r="BD151" s="2800"/>
      <c r="BE151" s="2800"/>
      <c r="BF151" s="2800" t="e">
        <f t="shared" si="41"/>
        <v>#VALUE!</v>
      </c>
    </row>
    <row r="152" spans="2:58" s="2860" customFormat="1" ht="226.9" customHeight="1" x14ac:dyDescent="0.2">
      <c r="B152" s="4222"/>
      <c r="C152" s="4233"/>
      <c r="D152" s="4234"/>
      <c r="E152" s="2951" t="s">
        <v>1915</v>
      </c>
      <c r="F152" s="2951" t="s">
        <v>508</v>
      </c>
      <c r="G152" s="2951" t="s">
        <v>1919</v>
      </c>
      <c r="H152" s="2951" t="s">
        <v>510</v>
      </c>
      <c r="I152" s="1438" t="s">
        <v>511</v>
      </c>
      <c r="J152" s="1438" t="s">
        <v>314</v>
      </c>
      <c r="K152" s="1438" t="s">
        <v>920</v>
      </c>
      <c r="L152" s="1438" t="s">
        <v>512</v>
      </c>
      <c r="M152" s="2808" t="s">
        <v>975</v>
      </c>
      <c r="N152" s="1438" t="s">
        <v>1104</v>
      </c>
      <c r="O152" s="2808" t="s">
        <v>975</v>
      </c>
      <c r="P152" s="2808" t="s">
        <v>988</v>
      </c>
      <c r="Q152" s="2808" t="s">
        <v>974</v>
      </c>
      <c r="R152" s="1438" t="s">
        <v>533</v>
      </c>
      <c r="S152" s="1438" t="s">
        <v>1180</v>
      </c>
      <c r="T152" s="2808" t="s">
        <v>1339</v>
      </c>
      <c r="U152" s="1438" t="s">
        <v>27</v>
      </c>
      <c r="V152" s="1438" t="s">
        <v>2018</v>
      </c>
      <c r="W152" s="1438" t="s">
        <v>520</v>
      </c>
      <c r="X152" s="2951" t="s">
        <v>1960</v>
      </c>
      <c r="Y152" s="1438" t="s">
        <v>2019</v>
      </c>
      <c r="Z152" s="1438" t="s">
        <v>509</v>
      </c>
      <c r="AA152" s="1438" t="s">
        <v>2020</v>
      </c>
      <c r="AB152" s="2808" t="s">
        <v>936</v>
      </c>
      <c r="AC152" s="2808" t="s">
        <v>1070</v>
      </c>
      <c r="AD152" s="2808" t="s">
        <v>1339</v>
      </c>
      <c r="AE152" s="1438" t="s">
        <v>27</v>
      </c>
      <c r="AF152" s="2951" t="s">
        <v>534</v>
      </c>
      <c r="AG152" s="4223"/>
      <c r="AH152" s="4223"/>
      <c r="AI152" s="4236"/>
      <c r="AJ152" s="4223"/>
      <c r="AK152" s="4223"/>
      <c r="AL152" s="2806"/>
      <c r="AM152" s="2951" t="s">
        <v>513</v>
      </c>
      <c r="AN152" s="2951" t="s">
        <v>514</v>
      </c>
      <c r="AO152" s="2807"/>
      <c r="AP152" s="2807"/>
      <c r="AQ152" s="2807"/>
      <c r="AR152" s="2807"/>
      <c r="AS152" s="2807"/>
      <c r="AT152" s="2807"/>
      <c r="AU152" s="2807"/>
      <c r="AV152" s="2807"/>
      <c r="AW152" s="2807"/>
      <c r="AX152" s="2807"/>
      <c r="AY152" s="2807"/>
      <c r="AZ152" s="2807"/>
      <c r="BA152" s="2818" t="e">
        <f t="shared" si="39"/>
        <v>#VALUE!</v>
      </c>
      <c r="BB152" s="2818" t="e">
        <f t="shared" si="40"/>
        <v>#VALUE!</v>
      </c>
      <c r="BD152" s="2800"/>
      <c r="BE152" s="2800"/>
      <c r="BF152" s="2800">
        <f t="shared" si="41"/>
        <v>0</v>
      </c>
    </row>
    <row r="153" spans="2:58" s="2860" customFormat="1" ht="79.900000000000006" customHeight="1" x14ac:dyDescent="0.2">
      <c r="B153" s="4226" t="s">
        <v>824</v>
      </c>
      <c r="C153" s="4227"/>
      <c r="D153" s="4228"/>
      <c r="E153" s="2822">
        <f>E143</f>
        <v>15976214000000</v>
      </c>
      <c r="F153" s="2822">
        <f t="shared" ref="F153:AN153" si="59">F143</f>
        <v>0</v>
      </c>
      <c r="G153" s="2822">
        <f t="shared" si="59"/>
        <v>0</v>
      </c>
      <c r="H153" s="2822">
        <f t="shared" si="59"/>
        <v>15976214000000</v>
      </c>
      <c r="I153" s="2822">
        <f t="shared" si="59"/>
        <v>16936903676412</v>
      </c>
      <c r="J153" s="2822">
        <f t="shared" si="59"/>
        <v>719022128341</v>
      </c>
      <c r="K153" s="2822">
        <f t="shared" si="59"/>
        <v>1524499574079</v>
      </c>
      <c r="L153" s="2822">
        <f t="shared" si="59"/>
        <v>67675000000</v>
      </c>
      <c r="M153" s="2822">
        <f t="shared" si="59"/>
        <v>669945005780</v>
      </c>
      <c r="N153" s="2822">
        <f t="shared" si="59"/>
        <v>23276126751273</v>
      </c>
      <c r="O153" s="2822">
        <f t="shared" si="59"/>
        <v>0</v>
      </c>
      <c r="P153" s="2822">
        <f t="shared" si="59"/>
        <v>219789737</v>
      </c>
      <c r="Q153" s="2822">
        <f t="shared" si="59"/>
        <v>1111875488412</v>
      </c>
      <c r="R153" s="2822">
        <f t="shared" si="59"/>
        <v>22164031473124</v>
      </c>
      <c r="S153" s="2822">
        <f t="shared" si="59"/>
        <v>375455000000</v>
      </c>
      <c r="T153" s="2822">
        <f t="shared" si="59"/>
        <v>0</v>
      </c>
      <c r="U153" s="2822">
        <f t="shared" si="59"/>
        <v>43569627135885</v>
      </c>
      <c r="V153" s="2822">
        <f t="shared" si="59"/>
        <v>-805234980000</v>
      </c>
      <c r="W153" s="2822">
        <f t="shared" si="59"/>
        <v>-4533366612140</v>
      </c>
      <c r="X153" s="2822">
        <f t="shared" si="59"/>
        <v>0</v>
      </c>
      <c r="Y153" s="2822">
        <f t="shared" si="59"/>
        <v>-209115000000</v>
      </c>
      <c r="Z153" s="2822">
        <f t="shared" si="59"/>
        <v>0</v>
      </c>
      <c r="AA153" s="2822">
        <f t="shared" si="59"/>
        <v>-1700133000000</v>
      </c>
      <c r="AB153" s="2822">
        <f t="shared" si="59"/>
        <v>-705075582320</v>
      </c>
      <c r="AC153" s="2822">
        <f t="shared" si="59"/>
        <v>-25326273516053</v>
      </c>
      <c r="AD153" s="2822">
        <f t="shared" si="59"/>
        <v>0</v>
      </c>
      <c r="AE153" s="2822">
        <f t="shared" si="59"/>
        <v>-33279198690513</v>
      </c>
      <c r="AF153" s="2822">
        <f t="shared" si="59"/>
        <v>-7952925174460</v>
      </c>
      <c r="AG153" s="2822">
        <f t="shared" si="59"/>
        <v>35616701961425</v>
      </c>
      <c r="AH153" s="2822">
        <f t="shared" si="59"/>
        <v>10290428445372</v>
      </c>
      <c r="AI153" s="2822">
        <f t="shared" si="59"/>
        <v>5685785554628</v>
      </c>
      <c r="AJ153" s="2822">
        <f t="shared" si="59"/>
        <v>5</v>
      </c>
      <c r="AK153" s="2822">
        <f t="shared" si="59"/>
        <v>54760657000000</v>
      </c>
      <c r="AL153" s="2822">
        <f t="shared" si="59"/>
        <v>34393609000000</v>
      </c>
      <c r="AM153" s="2822">
        <f t="shared" si="59"/>
        <v>0</v>
      </c>
      <c r="AN153" s="2822">
        <f t="shared" si="59"/>
        <v>44470228554628</v>
      </c>
      <c r="AO153" s="2851"/>
      <c r="AP153" s="2851"/>
      <c r="AQ153" s="2851"/>
      <c r="AR153" s="2851"/>
      <c r="AS153" s="2851"/>
      <c r="AT153" s="2851"/>
      <c r="AU153" s="2851"/>
      <c r="AV153" s="2851"/>
      <c r="AW153" s="2851"/>
      <c r="AX153" s="2851"/>
      <c r="AY153" s="2851"/>
      <c r="AZ153" s="2851"/>
      <c r="BA153" s="2818">
        <f t="shared" si="39"/>
        <v>10290428445372</v>
      </c>
      <c r="BB153" s="2818">
        <f t="shared" si="40"/>
        <v>0</v>
      </c>
      <c r="BD153" s="2800">
        <f t="shared" ref="BD153:BD167" si="60">U153+AE153+AI153</f>
        <v>15976214000000</v>
      </c>
      <c r="BE153" s="2800">
        <f t="shared" ref="BE153:BE167" si="61">E153-BD153</f>
        <v>0</v>
      </c>
      <c r="BF153" s="2800">
        <f t="shared" si="41"/>
        <v>-5685785554628</v>
      </c>
    </row>
    <row r="154" spans="2:58" s="2860" customFormat="1" ht="59.45" hidden="1" customHeight="1" x14ac:dyDescent="0.2">
      <c r="B154" s="4207" t="s">
        <v>937</v>
      </c>
      <c r="C154" s="4224" t="s">
        <v>937</v>
      </c>
      <c r="D154" s="4225"/>
      <c r="E154" s="4231"/>
      <c r="F154" s="4211"/>
      <c r="G154" s="4211"/>
      <c r="H154" s="4211"/>
      <c r="I154" s="4211"/>
      <c r="J154" s="4211"/>
      <c r="K154" s="4211"/>
      <c r="L154" s="4211"/>
      <c r="M154" s="4211"/>
      <c r="N154" s="4211"/>
      <c r="O154" s="4211"/>
      <c r="P154" s="4211"/>
      <c r="Q154" s="4211"/>
      <c r="R154" s="4211"/>
      <c r="S154" s="4211"/>
      <c r="T154" s="4211"/>
      <c r="U154" s="4211"/>
      <c r="V154" s="4211"/>
      <c r="W154" s="4211"/>
      <c r="X154" s="4211"/>
      <c r="Y154" s="4211"/>
      <c r="Z154" s="4211"/>
      <c r="AA154" s="4211"/>
      <c r="AB154" s="4211"/>
      <c r="AC154" s="4211"/>
      <c r="AD154" s="4211"/>
      <c r="AE154" s="4211"/>
      <c r="AF154" s="4211"/>
      <c r="AG154" s="4211"/>
      <c r="AH154" s="4211"/>
      <c r="AI154" s="4211"/>
      <c r="AJ154" s="4211"/>
      <c r="AK154" s="4211"/>
      <c r="AL154" s="4211"/>
      <c r="AM154" s="4211"/>
      <c r="AN154" s="4212"/>
      <c r="AO154" s="2895"/>
      <c r="AP154" s="2895"/>
      <c r="AQ154" s="2895"/>
      <c r="AR154" s="2895"/>
      <c r="AS154" s="2895"/>
      <c r="AT154" s="2895"/>
      <c r="AU154" s="2895"/>
      <c r="AV154" s="2895"/>
      <c r="AW154" s="2895"/>
      <c r="AX154" s="2895"/>
      <c r="AY154" s="2895"/>
      <c r="AZ154" s="2895"/>
      <c r="BA154" s="2818">
        <f t="shared" si="39"/>
        <v>0</v>
      </c>
      <c r="BB154" s="2818">
        <f t="shared" si="40"/>
        <v>0</v>
      </c>
      <c r="BD154" s="2800">
        <f t="shared" si="60"/>
        <v>0</v>
      </c>
      <c r="BE154" s="2800">
        <f t="shared" si="61"/>
        <v>0</v>
      </c>
      <c r="BF154" s="2800">
        <f t="shared" si="41"/>
        <v>0</v>
      </c>
    </row>
    <row r="155" spans="2:58" ht="55.9" hidden="1" customHeight="1" x14ac:dyDescent="0.2">
      <c r="B155" s="4207"/>
      <c r="C155" s="2896">
        <v>1503002046</v>
      </c>
      <c r="D155" s="2897" t="s">
        <v>83</v>
      </c>
      <c r="E155" s="2814"/>
      <c r="F155" s="2814"/>
      <c r="G155" s="2813"/>
      <c r="H155" s="2813">
        <f t="shared" ref="H155:H162" si="62">SUM(E155:G155)</f>
        <v>0</v>
      </c>
      <c r="I155" s="1188"/>
      <c r="J155" s="2813"/>
      <c r="K155" s="2813"/>
      <c r="L155" s="2826"/>
      <c r="M155" s="2813"/>
      <c r="N155" s="2814">
        <f>R155+Q155</f>
        <v>0</v>
      </c>
      <c r="O155" s="2813"/>
      <c r="P155" s="2813"/>
      <c r="Q155" s="2813"/>
      <c r="R155" s="2826"/>
      <c r="S155" s="2813"/>
      <c r="T155" s="2813"/>
      <c r="U155" s="2813">
        <f>N155+L155+K155+J155+I155+M155+S155+T155</f>
        <v>0</v>
      </c>
      <c r="V155" s="2813"/>
      <c r="W155" s="2813">
        <v>0</v>
      </c>
      <c r="X155" s="2813"/>
      <c r="Y155" s="2813"/>
      <c r="Z155" s="2813"/>
      <c r="AA155" s="2813"/>
      <c r="AB155" s="2813"/>
      <c r="AC155" s="2813">
        <f>(E155-AI155)-AG155</f>
        <v>0</v>
      </c>
      <c r="AD155" s="2813"/>
      <c r="AE155" s="2822">
        <f>SUM(V155:AD155)</f>
        <v>0</v>
      </c>
      <c r="AF155" s="2813">
        <f>AA155+Y155+W155+V155+AB155+X155+AD155</f>
        <v>0</v>
      </c>
      <c r="AG155" s="2813">
        <f>U155+AF155</f>
        <v>0</v>
      </c>
      <c r="AH155" s="2813">
        <f>E155-AI155</f>
        <v>0</v>
      </c>
      <c r="AI155" s="2829"/>
      <c r="AJ155" s="2813"/>
      <c r="AK155" s="2813"/>
      <c r="AL155" s="2815"/>
      <c r="AM155" s="2813"/>
      <c r="AN155" s="2813">
        <f t="shared" ref="AN155:AN162" si="63">AK155-AH155</f>
        <v>0</v>
      </c>
      <c r="AO155" s="2818"/>
      <c r="AP155" s="2818"/>
      <c r="AQ155" s="2818"/>
      <c r="AR155" s="2818"/>
      <c r="AS155" s="2818"/>
      <c r="AT155" s="2818"/>
      <c r="AU155" s="2818"/>
      <c r="AV155" s="2818"/>
      <c r="AW155" s="2818"/>
      <c r="AX155" s="2818"/>
      <c r="AY155" s="2818"/>
      <c r="AZ155" s="2818"/>
      <c r="BA155" s="2818">
        <f t="shared" si="39"/>
        <v>0</v>
      </c>
      <c r="BB155" s="2818">
        <f t="shared" si="40"/>
        <v>0</v>
      </c>
      <c r="BD155" s="2800">
        <f t="shared" si="60"/>
        <v>0</v>
      </c>
      <c r="BE155" s="2800">
        <f t="shared" si="61"/>
        <v>0</v>
      </c>
      <c r="BF155" s="2800">
        <f t="shared" si="41"/>
        <v>0</v>
      </c>
    </row>
    <row r="156" spans="2:58" ht="146.44999999999999" hidden="1" customHeight="1" x14ac:dyDescent="0.2">
      <c r="B156" s="4207"/>
      <c r="C156" s="2896" t="s">
        <v>546</v>
      </c>
      <c r="D156" s="2897" t="s">
        <v>545</v>
      </c>
      <c r="E156" s="2814"/>
      <c r="F156" s="2814"/>
      <c r="G156" s="2813"/>
      <c r="H156" s="2813">
        <f t="shared" si="62"/>
        <v>0</v>
      </c>
      <c r="I156" s="2813"/>
      <c r="J156" s="2813"/>
      <c r="K156" s="2813"/>
      <c r="L156" s="2826"/>
      <c r="M156" s="2813"/>
      <c r="N156" s="2814">
        <f t="shared" ref="N156:N163" si="64">R156+Q156</f>
        <v>0</v>
      </c>
      <c r="O156" s="2813"/>
      <c r="P156" s="2813"/>
      <c r="Q156" s="2813"/>
      <c r="R156" s="2826"/>
      <c r="S156" s="2813"/>
      <c r="T156" s="2813"/>
      <c r="U156" s="2813">
        <f t="shared" ref="U156:U163" si="65">N156+L156+K156+J156+I156+M156+S156</f>
        <v>0</v>
      </c>
      <c r="V156" s="2813"/>
      <c r="W156" s="2813"/>
      <c r="X156" s="2813"/>
      <c r="Y156" s="2813"/>
      <c r="Z156" s="2813"/>
      <c r="AA156" s="2826"/>
      <c r="AB156" s="2813"/>
      <c r="AC156" s="2813">
        <f t="shared" ref="AC156:AC163" si="66">(H156-AI156)-AG156</f>
        <v>0</v>
      </c>
      <c r="AD156" s="2813"/>
      <c r="AE156" s="2822">
        <f t="shared" ref="AE156:AE163" si="67">SUM(V156:AD156)</f>
        <v>0</v>
      </c>
      <c r="AF156" s="2813">
        <f t="shared" ref="AF156:AF162" si="68">AA156+Y156+W156+V156+AB156+X156</f>
        <v>0</v>
      </c>
      <c r="AG156" s="2813">
        <f t="shared" ref="AG156:AG162" si="69">U156+AF156</f>
        <v>0</v>
      </c>
      <c r="AH156" s="2813">
        <f t="shared" ref="AH156:AH164" si="70">H156-AI156</f>
        <v>0</v>
      </c>
      <c r="AI156" s="2829"/>
      <c r="AJ156" s="2813"/>
      <c r="AK156" s="2813"/>
      <c r="AL156" s="2815"/>
      <c r="AM156" s="2813"/>
      <c r="AN156" s="2813">
        <f t="shared" si="63"/>
        <v>0</v>
      </c>
      <c r="AO156" s="2818"/>
      <c r="AP156" s="2818"/>
      <c r="AQ156" s="2818"/>
      <c r="AR156" s="2818"/>
      <c r="AS156" s="2818"/>
      <c r="AT156" s="2818"/>
      <c r="AU156" s="2818"/>
      <c r="AV156" s="2818"/>
      <c r="AW156" s="2818"/>
      <c r="AX156" s="2818"/>
      <c r="AY156" s="2818"/>
      <c r="AZ156" s="2818"/>
      <c r="BA156" s="2818">
        <f t="shared" si="39"/>
        <v>0</v>
      </c>
      <c r="BB156" s="2818">
        <f t="shared" si="40"/>
        <v>0</v>
      </c>
      <c r="BD156" s="2800">
        <f t="shared" si="60"/>
        <v>0</v>
      </c>
      <c r="BE156" s="2800">
        <f t="shared" si="61"/>
        <v>0</v>
      </c>
      <c r="BF156" s="2800">
        <f t="shared" si="41"/>
        <v>0</v>
      </c>
    </row>
    <row r="157" spans="2:58" ht="2.4500000000000002" hidden="1" customHeight="1" x14ac:dyDescent="0.2">
      <c r="B157" s="4207"/>
      <c r="C157" s="2896" t="s">
        <v>542</v>
      </c>
      <c r="D157" s="2897" t="s">
        <v>335</v>
      </c>
      <c r="E157" s="2893">
        <f>'يادداشت 12ح پ حاز ع غ مبادله ای'!E27</f>
        <v>0</v>
      </c>
      <c r="F157" s="2893"/>
      <c r="G157" s="2864"/>
      <c r="H157" s="2864">
        <f t="shared" si="62"/>
        <v>0</v>
      </c>
      <c r="I157" s="2864"/>
      <c r="J157" s="2864"/>
      <c r="K157" s="2864"/>
      <c r="L157" s="2892"/>
      <c r="M157" s="2813"/>
      <c r="N157" s="2814">
        <f t="shared" si="64"/>
        <v>0</v>
      </c>
      <c r="O157" s="2864"/>
      <c r="P157" s="2864"/>
      <c r="Q157" s="2864"/>
      <c r="R157" s="2892"/>
      <c r="S157" s="2813"/>
      <c r="T157" s="2813"/>
      <c r="U157" s="2813">
        <f t="shared" si="65"/>
        <v>0</v>
      </c>
      <c r="V157" s="2864"/>
      <c r="W157" s="2864"/>
      <c r="X157" s="2864"/>
      <c r="Y157" s="2864"/>
      <c r="Z157" s="2864"/>
      <c r="AA157" s="2892"/>
      <c r="AB157" s="2813"/>
      <c r="AC157" s="2813">
        <f t="shared" si="66"/>
        <v>0</v>
      </c>
      <c r="AD157" s="2813"/>
      <c r="AE157" s="2822">
        <f t="shared" si="67"/>
        <v>0</v>
      </c>
      <c r="AF157" s="2813">
        <f t="shared" si="68"/>
        <v>0</v>
      </c>
      <c r="AG157" s="2813">
        <f t="shared" si="69"/>
        <v>0</v>
      </c>
      <c r="AH157" s="2813">
        <f t="shared" si="70"/>
        <v>0</v>
      </c>
      <c r="AI157" s="2898"/>
      <c r="AJ157" s="2864"/>
      <c r="AK157" s="2864"/>
      <c r="AL157" s="2817"/>
      <c r="AM157" s="2864">
        <f>AH157-AJ157</f>
        <v>0</v>
      </c>
      <c r="AN157" s="2813">
        <f t="shared" si="63"/>
        <v>0</v>
      </c>
      <c r="AO157" s="2818"/>
      <c r="AP157" s="2818"/>
      <c r="AQ157" s="2818"/>
      <c r="AR157" s="2818"/>
      <c r="AS157" s="2818"/>
      <c r="AT157" s="2818"/>
      <c r="AU157" s="2818"/>
      <c r="AV157" s="2818"/>
      <c r="AW157" s="2818"/>
      <c r="AX157" s="2818"/>
      <c r="AY157" s="2818"/>
      <c r="AZ157" s="2818"/>
      <c r="BA157" s="2818">
        <f t="shared" si="39"/>
        <v>0</v>
      </c>
      <c r="BB157" s="2818">
        <f t="shared" si="40"/>
        <v>0</v>
      </c>
      <c r="BD157" s="2800">
        <f t="shared" si="60"/>
        <v>0</v>
      </c>
      <c r="BE157" s="2800">
        <f t="shared" si="61"/>
        <v>0</v>
      </c>
      <c r="BF157" s="2800">
        <f t="shared" si="41"/>
        <v>0</v>
      </c>
    </row>
    <row r="158" spans="2:58" ht="2.4500000000000002" hidden="1" customHeight="1" x14ac:dyDescent="0.2">
      <c r="B158" s="4207"/>
      <c r="C158" s="2896">
        <v>1503002096</v>
      </c>
      <c r="D158" s="2897" t="s">
        <v>84</v>
      </c>
      <c r="E158" s="2816"/>
      <c r="F158" s="2816"/>
      <c r="G158" s="2811"/>
      <c r="H158" s="2811">
        <f t="shared" si="62"/>
        <v>0</v>
      </c>
      <c r="I158" s="2811"/>
      <c r="J158" s="2811"/>
      <c r="K158" s="2811"/>
      <c r="L158" s="2812"/>
      <c r="M158" s="2813"/>
      <c r="N158" s="2814">
        <f t="shared" si="64"/>
        <v>0</v>
      </c>
      <c r="O158" s="2811"/>
      <c r="P158" s="2811"/>
      <c r="Q158" s="2811"/>
      <c r="R158" s="2812"/>
      <c r="S158" s="2813"/>
      <c r="T158" s="2813"/>
      <c r="U158" s="2813">
        <f t="shared" si="65"/>
        <v>0</v>
      </c>
      <c r="V158" s="2811"/>
      <c r="W158" s="2811"/>
      <c r="X158" s="2811"/>
      <c r="Y158" s="2811"/>
      <c r="Z158" s="2811"/>
      <c r="AA158" s="2812"/>
      <c r="AB158" s="2813"/>
      <c r="AC158" s="2813">
        <f t="shared" si="66"/>
        <v>0</v>
      </c>
      <c r="AD158" s="2813"/>
      <c r="AE158" s="2822">
        <f t="shared" si="67"/>
        <v>0</v>
      </c>
      <c r="AF158" s="2813">
        <f t="shared" si="68"/>
        <v>0</v>
      </c>
      <c r="AG158" s="2813">
        <f t="shared" si="69"/>
        <v>0</v>
      </c>
      <c r="AH158" s="2813">
        <f t="shared" si="70"/>
        <v>0</v>
      </c>
      <c r="AI158" s="2829"/>
      <c r="AJ158" s="2811"/>
      <c r="AK158" s="2811"/>
      <c r="AL158" s="2817"/>
      <c r="AM158" s="2811"/>
      <c r="AN158" s="2813">
        <f t="shared" si="63"/>
        <v>0</v>
      </c>
      <c r="AO158" s="2818"/>
      <c r="AP158" s="2818"/>
      <c r="AQ158" s="2818"/>
      <c r="AR158" s="2818"/>
      <c r="AS158" s="2818"/>
      <c r="AT158" s="2818"/>
      <c r="AU158" s="2818"/>
      <c r="AV158" s="2818"/>
      <c r="AW158" s="2818"/>
      <c r="AX158" s="2818"/>
      <c r="AY158" s="2818"/>
      <c r="AZ158" s="2818"/>
      <c r="BA158" s="2818">
        <f t="shared" si="39"/>
        <v>0</v>
      </c>
      <c r="BB158" s="2818">
        <f t="shared" si="40"/>
        <v>0</v>
      </c>
      <c r="BD158" s="2800">
        <f t="shared" si="60"/>
        <v>0</v>
      </c>
      <c r="BE158" s="2800">
        <f t="shared" si="61"/>
        <v>0</v>
      </c>
      <c r="BF158" s="2800">
        <f t="shared" si="41"/>
        <v>0</v>
      </c>
    </row>
    <row r="159" spans="2:58" ht="2.4500000000000002" hidden="1" customHeight="1" x14ac:dyDescent="0.2">
      <c r="B159" s="4207"/>
      <c r="C159" s="2896">
        <v>1503002173</v>
      </c>
      <c r="D159" s="2897" t="s">
        <v>85</v>
      </c>
      <c r="E159" s="2816"/>
      <c r="F159" s="2816"/>
      <c r="G159" s="2811"/>
      <c r="H159" s="2811">
        <f t="shared" si="62"/>
        <v>0</v>
      </c>
      <c r="I159" s="2811"/>
      <c r="J159" s="2811"/>
      <c r="K159" s="2811"/>
      <c r="L159" s="2812"/>
      <c r="M159" s="2813"/>
      <c r="N159" s="2814">
        <f t="shared" si="64"/>
        <v>0</v>
      </c>
      <c r="O159" s="2811"/>
      <c r="P159" s="2811"/>
      <c r="Q159" s="2811"/>
      <c r="R159" s="2812"/>
      <c r="S159" s="2813"/>
      <c r="T159" s="2813"/>
      <c r="U159" s="2813">
        <f t="shared" si="65"/>
        <v>0</v>
      </c>
      <c r="V159" s="2811"/>
      <c r="W159" s="2811"/>
      <c r="X159" s="2811"/>
      <c r="Y159" s="2811"/>
      <c r="Z159" s="2811"/>
      <c r="AA159" s="2812"/>
      <c r="AB159" s="2813"/>
      <c r="AC159" s="2813">
        <f t="shared" si="66"/>
        <v>0</v>
      </c>
      <c r="AD159" s="2813"/>
      <c r="AE159" s="2822">
        <f t="shared" si="67"/>
        <v>0</v>
      </c>
      <c r="AF159" s="2813">
        <f t="shared" si="68"/>
        <v>0</v>
      </c>
      <c r="AG159" s="2813">
        <f t="shared" si="69"/>
        <v>0</v>
      </c>
      <c r="AH159" s="2813">
        <f t="shared" si="70"/>
        <v>0</v>
      </c>
      <c r="AI159" s="2829"/>
      <c r="AJ159" s="2811"/>
      <c r="AK159" s="2811"/>
      <c r="AL159" s="2811">
        <v>14470000000</v>
      </c>
      <c r="AM159" s="2811"/>
      <c r="AN159" s="2813">
        <f t="shared" si="63"/>
        <v>0</v>
      </c>
      <c r="AO159" s="2818"/>
      <c r="AP159" s="2818"/>
      <c r="AQ159" s="2818"/>
      <c r="AR159" s="2818"/>
      <c r="AS159" s="2818"/>
      <c r="AT159" s="2818"/>
      <c r="AU159" s="2818"/>
      <c r="AV159" s="2818"/>
      <c r="AW159" s="2818"/>
      <c r="AX159" s="2818"/>
      <c r="AY159" s="2818"/>
      <c r="AZ159" s="2818"/>
      <c r="BA159" s="2818">
        <f t="shared" si="39"/>
        <v>0</v>
      </c>
      <c r="BB159" s="2818">
        <f t="shared" si="40"/>
        <v>0</v>
      </c>
      <c r="BD159" s="2800">
        <f t="shared" si="60"/>
        <v>0</v>
      </c>
      <c r="BE159" s="2800">
        <f t="shared" si="61"/>
        <v>0</v>
      </c>
      <c r="BF159" s="2800">
        <f t="shared" si="41"/>
        <v>0</v>
      </c>
    </row>
    <row r="160" spans="2:58" ht="2.4500000000000002" hidden="1" customHeight="1" x14ac:dyDescent="0.2">
      <c r="B160" s="4207"/>
      <c r="C160" s="2899" t="s">
        <v>68</v>
      </c>
      <c r="D160" s="2897" t="s">
        <v>70</v>
      </c>
      <c r="E160" s="2816"/>
      <c r="F160" s="2816"/>
      <c r="G160" s="2811"/>
      <c r="H160" s="2811">
        <f t="shared" si="62"/>
        <v>0</v>
      </c>
      <c r="I160" s="2811"/>
      <c r="J160" s="2811"/>
      <c r="K160" s="2811"/>
      <c r="L160" s="2811"/>
      <c r="M160" s="2820"/>
      <c r="N160" s="2814">
        <f t="shared" si="64"/>
        <v>0</v>
      </c>
      <c r="O160" s="2811"/>
      <c r="P160" s="2811"/>
      <c r="Q160" s="2811"/>
      <c r="R160" s="2812"/>
      <c r="S160" s="2813"/>
      <c r="T160" s="2813"/>
      <c r="U160" s="2813">
        <f t="shared" si="65"/>
        <v>0</v>
      </c>
      <c r="V160" s="2811"/>
      <c r="W160" s="2811"/>
      <c r="X160" s="2811"/>
      <c r="Y160" s="2811"/>
      <c r="Z160" s="2811"/>
      <c r="AA160" s="2811"/>
      <c r="AB160" s="2820"/>
      <c r="AC160" s="2813">
        <f t="shared" si="66"/>
        <v>0</v>
      </c>
      <c r="AD160" s="2813"/>
      <c r="AE160" s="2822">
        <f t="shared" si="67"/>
        <v>0</v>
      </c>
      <c r="AF160" s="2813">
        <f t="shared" si="68"/>
        <v>0</v>
      </c>
      <c r="AG160" s="2813">
        <f t="shared" si="69"/>
        <v>0</v>
      </c>
      <c r="AH160" s="2813">
        <f t="shared" si="70"/>
        <v>0</v>
      </c>
      <c r="AI160" s="2829"/>
      <c r="AJ160" s="2811"/>
      <c r="AK160" s="2811"/>
      <c r="AL160" s="2817"/>
      <c r="AM160" s="2811"/>
      <c r="AN160" s="2813">
        <f t="shared" si="63"/>
        <v>0</v>
      </c>
      <c r="AO160" s="2818"/>
      <c r="AP160" s="2818"/>
      <c r="AQ160" s="2818"/>
      <c r="AR160" s="2818"/>
      <c r="AS160" s="2818"/>
      <c r="AT160" s="2818"/>
      <c r="AU160" s="2818"/>
      <c r="AV160" s="2818"/>
      <c r="AW160" s="2818"/>
      <c r="AX160" s="2818"/>
      <c r="AY160" s="2818"/>
      <c r="AZ160" s="2818"/>
      <c r="BA160" s="2818">
        <f t="shared" si="39"/>
        <v>0</v>
      </c>
      <c r="BB160" s="2818">
        <f t="shared" si="40"/>
        <v>0</v>
      </c>
      <c r="BD160" s="2800">
        <f t="shared" si="60"/>
        <v>0</v>
      </c>
      <c r="BE160" s="2800">
        <f t="shared" si="61"/>
        <v>0</v>
      </c>
      <c r="BF160" s="2800">
        <f t="shared" si="41"/>
        <v>0</v>
      </c>
    </row>
    <row r="161" spans="2:58" ht="61.15" hidden="1" customHeight="1" x14ac:dyDescent="0.2">
      <c r="B161" s="4207"/>
      <c r="C161" s="2896">
        <v>1503002067</v>
      </c>
      <c r="D161" s="2897" t="s">
        <v>86</v>
      </c>
      <c r="E161" s="2816"/>
      <c r="F161" s="2816"/>
      <c r="G161" s="2811"/>
      <c r="H161" s="2811">
        <f t="shared" si="62"/>
        <v>0</v>
      </c>
      <c r="I161" s="2811"/>
      <c r="J161" s="2811"/>
      <c r="K161" s="2811"/>
      <c r="L161" s="2811"/>
      <c r="M161" s="2820"/>
      <c r="N161" s="2814">
        <f t="shared" si="64"/>
        <v>0</v>
      </c>
      <c r="O161" s="2811"/>
      <c r="P161" s="2811"/>
      <c r="Q161" s="2811"/>
      <c r="R161" s="2811"/>
      <c r="S161" s="2818"/>
      <c r="T161" s="2818"/>
      <c r="U161" s="2813">
        <f t="shared" si="65"/>
        <v>0</v>
      </c>
      <c r="V161" s="2811"/>
      <c r="W161" s="2811"/>
      <c r="X161" s="2811"/>
      <c r="Y161" s="2811"/>
      <c r="Z161" s="2811"/>
      <c r="AA161" s="2811"/>
      <c r="AB161" s="2820"/>
      <c r="AC161" s="2813">
        <f t="shared" si="66"/>
        <v>0</v>
      </c>
      <c r="AD161" s="2813"/>
      <c r="AE161" s="2822">
        <f t="shared" si="67"/>
        <v>0</v>
      </c>
      <c r="AF161" s="2813">
        <f t="shared" si="68"/>
        <v>0</v>
      </c>
      <c r="AG161" s="2813">
        <f t="shared" si="69"/>
        <v>0</v>
      </c>
      <c r="AH161" s="2813">
        <f t="shared" si="70"/>
        <v>0</v>
      </c>
      <c r="AI161" s="2829"/>
      <c r="AJ161" s="2811"/>
      <c r="AK161" s="2811"/>
      <c r="AL161" s="2817"/>
      <c r="AM161" s="2811"/>
      <c r="AN161" s="2820">
        <f t="shared" si="63"/>
        <v>0</v>
      </c>
      <c r="AO161" s="2818"/>
      <c r="AP161" s="2818"/>
      <c r="AQ161" s="2818"/>
      <c r="AR161" s="2818"/>
      <c r="AS161" s="2818"/>
      <c r="AT161" s="2818"/>
      <c r="AU161" s="2818"/>
      <c r="AV161" s="2818"/>
      <c r="AW161" s="2818"/>
      <c r="AX161" s="2818"/>
      <c r="AY161" s="2818"/>
      <c r="AZ161" s="2818"/>
      <c r="BA161" s="2818">
        <f t="shared" si="39"/>
        <v>0</v>
      </c>
      <c r="BB161" s="2818">
        <f t="shared" si="40"/>
        <v>0</v>
      </c>
      <c r="BD161" s="2800">
        <f t="shared" si="60"/>
        <v>0</v>
      </c>
      <c r="BE161" s="2800">
        <f t="shared" si="61"/>
        <v>0</v>
      </c>
      <c r="BF161" s="2800">
        <f t="shared" si="41"/>
        <v>0</v>
      </c>
    </row>
    <row r="162" spans="2:58" ht="107.45" hidden="1" customHeight="1" x14ac:dyDescent="0.2">
      <c r="B162" s="4207"/>
      <c r="C162" s="2896" t="s">
        <v>77</v>
      </c>
      <c r="D162" s="2897" t="s">
        <v>522</v>
      </c>
      <c r="E162" s="2874"/>
      <c r="F162" s="2874"/>
      <c r="G162" s="2823"/>
      <c r="H162" s="2823">
        <f t="shared" si="62"/>
        <v>0</v>
      </c>
      <c r="I162" s="2823"/>
      <c r="J162" s="2823"/>
      <c r="K162" s="2823"/>
      <c r="L162" s="2823"/>
      <c r="M162" s="2864"/>
      <c r="N162" s="2814">
        <f t="shared" si="64"/>
        <v>0</v>
      </c>
      <c r="O162" s="2823"/>
      <c r="P162" s="2823"/>
      <c r="Q162" s="2823"/>
      <c r="R162" s="2823"/>
      <c r="S162" s="2818"/>
      <c r="T162" s="2818"/>
      <c r="U162" s="2813">
        <f t="shared" si="65"/>
        <v>0</v>
      </c>
      <c r="V162" s="2823"/>
      <c r="W162" s="2823"/>
      <c r="X162" s="2823"/>
      <c r="Y162" s="2823"/>
      <c r="Z162" s="2823"/>
      <c r="AA162" s="2823"/>
      <c r="AB162" s="2864"/>
      <c r="AC162" s="2813">
        <f t="shared" si="66"/>
        <v>0</v>
      </c>
      <c r="AD162" s="2813"/>
      <c r="AE162" s="2822">
        <f t="shared" si="67"/>
        <v>0</v>
      </c>
      <c r="AF162" s="2813">
        <f t="shared" si="68"/>
        <v>0</v>
      </c>
      <c r="AG162" s="2813">
        <f t="shared" si="69"/>
        <v>0</v>
      </c>
      <c r="AH162" s="2813">
        <f t="shared" si="70"/>
        <v>0</v>
      </c>
      <c r="AI162" s="2882"/>
      <c r="AJ162" s="2874"/>
      <c r="AK162" s="2874"/>
      <c r="AL162" s="2817"/>
      <c r="AM162" s="2823"/>
      <c r="AN162" s="2864">
        <f t="shared" si="63"/>
        <v>0</v>
      </c>
      <c r="AO162" s="2818"/>
      <c r="AP162" s="2818"/>
      <c r="AQ162" s="2818"/>
      <c r="AR162" s="2818"/>
      <c r="AS162" s="2818"/>
      <c r="AT162" s="2818"/>
      <c r="AU162" s="2818"/>
      <c r="AV162" s="2818"/>
      <c r="AW162" s="2818"/>
      <c r="AX162" s="2818"/>
      <c r="AY162" s="2818"/>
      <c r="AZ162" s="2818"/>
      <c r="BA162" s="2818">
        <f t="shared" si="39"/>
        <v>0</v>
      </c>
      <c r="BB162" s="2818">
        <f t="shared" si="40"/>
        <v>0</v>
      </c>
      <c r="BD162" s="2800">
        <f t="shared" si="60"/>
        <v>0</v>
      </c>
      <c r="BE162" s="2800">
        <f t="shared" si="61"/>
        <v>0</v>
      </c>
      <c r="BF162" s="2800">
        <f t="shared" si="41"/>
        <v>0</v>
      </c>
    </row>
    <row r="163" spans="2:58" ht="3" hidden="1" customHeight="1" x14ac:dyDescent="0.2">
      <c r="B163" s="4207"/>
      <c r="C163" s="2896"/>
      <c r="D163" s="2897"/>
      <c r="E163" s="2818"/>
      <c r="F163" s="2818"/>
      <c r="G163" s="2818"/>
      <c r="H163" s="2818"/>
      <c r="I163" s="2818"/>
      <c r="J163" s="2818"/>
      <c r="K163" s="2818"/>
      <c r="L163" s="2818"/>
      <c r="M163" s="2818"/>
      <c r="N163" s="2814">
        <f t="shared" si="64"/>
        <v>0</v>
      </c>
      <c r="O163" s="2818"/>
      <c r="P163" s="2818"/>
      <c r="Q163" s="2818"/>
      <c r="R163" s="2818"/>
      <c r="S163" s="2818"/>
      <c r="T163" s="2818"/>
      <c r="U163" s="2813">
        <f t="shared" si="65"/>
        <v>0</v>
      </c>
      <c r="V163" s="2818"/>
      <c r="W163" s="2818"/>
      <c r="X163" s="2818"/>
      <c r="Y163" s="2818"/>
      <c r="Z163" s="2818"/>
      <c r="AA163" s="2818"/>
      <c r="AB163" s="2818"/>
      <c r="AC163" s="2813">
        <f t="shared" si="66"/>
        <v>0</v>
      </c>
      <c r="AD163" s="2813"/>
      <c r="AE163" s="2822">
        <f t="shared" si="67"/>
        <v>0</v>
      </c>
      <c r="AF163" s="2813">
        <f>AA163+Y163+W163+V163+AB163+X163</f>
        <v>0</v>
      </c>
      <c r="AG163" s="2818"/>
      <c r="AH163" s="2813">
        <f t="shared" si="70"/>
        <v>0</v>
      </c>
      <c r="AI163" s="2900"/>
      <c r="AJ163" s="2818"/>
      <c r="AK163" s="2818"/>
      <c r="AL163" s="2817"/>
      <c r="AM163" s="2818"/>
      <c r="AN163" s="2818"/>
      <c r="AO163" s="2818"/>
      <c r="AP163" s="2818"/>
      <c r="AQ163" s="2818"/>
      <c r="AR163" s="2818"/>
      <c r="AS163" s="2818"/>
      <c r="AT163" s="2818"/>
      <c r="AU163" s="2818"/>
      <c r="AV163" s="2818"/>
      <c r="AW163" s="2818"/>
      <c r="AX163" s="2818"/>
      <c r="AY163" s="2818"/>
      <c r="AZ163" s="2818"/>
      <c r="BA163" s="2818">
        <f t="shared" si="39"/>
        <v>0</v>
      </c>
      <c r="BB163" s="2818">
        <f t="shared" si="40"/>
        <v>0</v>
      </c>
      <c r="BD163" s="2800">
        <f t="shared" si="60"/>
        <v>0</v>
      </c>
      <c r="BE163" s="2800">
        <f t="shared" si="61"/>
        <v>0</v>
      </c>
      <c r="BF163" s="2800">
        <f t="shared" si="41"/>
        <v>0</v>
      </c>
    </row>
    <row r="164" spans="2:58" ht="63.6" hidden="1" customHeight="1" x14ac:dyDescent="0.2">
      <c r="B164" s="4207"/>
      <c r="C164" s="4229" t="s">
        <v>1130</v>
      </c>
      <c r="D164" s="4230"/>
      <c r="E164" s="2814">
        <f>SUM(E155:E162)</f>
        <v>0</v>
      </c>
      <c r="F164" s="2814"/>
      <c r="G164" s="2814">
        <f t="shared" ref="G164:T164" si="71">SUM(G155:G162)</f>
        <v>0</v>
      </c>
      <c r="H164" s="2814">
        <f t="shared" si="71"/>
        <v>0</v>
      </c>
      <c r="I164" s="2814">
        <f t="shared" si="71"/>
        <v>0</v>
      </c>
      <c r="J164" s="2814">
        <f t="shared" si="71"/>
        <v>0</v>
      </c>
      <c r="K164" s="2814">
        <f t="shared" si="71"/>
        <v>0</v>
      </c>
      <c r="L164" s="2814">
        <f t="shared" si="71"/>
        <v>0</v>
      </c>
      <c r="M164" s="2814">
        <f t="shared" si="71"/>
        <v>0</v>
      </c>
      <c r="N164" s="2814">
        <f t="shared" si="71"/>
        <v>0</v>
      </c>
      <c r="O164" s="2814">
        <f t="shared" si="71"/>
        <v>0</v>
      </c>
      <c r="P164" s="2814">
        <f t="shared" si="71"/>
        <v>0</v>
      </c>
      <c r="Q164" s="2814">
        <f t="shared" si="71"/>
        <v>0</v>
      </c>
      <c r="R164" s="2814">
        <f t="shared" si="71"/>
        <v>0</v>
      </c>
      <c r="S164" s="2814">
        <f t="shared" si="71"/>
        <v>0</v>
      </c>
      <c r="T164" s="2814">
        <f t="shared" si="71"/>
        <v>0</v>
      </c>
      <c r="U164" s="2813">
        <f>N164+L164+K164+J164+I164+M164+S164+T164</f>
        <v>0</v>
      </c>
      <c r="V164" s="2814">
        <f t="shared" ref="V164:AG164" si="72">SUM(V155:V162)</f>
        <v>0</v>
      </c>
      <c r="W164" s="2814">
        <f t="shared" si="72"/>
        <v>0</v>
      </c>
      <c r="X164" s="2814">
        <f t="shared" si="72"/>
        <v>0</v>
      </c>
      <c r="Y164" s="2814">
        <f t="shared" si="72"/>
        <v>0</v>
      </c>
      <c r="Z164" s="2814">
        <f t="shared" si="72"/>
        <v>0</v>
      </c>
      <c r="AA164" s="2814">
        <f t="shared" si="72"/>
        <v>0</v>
      </c>
      <c r="AB164" s="2814">
        <f t="shared" si="72"/>
        <v>0</v>
      </c>
      <c r="AC164" s="2814">
        <f t="shared" si="72"/>
        <v>0</v>
      </c>
      <c r="AD164" s="2814">
        <f t="shared" si="72"/>
        <v>0</v>
      </c>
      <c r="AE164" s="2814">
        <f t="shared" si="72"/>
        <v>0</v>
      </c>
      <c r="AF164" s="2814">
        <f t="shared" si="72"/>
        <v>0</v>
      </c>
      <c r="AG164" s="2814">
        <f t="shared" si="72"/>
        <v>0</v>
      </c>
      <c r="AH164" s="2813">
        <f t="shared" si="70"/>
        <v>0</v>
      </c>
      <c r="AI164" s="2814">
        <f t="shared" ref="AI164:AN164" si="73">SUM(AI155:AI162)</f>
        <v>0</v>
      </c>
      <c r="AJ164" s="2814">
        <f t="shared" si="73"/>
        <v>0</v>
      </c>
      <c r="AK164" s="2814">
        <f t="shared" si="73"/>
        <v>0</v>
      </c>
      <c r="AL164" s="2814">
        <f t="shared" si="73"/>
        <v>14470000000</v>
      </c>
      <c r="AM164" s="2814">
        <f t="shared" si="73"/>
        <v>0</v>
      </c>
      <c r="AN164" s="2814">
        <f t="shared" si="73"/>
        <v>0</v>
      </c>
      <c r="AO164" s="2818"/>
      <c r="AP164" s="2818"/>
      <c r="AQ164" s="2818"/>
      <c r="AR164" s="2818"/>
      <c r="AS164" s="2818"/>
      <c r="AT164" s="2818"/>
      <c r="AU164" s="2818"/>
      <c r="AV164" s="2818"/>
      <c r="AW164" s="2818"/>
      <c r="AX164" s="2818"/>
      <c r="AY164" s="2818"/>
      <c r="AZ164" s="2818"/>
      <c r="BA164" s="2818">
        <f t="shared" si="39"/>
        <v>0</v>
      </c>
      <c r="BB164" s="2818">
        <f t="shared" si="40"/>
        <v>0</v>
      </c>
      <c r="BD164" s="2800">
        <f t="shared" si="60"/>
        <v>0</v>
      </c>
      <c r="BE164" s="2800">
        <f t="shared" si="61"/>
        <v>0</v>
      </c>
      <c r="BF164" s="2800">
        <f t="shared" si="41"/>
        <v>0</v>
      </c>
    </row>
    <row r="165" spans="2:58" ht="63.6" hidden="1" customHeight="1" x14ac:dyDescent="0.2">
      <c r="B165" s="4210" t="s">
        <v>294</v>
      </c>
      <c r="C165" s="4210"/>
      <c r="D165" s="4210"/>
      <c r="E165" s="4211"/>
      <c r="F165" s="4211"/>
      <c r="G165" s="4211"/>
      <c r="H165" s="4211"/>
      <c r="I165" s="4211"/>
      <c r="J165" s="4211"/>
      <c r="K165" s="4211"/>
      <c r="L165" s="4211"/>
      <c r="M165" s="4211"/>
      <c r="N165" s="4211"/>
      <c r="O165" s="4211"/>
      <c r="P165" s="4211"/>
      <c r="Q165" s="4211"/>
      <c r="R165" s="4211"/>
      <c r="S165" s="4211"/>
      <c r="T165" s="4211"/>
      <c r="U165" s="4211"/>
      <c r="V165" s="4211"/>
      <c r="W165" s="4211"/>
      <c r="X165" s="4211"/>
      <c r="Y165" s="4211"/>
      <c r="Z165" s="4211"/>
      <c r="AA165" s="4211"/>
      <c r="AB165" s="4211"/>
      <c r="AC165" s="4211"/>
      <c r="AD165" s="4211"/>
      <c r="AE165" s="4211"/>
      <c r="AF165" s="4211"/>
      <c r="AG165" s="4211"/>
      <c r="AH165" s="4211"/>
      <c r="AI165" s="4211"/>
      <c r="AJ165" s="4211"/>
      <c r="AK165" s="4211"/>
      <c r="AL165" s="4211"/>
      <c r="AM165" s="4211"/>
      <c r="AN165" s="4212"/>
      <c r="AO165" s="2895"/>
      <c r="AP165" s="2895"/>
      <c r="AQ165" s="2895"/>
      <c r="AR165" s="2895"/>
      <c r="AS165" s="2895"/>
      <c r="AT165" s="2895"/>
      <c r="AU165" s="2895"/>
      <c r="AV165" s="2895"/>
      <c r="AW165" s="2895"/>
      <c r="AX165" s="2895"/>
      <c r="AY165" s="2895"/>
      <c r="AZ165" s="2895"/>
      <c r="BA165" s="2818">
        <f t="shared" si="39"/>
        <v>0</v>
      </c>
      <c r="BB165" s="2818">
        <f t="shared" si="40"/>
        <v>0</v>
      </c>
      <c r="BD165" s="2800">
        <f t="shared" si="60"/>
        <v>0</v>
      </c>
      <c r="BE165" s="2800">
        <f t="shared" si="61"/>
        <v>0</v>
      </c>
      <c r="BF165" s="2800">
        <f t="shared" si="41"/>
        <v>0</v>
      </c>
    </row>
    <row r="166" spans="2:58" ht="58.15" customHeight="1" x14ac:dyDescent="0.2">
      <c r="B166" s="4207" t="s">
        <v>421</v>
      </c>
      <c r="C166" s="2896">
        <v>1307002080</v>
      </c>
      <c r="D166" s="2901" t="s">
        <v>418</v>
      </c>
      <c r="E166" s="2822">
        <f>'يادداشت 15سایر درآمد ها و انتقا'!P34</f>
        <v>0</v>
      </c>
      <c r="F166" s="2822"/>
      <c r="G166" s="2822"/>
      <c r="H166" s="2822">
        <f>SUM(E166:G166)</f>
        <v>0</v>
      </c>
      <c r="I166" s="2822">
        <f>'یادداشت 7 دارایییی اصلاحی'!J410</f>
        <v>0</v>
      </c>
      <c r="J166" s="2822">
        <f>'يادداشت_-5موجودی_جنسی__(2)'!F76</f>
        <v>0</v>
      </c>
      <c r="K166" s="2822">
        <f>'پيش پرداخت سرمايه اي يادداشت 6'!H130</f>
        <v>0</v>
      </c>
      <c r="L166" s="2822"/>
      <c r="M166" s="2822"/>
      <c r="N166" s="2822">
        <f>R166+Q166</f>
        <v>0</v>
      </c>
      <c r="O166" s="2822"/>
      <c r="P166" s="2822"/>
      <c r="Q166" s="2822"/>
      <c r="R166" s="2822"/>
      <c r="S166" s="2822"/>
      <c r="T166" s="2822"/>
      <c r="U166" s="2822">
        <f>N166+L166+K166+J166+I166+M166+S166</f>
        <v>0</v>
      </c>
      <c r="V166" s="2822"/>
      <c r="W166" s="2822">
        <f>-35083999411</f>
        <v>-35083999411</v>
      </c>
      <c r="X166" s="2822"/>
      <c r="Y166" s="2822"/>
      <c r="Z166" s="2822"/>
      <c r="AA166" s="2822"/>
      <c r="AB166" s="2822"/>
      <c r="AC166" s="2822">
        <f>(H166-AI166)-AG166</f>
        <v>35083999411</v>
      </c>
      <c r="AD166" s="2822"/>
      <c r="AE166" s="2822">
        <f>SUM(V166:AD166)</f>
        <v>0</v>
      </c>
      <c r="AF166" s="2822">
        <f>AA166+Y166+W166+V166+AB166+X166</f>
        <v>-35083999411</v>
      </c>
      <c r="AG166" s="2822">
        <f>U166+AF166</f>
        <v>-35083999411</v>
      </c>
      <c r="AH166" s="2822">
        <f>H166-AI166</f>
        <v>0</v>
      </c>
      <c r="AI166" s="2822"/>
      <c r="AJ166" s="2902"/>
      <c r="AK166" s="2902"/>
      <c r="AL166" s="2822"/>
      <c r="AM166" s="2822">
        <f>AH166-AK166</f>
        <v>0</v>
      </c>
      <c r="AN166" s="2822">
        <f t="shared" ref="AN166:AN192" si="74">AK166-AH166</f>
        <v>0</v>
      </c>
      <c r="AO166" s="2851"/>
      <c r="AP166" s="2851"/>
      <c r="AQ166" s="2851"/>
      <c r="AR166" s="2851"/>
      <c r="AS166" s="2851"/>
      <c r="AT166" s="2851"/>
      <c r="AU166" s="2851"/>
      <c r="AV166" s="2851"/>
      <c r="AW166" s="2851"/>
      <c r="AX166" s="2851"/>
      <c r="AY166" s="2851"/>
      <c r="AZ166" s="2851"/>
      <c r="BA166" s="2818">
        <f t="shared" si="39"/>
        <v>0</v>
      </c>
      <c r="BB166" s="2818">
        <f t="shared" si="40"/>
        <v>0</v>
      </c>
      <c r="BD166" s="2800">
        <f t="shared" si="60"/>
        <v>0</v>
      </c>
      <c r="BE166" s="2800">
        <f t="shared" si="61"/>
        <v>0</v>
      </c>
      <c r="BF166" s="2800">
        <f t="shared" si="41"/>
        <v>0</v>
      </c>
    </row>
    <row r="167" spans="2:58" ht="58.15" customHeight="1" x14ac:dyDescent="0.2">
      <c r="B167" s="4207"/>
      <c r="C167" s="2896" t="s">
        <v>1016</v>
      </c>
      <c r="D167" s="2901" t="s">
        <v>110</v>
      </c>
      <c r="E167" s="2822"/>
      <c r="F167" s="2822"/>
      <c r="G167" s="2822">
        <v>0</v>
      </c>
      <c r="H167" s="2822">
        <f t="shared" ref="H167:H189" si="75">SUM(E167:G167)</f>
        <v>0</v>
      </c>
      <c r="I167" s="2822">
        <f>'یادداشت 7 دارایییی اصلاحی'!J427</f>
        <v>0</v>
      </c>
      <c r="J167" s="2822"/>
      <c r="K167" s="2822"/>
      <c r="L167" s="2822">
        <v>0</v>
      </c>
      <c r="M167" s="2822"/>
      <c r="N167" s="2822">
        <f t="shared" ref="N167:N192" si="76">R167+Q167</f>
        <v>87945413335</v>
      </c>
      <c r="O167" s="2822">
        <v>0</v>
      </c>
      <c r="P167" s="2822">
        <v>0</v>
      </c>
      <c r="Q167" s="2822"/>
      <c r="R167" s="2822">
        <f>-'يادداشت 1-1-10 حسابهاي پرداخخخ '!L202</f>
        <v>87945413335</v>
      </c>
      <c r="S167" s="2822"/>
      <c r="T167" s="2822"/>
      <c r="U167" s="2822">
        <f t="shared" ref="U167:U192" si="77">N167+L167+K167+J167+I167+M167+S167</f>
        <v>87945413335</v>
      </c>
      <c r="V167" s="2822">
        <v>0</v>
      </c>
      <c r="W167" s="2822"/>
      <c r="X167" s="2822"/>
      <c r="Y167" s="2822">
        <f>-'يادداشت 14وجوه ساير (2)'!H16</f>
        <v>-41033000000</v>
      </c>
      <c r="Z167" s="2822">
        <v>0</v>
      </c>
      <c r="AA167" s="2822">
        <v>0</v>
      </c>
      <c r="AB167" s="2822">
        <v>0</v>
      </c>
      <c r="AC167" s="2822">
        <f t="shared" ref="AC167:AC192" si="78">(H167-AI167)-AG167</f>
        <v>-46912413335</v>
      </c>
      <c r="AD167" s="2822"/>
      <c r="AE167" s="2822">
        <f t="shared" ref="AE167:AE192" si="79">SUM(V167:AD167)</f>
        <v>-87945413335</v>
      </c>
      <c r="AF167" s="2822">
        <f t="shared" ref="AF167:AF192" si="80">AA167+Y167+W167+V167+AB167+X167</f>
        <v>-41033000000</v>
      </c>
      <c r="AG167" s="2822">
        <f t="shared" ref="AG167:AG192" si="81">U167+AF167</f>
        <v>46912413335</v>
      </c>
      <c r="AH167" s="2822">
        <f t="shared" ref="AH167:AH192" si="82">H167-AI167</f>
        <v>0</v>
      </c>
      <c r="AI167" s="2822"/>
      <c r="AJ167" s="2822"/>
      <c r="AK167" s="2822"/>
      <c r="AL167" s="2822">
        <v>0</v>
      </c>
      <c r="AM167" s="2822">
        <f>AH167-AK167</f>
        <v>0</v>
      </c>
      <c r="AN167" s="2822">
        <f t="shared" si="74"/>
        <v>0</v>
      </c>
      <c r="AO167" s="2851"/>
      <c r="AP167" s="2851"/>
      <c r="AQ167" s="2851"/>
      <c r="AR167" s="2851"/>
      <c r="AS167" s="2851"/>
      <c r="AT167" s="2851"/>
      <c r="AU167" s="2851"/>
      <c r="AV167" s="2851"/>
      <c r="AW167" s="2851"/>
      <c r="AX167" s="2851"/>
      <c r="AY167" s="2851"/>
      <c r="AZ167" s="2851"/>
      <c r="BA167" s="2818">
        <f t="shared" si="39"/>
        <v>0</v>
      </c>
      <c r="BB167" s="2818">
        <f t="shared" si="40"/>
        <v>0</v>
      </c>
      <c r="BD167" s="2800">
        <f t="shared" si="60"/>
        <v>0</v>
      </c>
      <c r="BE167" s="2800">
        <f t="shared" si="61"/>
        <v>0</v>
      </c>
      <c r="BF167" s="2800">
        <f t="shared" si="41"/>
        <v>0</v>
      </c>
    </row>
    <row r="168" spans="2:58" ht="93.6" customHeight="1" x14ac:dyDescent="0.2">
      <c r="B168" s="4207"/>
      <c r="C168" s="2896" t="s">
        <v>610</v>
      </c>
      <c r="D168" s="2901" t="s">
        <v>596</v>
      </c>
      <c r="E168" s="2822">
        <f>'يادداشت 15سایر درآمد ها و انتقا'!P33</f>
        <v>0</v>
      </c>
      <c r="F168" s="2822"/>
      <c r="G168" s="2822"/>
      <c r="H168" s="2822">
        <f t="shared" si="75"/>
        <v>0</v>
      </c>
      <c r="I168" s="2822">
        <f>'یادداشت 7 دارایییی اصلاحی'!J449</f>
        <v>12197208384</v>
      </c>
      <c r="J168" s="2822"/>
      <c r="K168" s="2822">
        <f>'پيش پرداخت سرمايه اي يادداشت 6'!H127</f>
        <v>0</v>
      </c>
      <c r="L168" s="2822"/>
      <c r="M168" s="2822"/>
      <c r="N168" s="2822">
        <f t="shared" si="76"/>
        <v>0</v>
      </c>
      <c r="O168" s="2822"/>
      <c r="P168" s="2822"/>
      <c r="Q168" s="2822"/>
      <c r="R168" s="2822"/>
      <c r="S168" s="2822"/>
      <c r="T168" s="2822"/>
      <c r="U168" s="2822">
        <f t="shared" si="77"/>
        <v>12197208384</v>
      </c>
      <c r="V168" s="2822"/>
      <c r="W168" s="2822">
        <f>-10171765314</f>
        <v>-10171765314</v>
      </c>
      <c r="X168" s="2822"/>
      <c r="Y168" s="2822" cm="1">
        <f t="array" ref="Y168:Z168">-'يادداشت 15سایر درآمد ها و انتقا'!H33:I33</f>
        <v>-10000000000</v>
      </c>
      <c r="Z168" s="2822">
        <v>0</v>
      </c>
      <c r="AA168" s="2822"/>
      <c r="AB168" s="2822"/>
      <c r="AC168" s="2822">
        <f t="shared" si="78"/>
        <v>7974556930</v>
      </c>
      <c r="AD168" s="2822"/>
      <c r="AE168" s="2822">
        <f t="shared" si="79"/>
        <v>-12197208384</v>
      </c>
      <c r="AF168" s="2822">
        <f t="shared" si="80"/>
        <v>-20171765314</v>
      </c>
      <c r="AG168" s="2822">
        <f t="shared" si="81"/>
        <v>-7974556930</v>
      </c>
      <c r="AH168" s="2822">
        <f t="shared" si="82"/>
        <v>0</v>
      </c>
      <c r="AI168" s="2822"/>
      <c r="AJ168" s="2822"/>
      <c r="AK168" s="2822"/>
      <c r="AL168" s="2822">
        <v>30000000000</v>
      </c>
      <c r="AM168" s="2822"/>
      <c r="AN168" s="2822">
        <f t="shared" si="74"/>
        <v>0</v>
      </c>
      <c r="AO168" s="2851"/>
      <c r="AP168" s="2851"/>
      <c r="AQ168" s="2851"/>
      <c r="AR168" s="2851"/>
      <c r="AS168" s="2851"/>
      <c r="AT168" s="2851"/>
      <c r="AU168" s="2851"/>
      <c r="AV168" s="2851"/>
      <c r="AW168" s="2851"/>
      <c r="AX168" s="2851"/>
      <c r="AY168" s="2851"/>
      <c r="AZ168" s="2851"/>
      <c r="BA168" s="2818">
        <f t="shared" si="39"/>
        <v>0</v>
      </c>
      <c r="BB168" s="2818">
        <f t="shared" si="40"/>
        <v>0</v>
      </c>
      <c r="BF168" s="2800">
        <f t="shared" si="41"/>
        <v>0</v>
      </c>
    </row>
    <row r="169" spans="2:58" ht="63.6" hidden="1" customHeight="1" x14ac:dyDescent="0.2">
      <c r="B169" s="4207"/>
      <c r="C169" s="2903" t="s">
        <v>292</v>
      </c>
      <c r="D169" s="2904" t="s">
        <v>1079</v>
      </c>
      <c r="E169" s="2822"/>
      <c r="F169" s="2822"/>
      <c r="G169" s="2822"/>
      <c r="H169" s="2822">
        <f t="shared" si="75"/>
        <v>0</v>
      </c>
      <c r="I169" s="2822"/>
      <c r="J169" s="2822"/>
      <c r="K169" s="2822"/>
      <c r="L169" s="2822"/>
      <c r="M169" s="2822"/>
      <c r="N169" s="2822">
        <f t="shared" si="76"/>
        <v>0</v>
      </c>
      <c r="O169" s="2822"/>
      <c r="P169" s="2822"/>
      <c r="Q169" s="2822"/>
      <c r="R169" s="2822"/>
      <c r="S169" s="2822"/>
      <c r="T169" s="2822"/>
      <c r="U169" s="2822">
        <f t="shared" si="77"/>
        <v>0</v>
      </c>
      <c r="V169" s="2822"/>
      <c r="W169" s="2822"/>
      <c r="X169" s="2822"/>
      <c r="Y169" s="2822"/>
      <c r="Z169" s="2822"/>
      <c r="AA169" s="2822"/>
      <c r="AB169" s="2822"/>
      <c r="AC169" s="2822">
        <f t="shared" si="78"/>
        <v>0</v>
      </c>
      <c r="AD169" s="2822"/>
      <c r="AE169" s="2822">
        <f t="shared" si="79"/>
        <v>0</v>
      </c>
      <c r="AF169" s="2822">
        <f t="shared" si="80"/>
        <v>0</v>
      </c>
      <c r="AG169" s="2822">
        <f t="shared" si="81"/>
        <v>0</v>
      </c>
      <c r="AH169" s="2822">
        <f t="shared" si="82"/>
        <v>0</v>
      </c>
      <c r="AI169" s="2822"/>
      <c r="AJ169" s="2822"/>
      <c r="AK169" s="2822"/>
      <c r="AL169" s="2822"/>
      <c r="AM169" s="2822">
        <f>AH169-AK169</f>
        <v>0</v>
      </c>
      <c r="AN169" s="2822">
        <f t="shared" si="74"/>
        <v>0</v>
      </c>
      <c r="AO169" s="2851"/>
      <c r="AP169" s="2851"/>
      <c r="AQ169" s="2851"/>
      <c r="AR169" s="2851"/>
      <c r="AS169" s="2851"/>
      <c r="AT169" s="2851"/>
      <c r="AU169" s="2851"/>
      <c r="AV169" s="2851"/>
      <c r="AW169" s="2851"/>
      <c r="AX169" s="2851"/>
      <c r="AY169" s="2851"/>
      <c r="AZ169" s="2851"/>
      <c r="BA169" s="2818">
        <f t="shared" si="39"/>
        <v>0</v>
      </c>
      <c r="BB169" s="2818">
        <f t="shared" si="40"/>
        <v>0</v>
      </c>
      <c r="BD169" s="2800">
        <f t="shared" ref="BD169:BD195" si="83">U169+AE169+AI169</f>
        <v>0</v>
      </c>
      <c r="BE169" s="2800">
        <f t="shared" ref="BE169:BE195" si="84">E169-BD169</f>
        <v>0</v>
      </c>
      <c r="BF169" s="2800">
        <f t="shared" si="41"/>
        <v>0</v>
      </c>
    </row>
    <row r="170" spans="2:58" ht="84" hidden="1" customHeight="1" x14ac:dyDescent="0.2">
      <c r="B170" s="4207"/>
      <c r="C170" s="2954" t="s">
        <v>642</v>
      </c>
      <c r="D170" s="2905" t="s">
        <v>631</v>
      </c>
      <c r="E170" s="2822">
        <f>'يادداشت 14وجوه ساير (2)'!H24</f>
        <v>0</v>
      </c>
      <c r="F170" s="2822"/>
      <c r="G170" s="2822"/>
      <c r="H170" s="2822">
        <f t="shared" si="75"/>
        <v>0</v>
      </c>
      <c r="I170" s="2822">
        <f>'یادداشت 7 دارایییی اصلاحی'!J452</f>
        <v>0</v>
      </c>
      <c r="J170" s="2822"/>
      <c r="K170" s="2822"/>
      <c r="L170" s="2822"/>
      <c r="M170" s="2822"/>
      <c r="N170" s="2822">
        <f t="shared" si="76"/>
        <v>0</v>
      </c>
      <c r="O170" s="2822"/>
      <c r="P170" s="2822"/>
      <c r="Q170" s="2822"/>
      <c r="R170" s="2822"/>
      <c r="S170" s="2822"/>
      <c r="T170" s="2822"/>
      <c r="U170" s="2822">
        <f t="shared" si="77"/>
        <v>0</v>
      </c>
      <c r="V170" s="2822"/>
      <c r="W170" s="2822">
        <v>0</v>
      </c>
      <c r="X170" s="2822"/>
      <c r="Y170" s="2822"/>
      <c r="Z170" s="2822"/>
      <c r="AA170" s="2822"/>
      <c r="AB170" s="2822"/>
      <c r="AC170" s="2822">
        <f t="shared" si="78"/>
        <v>0</v>
      </c>
      <c r="AD170" s="2822"/>
      <c r="AE170" s="2822">
        <f t="shared" si="79"/>
        <v>0</v>
      </c>
      <c r="AF170" s="2822">
        <f t="shared" si="80"/>
        <v>0</v>
      </c>
      <c r="AG170" s="2822">
        <f t="shared" si="81"/>
        <v>0</v>
      </c>
      <c r="AH170" s="2822">
        <f t="shared" si="82"/>
        <v>0</v>
      </c>
      <c r="AI170" s="2822"/>
      <c r="AJ170" s="2822"/>
      <c r="AK170" s="2822"/>
      <c r="AL170" s="2822"/>
      <c r="AM170" s="2822"/>
      <c r="AN170" s="2822">
        <f t="shared" si="74"/>
        <v>0</v>
      </c>
      <c r="AO170" s="2851"/>
      <c r="AP170" s="2851"/>
      <c r="AQ170" s="2851"/>
      <c r="AR170" s="2851"/>
      <c r="AS170" s="2851"/>
      <c r="AT170" s="2851"/>
      <c r="AU170" s="2851"/>
      <c r="AV170" s="2851"/>
      <c r="AW170" s="2851"/>
      <c r="AX170" s="2851"/>
      <c r="AY170" s="2851"/>
      <c r="AZ170" s="2851"/>
      <c r="BA170" s="2818">
        <f t="shared" si="39"/>
        <v>0</v>
      </c>
      <c r="BB170" s="2818">
        <f t="shared" si="40"/>
        <v>0</v>
      </c>
      <c r="BD170" s="2800">
        <f t="shared" si="83"/>
        <v>0</v>
      </c>
      <c r="BE170" s="2800">
        <f t="shared" si="84"/>
        <v>0</v>
      </c>
      <c r="BF170" s="2800">
        <f t="shared" si="41"/>
        <v>0</v>
      </c>
    </row>
    <row r="171" spans="2:58" ht="63.6" customHeight="1" x14ac:dyDescent="0.2">
      <c r="B171" s="4207"/>
      <c r="C171" s="2896" t="s">
        <v>624</v>
      </c>
      <c r="D171" s="2906" t="s">
        <v>600</v>
      </c>
      <c r="E171" s="2813"/>
      <c r="F171" s="2813"/>
      <c r="G171" s="2813"/>
      <c r="H171" s="2822">
        <f t="shared" si="75"/>
        <v>0</v>
      </c>
      <c r="I171" s="2813">
        <f>'یادداشت 7 دارایییی اصلاحی'!J450</f>
        <v>16199762792</v>
      </c>
      <c r="J171" s="2813"/>
      <c r="K171" s="2813">
        <f>'پيش پرداخت سرمايه اي يادداشت 6'!H126</f>
        <v>0</v>
      </c>
      <c r="L171" s="2813"/>
      <c r="M171" s="2813"/>
      <c r="N171" s="2822">
        <f t="shared" si="76"/>
        <v>0</v>
      </c>
      <c r="O171" s="2813"/>
      <c r="P171" s="2813"/>
      <c r="Q171" s="2813"/>
      <c r="R171" s="2813"/>
      <c r="S171" s="2813"/>
      <c r="T171" s="2813"/>
      <c r="U171" s="2822">
        <f t="shared" si="77"/>
        <v>16199762792</v>
      </c>
      <c r="V171" s="2813"/>
      <c r="W171" s="2813">
        <f>-3111706008</f>
        <v>-3111706008</v>
      </c>
      <c r="X171" s="2813"/>
      <c r="Y171" s="2813">
        <f>-'يادداشت 14وجوه ساير (2)'!H17</f>
        <v>-20801500000</v>
      </c>
      <c r="Z171" s="2813"/>
      <c r="AA171" s="2813"/>
      <c r="AB171" s="2813"/>
      <c r="AC171" s="2822">
        <f t="shared" si="78"/>
        <v>7713443216</v>
      </c>
      <c r="AD171" s="2822"/>
      <c r="AE171" s="2822">
        <f t="shared" si="79"/>
        <v>-16199762792</v>
      </c>
      <c r="AF171" s="2822">
        <f t="shared" si="80"/>
        <v>-23913206008</v>
      </c>
      <c r="AG171" s="2822">
        <f t="shared" si="81"/>
        <v>-7713443216</v>
      </c>
      <c r="AH171" s="2822">
        <f t="shared" si="82"/>
        <v>0</v>
      </c>
      <c r="AI171" s="2822"/>
      <c r="AJ171" s="2822"/>
      <c r="AK171" s="2822"/>
      <c r="AL171" s="2815"/>
      <c r="AM171" s="2822"/>
      <c r="AN171" s="2822">
        <f t="shared" si="74"/>
        <v>0</v>
      </c>
      <c r="AO171" s="2851"/>
      <c r="AP171" s="2851"/>
      <c r="AQ171" s="2851"/>
      <c r="AR171" s="2851"/>
      <c r="AS171" s="2851"/>
      <c r="AT171" s="2851"/>
      <c r="AU171" s="2851"/>
      <c r="AV171" s="2851"/>
      <c r="AW171" s="2851"/>
      <c r="AX171" s="2851"/>
      <c r="AY171" s="2851"/>
      <c r="AZ171" s="2851"/>
      <c r="BA171" s="2818">
        <f t="shared" si="39"/>
        <v>0</v>
      </c>
      <c r="BB171" s="2818">
        <f t="shared" si="40"/>
        <v>0</v>
      </c>
      <c r="BD171" s="2800">
        <f t="shared" si="83"/>
        <v>0</v>
      </c>
      <c r="BE171" s="2800">
        <f t="shared" si="84"/>
        <v>0</v>
      </c>
      <c r="BF171" s="2800">
        <f t="shared" si="41"/>
        <v>0</v>
      </c>
    </row>
    <row r="172" spans="2:58" ht="63.6" customHeight="1" x14ac:dyDescent="0.2">
      <c r="B172" s="4207"/>
      <c r="C172" s="2896" t="s">
        <v>625</v>
      </c>
      <c r="D172" s="2906" t="s">
        <v>601</v>
      </c>
      <c r="E172" s="2822"/>
      <c r="F172" s="2822"/>
      <c r="G172" s="2822"/>
      <c r="H172" s="2822">
        <f t="shared" si="75"/>
        <v>0</v>
      </c>
      <c r="I172" s="2822">
        <f>'یادداشت 7 دارایییی اصلاحی'!J451</f>
        <v>0</v>
      </c>
      <c r="J172" s="2822"/>
      <c r="K172" s="2822"/>
      <c r="L172" s="2822"/>
      <c r="M172" s="2822"/>
      <c r="N172" s="2822">
        <f t="shared" si="76"/>
        <v>0</v>
      </c>
      <c r="O172" s="2822"/>
      <c r="P172" s="2822"/>
      <c r="Q172" s="2822"/>
      <c r="R172" s="2822"/>
      <c r="S172" s="2822"/>
      <c r="T172" s="2822"/>
      <c r="U172" s="2822">
        <f t="shared" si="77"/>
        <v>0</v>
      </c>
      <c r="V172" s="2822"/>
      <c r="W172" s="2822">
        <f>-688634033</f>
        <v>-688634033</v>
      </c>
      <c r="X172" s="2822"/>
      <c r="Y172" s="2822"/>
      <c r="Z172" s="2822"/>
      <c r="AA172" s="2822"/>
      <c r="AB172" s="2822"/>
      <c r="AC172" s="2822">
        <f t="shared" si="78"/>
        <v>688634033</v>
      </c>
      <c r="AD172" s="2822"/>
      <c r="AE172" s="2822">
        <f t="shared" si="79"/>
        <v>0</v>
      </c>
      <c r="AF172" s="2822">
        <f t="shared" si="80"/>
        <v>-688634033</v>
      </c>
      <c r="AG172" s="2822">
        <f t="shared" si="81"/>
        <v>-688634033</v>
      </c>
      <c r="AH172" s="2822">
        <f t="shared" si="82"/>
        <v>0</v>
      </c>
      <c r="AI172" s="2822"/>
      <c r="AJ172" s="2822"/>
      <c r="AK172" s="2822"/>
      <c r="AL172" s="2822"/>
      <c r="AM172" s="2822"/>
      <c r="AN172" s="2822">
        <f t="shared" si="74"/>
        <v>0</v>
      </c>
      <c r="AO172" s="2851"/>
      <c r="AP172" s="2851"/>
      <c r="AQ172" s="2851"/>
      <c r="AR172" s="2851"/>
      <c r="AS172" s="2851"/>
      <c r="AT172" s="2851"/>
      <c r="AU172" s="2851"/>
      <c r="AV172" s="2851"/>
      <c r="AW172" s="2851"/>
      <c r="AX172" s="2851"/>
      <c r="AY172" s="2851"/>
      <c r="AZ172" s="2851"/>
      <c r="BA172" s="2818">
        <f t="shared" si="39"/>
        <v>0</v>
      </c>
      <c r="BB172" s="2818">
        <f t="shared" si="40"/>
        <v>0</v>
      </c>
      <c r="BD172" s="2800">
        <f t="shared" si="83"/>
        <v>0</v>
      </c>
      <c r="BE172" s="2800">
        <f t="shared" si="84"/>
        <v>0</v>
      </c>
      <c r="BF172" s="2800">
        <f t="shared" si="41"/>
        <v>0</v>
      </c>
    </row>
    <row r="173" spans="2:58" ht="1.1499999999999999" hidden="1" customHeight="1" x14ac:dyDescent="0.2">
      <c r="B173" s="4207"/>
      <c r="C173" s="2896" t="s">
        <v>677</v>
      </c>
      <c r="D173" s="2906" t="s">
        <v>676</v>
      </c>
      <c r="E173" s="2822"/>
      <c r="F173" s="2822"/>
      <c r="G173" s="2822"/>
      <c r="H173" s="2822">
        <f t="shared" si="75"/>
        <v>0</v>
      </c>
      <c r="I173" s="2822">
        <f>'یادداشت 7 دارایییی اصلاحی'!J448</f>
        <v>0</v>
      </c>
      <c r="J173" s="2822"/>
      <c r="K173" s="2822"/>
      <c r="L173" s="2822"/>
      <c r="M173" s="2822"/>
      <c r="N173" s="2822">
        <f t="shared" si="76"/>
        <v>0</v>
      </c>
      <c r="O173" s="2822"/>
      <c r="P173" s="2822"/>
      <c r="Q173" s="2822"/>
      <c r="R173" s="2822"/>
      <c r="S173" s="2822"/>
      <c r="T173" s="2822"/>
      <c r="U173" s="2822">
        <f t="shared" si="77"/>
        <v>0</v>
      </c>
      <c r="V173" s="2822"/>
      <c r="W173" s="2822">
        <v>0</v>
      </c>
      <c r="X173" s="2822"/>
      <c r="Y173" s="2822"/>
      <c r="Z173" s="2822"/>
      <c r="AA173" s="2822"/>
      <c r="AB173" s="2822"/>
      <c r="AC173" s="2822">
        <f t="shared" si="78"/>
        <v>0</v>
      </c>
      <c r="AD173" s="2822"/>
      <c r="AE173" s="2822">
        <f t="shared" si="79"/>
        <v>0</v>
      </c>
      <c r="AF173" s="2822">
        <f t="shared" si="80"/>
        <v>0</v>
      </c>
      <c r="AG173" s="2822">
        <f t="shared" si="81"/>
        <v>0</v>
      </c>
      <c r="AH173" s="2822">
        <f t="shared" si="82"/>
        <v>0</v>
      </c>
      <c r="AI173" s="2822"/>
      <c r="AJ173" s="2822"/>
      <c r="AK173" s="2822"/>
      <c r="AL173" s="2822"/>
      <c r="AM173" s="2822">
        <f>AH173-AK173</f>
        <v>0</v>
      </c>
      <c r="AN173" s="2822">
        <f t="shared" si="74"/>
        <v>0</v>
      </c>
      <c r="AO173" s="2851"/>
      <c r="AP173" s="2851"/>
      <c r="AQ173" s="2851"/>
      <c r="AR173" s="2851"/>
      <c r="AS173" s="2851"/>
      <c r="AT173" s="2851"/>
      <c r="AU173" s="2851"/>
      <c r="AV173" s="2851"/>
      <c r="AW173" s="2851"/>
      <c r="AX173" s="2851"/>
      <c r="AY173" s="2851"/>
      <c r="AZ173" s="2851"/>
      <c r="BA173" s="2818">
        <f t="shared" si="39"/>
        <v>0</v>
      </c>
      <c r="BB173" s="2818">
        <f t="shared" si="40"/>
        <v>0</v>
      </c>
      <c r="BD173" s="2800">
        <f t="shared" si="83"/>
        <v>0</v>
      </c>
      <c r="BE173" s="2800">
        <f t="shared" si="84"/>
        <v>0</v>
      </c>
      <c r="BF173" s="2800">
        <f t="shared" si="41"/>
        <v>0</v>
      </c>
    </row>
    <row r="174" spans="2:58" ht="106.9" customHeight="1" x14ac:dyDescent="0.2">
      <c r="B174" s="4207"/>
      <c r="C174" s="2896" t="s">
        <v>622</v>
      </c>
      <c r="D174" s="2906" t="s">
        <v>620</v>
      </c>
      <c r="E174" s="2822"/>
      <c r="F174" s="2822"/>
      <c r="G174" s="2822"/>
      <c r="H174" s="2822">
        <f t="shared" si="75"/>
        <v>0</v>
      </c>
      <c r="I174" s="2822">
        <f>'یادداشت 7 دارایییی اصلاحی'!J442</f>
        <v>0</v>
      </c>
      <c r="J174" s="2822">
        <f>'يادداشت_-5موجودی_جنسی__(2)'!F78</f>
        <v>10171007000</v>
      </c>
      <c r="K174" s="2822"/>
      <c r="L174" s="2822"/>
      <c r="M174" s="2822"/>
      <c r="N174" s="2822">
        <f t="shared" si="76"/>
        <v>0</v>
      </c>
      <c r="O174" s="2822"/>
      <c r="P174" s="2822"/>
      <c r="Q174" s="2822"/>
      <c r="R174" s="2822"/>
      <c r="S174" s="2822"/>
      <c r="T174" s="2822"/>
      <c r="U174" s="2822">
        <f t="shared" si="77"/>
        <v>10171007000</v>
      </c>
      <c r="V174" s="2822"/>
      <c r="W174" s="2822" cm="1">
        <f t="array" ref="W174:X174">-'ي_3_موجودي_نقد '!J303:K303</f>
        <v>-26547292714</v>
      </c>
      <c r="X174" s="2822">
        <v>0</v>
      </c>
      <c r="Y174" s="2822">
        <f>-'يادداشت 14وجوه ساير (2)'!H21</f>
        <v>-76264910293</v>
      </c>
      <c r="Z174" s="2822"/>
      <c r="AA174" s="2822"/>
      <c r="AB174" s="2822"/>
      <c r="AC174" s="2822">
        <f t="shared" si="78"/>
        <v>92552269260</v>
      </c>
      <c r="AD174" s="2822"/>
      <c r="AE174" s="2822">
        <f t="shared" si="79"/>
        <v>-10259933747</v>
      </c>
      <c r="AF174" s="2822">
        <f t="shared" si="80"/>
        <v>-102812203007</v>
      </c>
      <c r="AG174" s="2822">
        <f t="shared" si="81"/>
        <v>-92641196007</v>
      </c>
      <c r="AH174" s="2822">
        <f t="shared" si="82"/>
        <v>-88926747</v>
      </c>
      <c r="AI174" s="2822">
        <f>'ي_3_موجودي_نقد '!I303</f>
        <v>88926747</v>
      </c>
      <c r="AJ174" s="2822"/>
      <c r="AK174" s="2822"/>
      <c r="AL174" s="2822">
        <v>161000000000</v>
      </c>
      <c r="AM174" s="2822"/>
      <c r="AN174" s="2822">
        <f t="shared" si="74"/>
        <v>88926747</v>
      </c>
      <c r="AO174" s="2851"/>
      <c r="AP174" s="2851"/>
      <c r="AQ174" s="2851"/>
      <c r="AR174" s="2851"/>
      <c r="AS174" s="2851"/>
      <c r="AT174" s="2851"/>
      <c r="AU174" s="2851"/>
      <c r="AV174" s="2851"/>
      <c r="AW174" s="2851"/>
      <c r="AX174" s="2851"/>
      <c r="AY174" s="2851"/>
      <c r="AZ174" s="2851"/>
      <c r="BA174" s="2818">
        <f t="shared" si="39"/>
        <v>-88926747</v>
      </c>
      <c r="BB174" s="2818">
        <f t="shared" si="40"/>
        <v>0</v>
      </c>
      <c r="BD174" s="2800">
        <f t="shared" si="83"/>
        <v>0</v>
      </c>
      <c r="BE174" s="2800">
        <f t="shared" si="84"/>
        <v>0</v>
      </c>
      <c r="BF174" s="2800">
        <f t="shared" si="41"/>
        <v>-88926747</v>
      </c>
    </row>
    <row r="175" spans="2:58" ht="106.9" customHeight="1" x14ac:dyDescent="0.2">
      <c r="B175" s="4207"/>
      <c r="C175" s="2809">
        <v>1307002010</v>
      </c>
      <c r="D175" s="2810" t="s">
        <v>203</v>
      </c>
      <c r="E175" s="2813"/>
      <c r="F175" s="2813"/>
      <c r="G175" s="2813">
        <v>0</v>
      </c>
      <c r="H175" s="2822">
        <f t="shared" si="75"/>
        <v>0</v>
      </c>
      <c r="I175" s="2813">
        <f>'یادداشت 7 دارایییی اصلاحی'!J414</f>
        <v>10306794977</v>
      </c>
      <c r="J175" s="2813"/>
      <c r="K175" s="2813"/>
      <c r="L175" s="2813">
        <v>0</v>
      </c>
      <c r="M175" s="2813">
        <v>0</v>
      </c>
      <c r="N175" s="2822">
        <f t="shared" si="76"/>
        <v>0</v>
      </c>
      <c r="O175" s="2813"/>
      <c r="P175" s="2813"/>
      <c r="Q175" s="2813"/>
      <c r="R175" s="2813"/>
      <c r="S175" s="2813"/>
      <c r="T175" s="2813"/>
      <c r="U175" s="2822">
        <f t="shared" si="77"/>
        <v>10306794977</v>
      </c>
      <c r="V175" s="2813"/>
      <c r="W175" s="2813">
        <v>0</v>
      </c>
      <c r="X175" s="2813"/>
      <c r="Y175" s="2813"/>
      <c r="Z175" s="2813"/>
      <c r="AA175" s="2813"/>
      <c r="AB175" s="2813"/>
      <c r="AC175" s="2822">
        <f t="shared" si="78"/>
        <v>-10306794977</v>
      </c>
      <c r="AD175" s="2822"/>
      <c r="AE175" s="2822">
        <f t="shared" si="79"/>
        <v>-10306794977</v>
      </c>
      <c r="AF175" s="2822">
        <f t="shared" si="80"/>
        <v>0</v>
      </c>
      <c r="AG175" s="2822">
        <f t="shared" si="81"/>
        <v>10306794977</v>
      </c>
      <c r="AH175" s="2822">
        <f t="shared" si="82"/>
        <v>0</v>
      </c>
      <c r="AI175" s="2822"/>
      <c r="AJ175" s="2822">
        <v>20210000000</v>
      </c>
      <c r="AK175" s="2822">
        <v>20210000000</v>
      </c>
      <c r="AL175" s="2822">
        <v>20210000000</v>
      </c>
      <c r="AM175" s="2822"/>
      <c r="AN175" s="2822">
        <f t="shared" si="74"/>
        <v>20210000000</v>
      </c>
      <c r="AO175" s="2851"/>
      <c r="AP175" s="2851"/>
      <c r="AQ175" s="2851"/>
      <c r="AR175" s="2851"/>
      <c r="AS175" s="2851"/>
      <c r="AT175" s="2851"/>
      <c r="AU175" s="2851"/>
      <c r="AV175" s="2851"/>
      <c r="AW175" s="2851"/>
      <c r="AX175" s="2851"/>
      <c r="AY175" s="2851"/>
      <c r="AZ175" s="2851"/>
      <c r="BA175" s="2818">
        <f t="shared" ref="BA175:BA194" si="85">AE175+U175</f>
        <v>0</v>
      </c>
      <c r="BB175" s="2818">
        <f t="shared" ref="BB175:BB194" si="86">AH175-BA175</f>
        <v>0</v>
      </c>
      <c r="BD175" s="2800">
        <f t="shared" si="83"/>
        <v>0</v>
      </c>
      <c r="BE175" s="2800">
        <f t="shared" si="84"/>
        <v>0</v>
      </c>
      <c r="BF175" s="2800">
        <f t="shared" ref="BF175:BF199" si="87">-AI175</f>
        <v>0</v>
      </c>
    </row>
    <row r="176" spans="2:58" ht="106.9" customHeight="1" x14ac:dyDescent="0.2">
      <c r="B176" s="4207"/>
      <c r="C176" s="2896" t="s">
        <v>643</v>
      </c>
      <c r="D176" s="2906" t="s">
        <v>632</v>
      </c>
      <c r="E176" s="2813"/>
      <c r="F176" s="2813"/>
      <c r="G176" s="2813"/>
      <c r="H176" s="2822">
        <f t="shared" si="75"/>
        <v>0</v>
      </c>
      <c r="I176" s="2813">
        <f>'یادداشت 7 دارایییی اصلاحی'!J453</f>
        <v>0</v>
      </c>
      <c r="J176" s="2813"/>
      <c r="K176" s="2813"/>
      <c r="L176" s="2813"/>
      <c r="M176" s="2813"/>
      <c r="N176" s="2822">
        <f t="shared" si="76"/>
        <v>0</v>
      </c>
      <c r="O176" s="2813"/>
      <c r="P176" s="2813"/>
      <c r="Q176" s="2813"/>
      <c r="R176" s="2813"/>
      <c r="S176" s="2813"/>
      <c r="T176" s="2813"/>
      <c r="U176" s="2822">
        <f t="shared" si="77"/>
        <v>0</v>
      </c>
      <c r="V176" s="2813"/>
      <c r="W176" s="2813">
        <f>-725056595</f>
        <v>-725056595</v>
      </c>
      <c r="X176" s="2813"/>
      <c r="Y176" s="2813"/>
      <c r="Z176" s="2813"/>
      <c r="AA176" s="2813"/>
      <c r="AB176" s="2813"/>
      <c r="AC176" s="2822">
        <f t="shared" si="78"/>
        <v>725056595</v>
      </c>
      <c r="AD176" s="2822"/>
      <c r="AE176" s="2822">
        <f t="shared" si="79"/>
        <v>0</v>
      </c>
      <c r="AF176" s="2822">
        <f t="shared" si="80"/>
        <v>-725056595</v>
      </c>
      <c r="AG176" s="2822">
        <f t="shared" si="81"/>
        <v>-725056595</v>
      </c>
      <c r="AH176" s="2822">
        <f t="shared" si="82"/>
        <v>0</v>
      </c>
      <c r="AI176" s="2822"/>
      <c r="AJ176" s="2822"/>
      <c r="AK176" s="2822"/>
      <c r="AL176" s="2815"/>
      <c r="AM176" s="2822"/>
      <c r="AN176" s="2822">
        <f t="shared" si="74"/>
        <v>0</v>
      </c>
      <c r="AO176" s="2851"/>
      <c r="AP176" s="2851"/>
      <c r="AQ176" s="2851"/>
      <c r="AR176" s="2851"/>
      <c r="AS176" s="2851"/>
      <c r="AT176" s="2851"/>
      <c r="AU176" s="2851"/>
      <c r="AV176" s="2851"/>
      <c r="AW176" s="2851"/>
      <c r="AX176" s="2851"/>
      <c r="AY176" s="2851"/>
      <c r="AZ176" s="2851"/>
      <c r="BA176" s="2818">
        <f t="shared" si="85"/>
        <v>0</v>
      </c>
      <c r="BB176" s="2818">
        <f t="shared" si="86"/>
        <v>0</v>
      </c>
      <c r="BD176" s="2800">
        <f t="shared" si="83"/>
        <v>0</v>
      </c>
      <c r="BE176" s="2800">
        <f t="shared" si="84"/>
        <v>0</v>
      </c>
      <c r="BF176" s="2800">
        <f t="shared" si="87"/>
        <v>0</v>
      </c>
    </row>
    <row r="177" spans="2:58" ht="106.9" customHeight="1" x14ac:dyDescent="0.2">
      <c r="B177" s="4207"/>
      <c r="C177" s="2896">
        <v>1503002046</v>
      </c>
      <c r="D177" s="2901" t="s">
        <v>83</v>
      </c>
      <c r="E177" s="2813"/>
      <c r="F177" s="2813"/>
      <c r="G177" s="2813"/>
      <c r="H177" s="2822">
        <f t="shared" si="75"/>
        <v>0</v>
      </c>
      <c r="I177" s="2813">
        <f>'یادداشت 7 دارایییی اصلاحی'!J408</f>
        <v>0</v>
      </c>
      <c r="J177" s="2813">
        <f>'يادداشت_-5موجودی_جنسی__(2)'!F71</f>
        <v>0</v>
      </c>
      <c r="K177" s="2813"/>
      <c r="L177" s="2813"/>
      <c r="M177" s="2813"/>
      <c r="N177" s="2822">
        <f t="shared" si="76"/>
        <v>0</v>
      </c>
      <c r="O177" s="2813"/>
      <c r="P177" s="2813"/>
      <c r="Q177" s="2813"/>
      <c r="R177" s="2813"/>
      <c r="S177" s="2813"/>
      <c r="T177" s="2813"/>
      <c r="U177" s="2822">
        <f t="shared" si="77"/>
        <v>0</v>
      </c>
      <c r="V177" s="2813"/>
      <c r="W177" s="2813" cm="1">
        <f t="array" ref="W177:X177">-'ي_3_موجودي_نقد '!J300:K300</f>
        <v>-4208394650</v>
      </c>
      <c r="X177" s="2813">
        <v>0</v>
      </c>
      <c r="Y177" s="2813"/>
      <c r="Z177" s="2813"/>
      <c r="AA177" s="2813"/>
      <c r="AB177" s="2813"/>
      <c r="AC177" s="2822">
        <f t="shared" si="78"/>
        <v>2002304031</v>
      </c>
      <c r="AD177" s="2822"/>
      <c r="AE177" s="2822">
        <f t="shared" si="79"/>
        <v>-2206090619</v>
      </c>
      <c r="AF177" s="2822">
        <f t="shared" si="80"/>
        <v>-4208394650</v>
      </c>
      <c r="AG177" s="2822">
        <f t="shared" si="81"/>
        <v>-4208394650</v>
      </c>
      <c r="AH177" s="2822">
        <f t="shared" si="82"/>
        <v>-2206090619</v>
      </c>
      <c r="AI177" s="2822">
        <f>'ي_3_موجودي_نقد '!I300</f>
        <v>2206090619</v>
      </c>
      <c r="AJ177" s="2822">
        <v>30000000000</v>
      </c>
      <c r="AK177" s="2822">
        <v>30000000000</v>
      </c>
      <c r="AL177" s="2822">
        <v>30000000000</v>
      </c>
      <c r="AM177" s="2822"/>
      <c r="AN177" s="2822">
        <f t="shared" si="74"/>
        <v>32206090619</v>
      </c>
      <c r="AO177" s="2851"/>
      <c r="AP177" s="2851"/>
      <c r="AQ177" s="2851"/>
      <c r="AR177" s="2851"/>
      <c r="AS177" s="2851"/>
      <c r="AT177" s="2851"/>
      <c r="AU177" s="2851"/>
      <c r="AV177" s="2851"/>
      <c r="AW177" s="2851"/>
      <c r="AX177" s="2851"/>
      <c r="AY177" s="2851"/>
      <c r="AZ177" s="2851"/>
      <c r="BA177" s="2818">
        <f t="shared" si="85"/>
        <v>-2206090619</v>
      </c>
      <c r="BB177" s="2818">
        <f t="shared" si="86"/>
        <v>0</v>
      </c>
      <c r="BD177" s="2800">
        <f t="shared" si="83"/>
        <v>0</v>
      </c>
      <c r="BE177" s="2800">
        <f t="shared" si="84"/>
        <v>0</v>
      </c>
      <c r="BF177" s="2800">
        <f t="shared" si="87"/>
        <v>-2206090619</v>
      </c>
    </row>
    <row r="178" spans="2:58" ht="106.9" customHeight="1" x14ac:dyDescent="0.2">
      <c r="B178" s="4207"/>
      <c r="C178" s="2896" t="s">
        <v>68</v>
      </c>
      <c r="D178" s="2901" t="s">
        <v>70</v>
      </c>
      <c r="E178" s="2813"/>
      <c r="F178" s="2813"/>
      <c r="G178" s="2813"/>
      <c r="H178" s="2822">
        <f t="shared" si="75"/>
        <v>0</v>
      </c>
      <c r="I178" s="2813"/>
      <c r="J178" s="2813"/>
      <c r="K178" s="2813"/>
      <c r="L178" s="2813"/>
      <c r="M178" s="2813"/>
      <c r="N178" s="2822">
        <f t="shared" si="76"/>
        <v>0</v>
      </c>
      <c r="O178" s="2813"/>
      <c r="P178" s="2813"/>
      <c r="Q178" s="2813"/>
      <c r="R178" s="2813"/>
      <c r="S178" s="2813"/>
      <c r="T178" s="2813"/>
      <c r="U178" s="2822">
        <f t="shared" si="77"/>
        <v>0</v>
      </c>
      <c r="V178" s="2813"/>
      <c r="W178" s="2813" cm="1">
        <f t="array" ref="W178:X178">-'ي_3_موجودي_نقد '!J302:K302</f>
        <v>-169492047</v>
      </c>
      <c r="X178" s="2813">
        <v>0</v>
      </c>
      <c r="Y178" s="2813"/>
      <c r="Z178" s="2813"/>
      <c r="AA178" s="2813"/>
      <c r="AB178" s="2813"/>
      <c r="AC178" s="2822">
        <f t="shared" si="78"/>
        <v>0</v>
      </c>
      <c r="AD178" s="2822"/>
      <c r="AE178" s="2822">
        <f t="shared" si="79"/>
        <v>-169492047</v>
      </c>
      <c r="AF178" s="2822">
        <f t="shared" si="80"/>
        <v>-169492047</v>
      </c>
      <c r="AG178" s="2822">
        <f t="shared" si="81"/>
        <v>-169492047</v>
      </c>
      <c r="AH178" s="2822">
        <f t="shared" si="82"/>
        <v>-169492047</v>
      </c>
      <c r="AI178" s="2822">
        <f>'ي_3_موجودي_نقد '!I302</f>
        <v>169492047</v>
      </c>
      <c r="AJ178" s="2822"/>
      <c r="AK178" s="2822"/>
      <c r="AL178" s="2813">
        <v>1500000000</v>
      </c>
      <c r="AM178" s="2822"/>
      <c r="AN178" s="2822">
        <f t="shared" si="74"/>
        <v>169492047</v>
      </c>
      <c r="AO178" s="2851"/>
      <c r="AP178" s="2851"/>
      <c r="AQ178" s="2851"/>
      <c r="AR178" s="2851"/>
      <c r="AS178" s="2851"/>
      <c r="AT178" s="2851"/>
      <c r="AU178" s="2851"/>
      <c r="AV178" s="2851"/>
      <c r="AW178" s="2851"/>
      <c r="AX178" s="2851"/>
      <c r="AY178" s="2851"/>
      <c r="AZ178" s="2851"/>
      <c r="BA178" s="2818">
        <f t="shared" si="85"/>
        <v>-169492047</v>
      </c>
      <c r="BB178" s="2818">
        <f t="shared" si="86"/>
        <v>0</v>
      </c>
      <c r="BD178" s="2800">
        <f t="shared" si="83"/>
        <v>0</v>
      </c>
      <c r="BE178" s="2800">
        <f t="shared" si="84"/>
        <v>0</v>
      </c>
      <c r="BF178" s="2800">
        <f t="shared" si="87"/>
        <v>-169492047</v>
      </c>
    </row>
    <row r="179" spans="2:58" ht="106.9" customHeight="1" x14ac:dyDescent="0.2">
      <c r="B179" s="4207"/>
      <c r="C179" s="1189" t="s">
        <v>540</v>
      </c>
      <c r="D179" s="2901" t="s">
        <v>541</v>
      </c>
      <c r="E179" s="2813"/>
      <c r="F179" s="2813"/>
      <c r="G179" s="2813"/>
      <c r="H179" s="2822">
        <f t="shared" si="75"/>
        <v>0</v>
      </c>
      <c r="I179" s="2813">
        <f>'یادداشت 7 دارایییی اصلاحی'!J423</f>
        <v>499907874</v>
      </c>
      <c r="J179" s="2813"/>
      <c r="K179" s="2813"/>
      <c r="L179" s="2813"/>
      <c r="M179" s="2813"/>
      <c r="N179" s="2822">
        <f t="shared" si="76"/>
        <v>0</v>
      </c>
      <c r="O179" s="2813"/>
      <c r="P179" s="2813"/>
      <c r="Q179" s="2813"/>
      <c r="R179" s="2813"/>
      <c r="S179" s="2813"/>
      <c r="T179" s="2813"/>
      <c r="U179" s="2822">
        <f t="shared" si="77"/>
        <v>499907874</v>
      </c>
      <c r="V179" s="2813"/>
      <c r="W179" s="2813">
        <f>-674943405</f>
        <v>-674943405</v>
      </c>
      <c r="X179" s="2813"/>
      <c r="Y179" s="2813"/>
      <c r="Z179" s="2813"/>
      <c r="AA179" s="2813"/>
      <c r="AB179" s="2813"/>
      <c r="AC179" s="2822">
        <f t="shared" si="78"/>
        <v>175035531</v>
      </c>
      <c r="AD179" s="2822"/>
      <c r="AE179" s="2822">
        <f t="shared" si="79"/>
        <v>-499907874</v>
      </c>
      <c r="AF179" s="2822">
        <f t="shared" si="80"/>
        <v>-674943405</v>
      </c>
      <c r="AG179" s="2822">
        <f t="shared" si="81"/>
        <v>-175035531</v>
      </c>
      <c r="AH179" s="2822">
        <f t="shared" si="82"/>
        <v>0</v>
      </c>
      <c r="AI179" s="2822"/>
      <c r="AJ179" s="2822"/>
      <c r="AK179" s="2822"/>
      <c r="AL179" s="2815"/>
      <c r="AM179" s="2822"/>
      <c r="AN179" s="2822">
        <f t="shared" si="74"/>
        <v>0</v>
      </c>
      <c r="AO179" s="2851"/>
      <c r="AP179" s="2851"/>
      <c r="AQ179" s="2851"/>
      <c r="AR179" s="2851"/>
      <c r="AS179" s="2851"/>
      <c r="AT179" s="2851"/>
      <c r="AU179" s="2851"/>
      <c r="AV179" s="2851"/>
      <c r="AW179" s="2851"/>
      <c r="AX179" s="2851"/>
      <c r="AY179" s="2851"/>
      <c r="AZ179" s="2851"/>
      <c r="BA179" s="2818">
        <f t="shared" si="85"/>
        <v>0</v>
      </c>
      <c r="BB179" s="2818">
        <f t="shared" si="86"/>
        <v>0</v>
      </c>
      <c r="BD179" s="2800">
        <f t="shared" si="83"/>
        <v>0</v>
      </c>
      <c r="BE179" s="2800">
        <f t="shared" si="84"/>
        <v>0</v>
      </c>
      <c r="BF179" s="2800">
        <f t="shared" si="87"/>
        <v>0</v>
      </c>
    </row>
    <row r="180" spans="2:58" ht="4.1500000000000004" hidden="1" customHeight="1" x14ac:dyDescent="0.2">
      <c r="B180" s="4207"/>
      <c r="C180" s="2896" t="s">
        <v>637</v>
      </c>
      <c r="D180" s="2906" t="s">
        <v>613</v>
      </c>
      <c r="E180" s="2813"/>
      <c r="F180" s="2813"/>
      <c r="G180" s="2813"/>
      <c r="H180" s="2822">
        <f t="shared" si="75"/>
        <v>0</v>
      </c>
      <c r="I180" s="2813"/>
      <c r="J180" s="2813"/>
      <c r="K180" s="2813"/>
      <c r="L180" s="2813"/>
      <c r="M180" s="2813"/>
      <c r="N180" s="2822">
        <f t="shared" si="76"/>
        <v>0</v>
      </c>
      <c r="O180" s="2813"/>
      <c r="P180" s="2813"/>
      <c r="Q180" s="2813"/>
      <c r="R180" s="2813"/>
      <c r="S180" s="2813"/>
      <c r="T180" s="2813"/>
      <c r="U180" s="2822">
        <f t="shared" si="77"/>
        <v>0</v>
      </c>
      <c r="V180" s="2813"/>
      <c r="W180" s="2813">
        <v>0</v>
      </c>
      <c r="X180" s="2813"/>
      <c r="Y180" s="2813"/>
      <c r="Z180" s="2813"/>
      <c r="AA180" s="2813"/>
      <c r="AB180" s="2813"/>
      <c r="AC180" s="2822">
        <f t="shared" si="78"/>
        <v>0</v>
      </c>
      <c r="AD180" s="2822"/>
      <c r="AE180" s="2822">
        <f t="shared" si="79"/>
        <v>0</v>
      </c>
      <c r="AF180" s="2822">
        <f t="shared" si="80"/>
        <v>0</v>
      </c>
      <c r="AG180" s="2822">
        <f t="shared" si="81"/>
        <v>0</v>
      </c>
      <c r="AH180" s="2822">
        <f t="shared" si="82"/>
        <v>0</v>
      </c>
      <c r="AI180" s="2822"/>
      <c r="AJ180" s="2822"/>
      <c r="AK180" s="2822"/>
      <c r="AL180" s="2830"/>
      <c r="AM180" s="2822">
        <f>AH180-AK180</f>
        <v>0</v>
      </c>
      <c r="AN180" s="2822">
        <f t="shared" si="74"/>
        <v>0</v>
      </c>
      <c r="AO180" s="2851"/>
      <c r="AP180" s="2851"/>
      <c r="AQ180" s="2851"/>
      <c r="AR180" s="2851"/>
      <c r="AS180" s="2851"/>
      <c r="AT180" s="2851"/>
      <c r="AU180" s="2851"/>
      <c r="AV180" s="2851"/>
      <c r="AW180" s="2851"/>
      <c r="AX180" s="2851"/>
      <c r="AY180" s="2851"/>
      <c r="AZ180" s="2851"/>
      <c r="BA180" s="2818">
        <f t="shared" si="85"/>
        <v>0</v>
      </c>
      <c r="BB180" s="2818">
        <f t="shared" si="86"/>
        <v>0</v>
      </c>
      <c r="BD180" s="2800">
        <f t="shared" si="83"/>
        <v>0</v>
      </c>
      <c r="BE180" s="2800">
        <f t="shared" si="84"/>
        <v>0</v>
      </c>
      <c r="BF180" s="2800">
        <f t="shared" si="87"/>
        <v>0</v>
      </c>
    </row>
    <row r="181" spans="2:58" ht="4.1500000000000004" hidden="1" customHeight="1" x14ac:dyDescent="0.2">
      <c r="B181" s="4207"/>
      <c r="C181" s="2907" t="s">
        <v>105</v>
      </c>
      <c r="D181" s="2908" t="s">
        <v>106</v>
      </c>
      <c r="E181" s="2813"/>
      <c r="F181" s="2813"/>
      <c r="G181" s="2813"/>
      <c r="H181" s="2822">
        <f t="shared" si="75"/>
        <v>0</v>
      </c>
      <c r="I181" s="2813"/>
      <c r="J181" s="2813"/>
      <c r="K181" s="2813"/>
      <c r="L181" s="2813"/>
      <c r="M181" s="2813"/>
      <c r="N181" s="2822">
        <f t="shared" si="76"/>
        <v>0</v>
      </c>
      <c r="O181" s="2813"/>
      <c r="P181" s="2813"/>
      <c r="Q181" s="2813"/>
      <c r="R181" s="2813"/>
      <c r="S181" s="2813"/>
      <c r="T181" s="2813"/>
      <c r="U181" s="2822">
        <f t="shared" si="77"/>
        <v>0</v>
      </c>
      <c r="V181" s="2813"/>
      <c r="W181" s="2813">
        <v>0</v>
      </c>
      <c r="X181" s="2813"/>
      <c r="Y181" s="2813"/>
      <c r="Z181" s="2813"/>
      <c r="AA181" s="2813"/>
      <c r="AB181" s="2813"/>
      <c r="AC181" s="2822">
        <f t="shared" si="78"/>
        <v>0</v>
      </c>
      <c r="AD181" s="2822"/>
      <c r="AE181" s="2822">
        <f t="shared" si="79"/>
        <v>0</v>
      </c>
      <c r="AF181" s="2822">
        <f t="shared" si="80"/>
        <v>0</v>
      </c>
      <c r="AG181" s="2822">
        <f t="shared" si="81"/>
        <v>0</v>
      </c>
      <c r="AH181" s="2822">
        <f t="shared" si="82"/>
        <v>0</v>
      </c>
      <c r="AI181" s="2822"/>
      <c r="AJ181" s="2822"/>
      <c r="AK181" s="2822"/>
      <c r="AL181" s="2830"/>
      <c r="AM181" s="2822">
        <f>AH181-AK181</f>
        <v>0</v>
      </c>
      <c r="AN181" s="2822">
        <f t="shared" si="74"/>
        <v>0</v>
      </c>
      <c r="AO181" s="2851"/>
      <c r="AP181" s="2851"/>
      <c r="AQ181" s="2851"/>
      <c r="AR181" s="2851"/>
      <c r="AS181" s="2851"/>
      <c r="AT181" s="2851"/>
      <c r="AU181" s="2851"/>
      <c r="AV181" s="2851"/>
      <c r="AW181" s="2851"/>
      <c r="AX181" s="2851"/>
      <c r="AY181" s="2851"/>
      <c r="AZ181" s="2851"/>
      <c r="BA181" s="2818">
        <f t="shared" si="85"/>
        <v>0</v>
      </c>
      <c r="BB181" s="2818">
        <f t="shared" si="86"/>
        <v>0</v>
      </c>
      <c r="BD181" s="2800">
        <f t="shared" si="83"/>
        <v>0</v>
      </c>
      <c r="BE181" s="2800">
        <f t="shared" si="84"/>
        <v>0</v>
      </c>
      <c r="BF181" s="2800">
        <f t="shared" si="87"/>
        <v>0</v>
      </c>
    </row>
    <row r="182" spans="2:58" ht="66.599999999999994" customHeight="1" x14ac:dyDescent="0.2">
      <c r="B182" s="4207"/>
      <c r="C182" s="2896" t="s">
        <v>542</v>
      </c>
      <c r="D182" s="2901" t="s">
        <v>335</v>
      </c>
      <c r="E182" s="2813"/>
      <c r="F182" s="2813"/>
      <c r="G182" s="2813"/>
      <c r="H182" s="2822">
        <f t="shared" si="75"/>
        <v>0</v>
      </c>
      <c r="I182" s="2813">
        <f>'یادداشت 7 دارایییی اصلاحی'!J420</f>
        <v>0</v>
      </c>
      <c r="J182" s="2813"/>
      <c r="K182" s="2813"/>
      <c r="L182" s="2813"/>
      <c r="M182" s="2813"/>
      <c r="N182" s="2822">
        <f t="shared" si="76"/>
        <v>0</v>
      </c>
      <c r="O182" s="2813"/>
      <c r="P182" s="2813"/>
      <c r="Q182" s="2813"/>
      <c r="R182" s="2813"/>
      <c r="S182" s="2813"/>
      <c r="T182" s="2813"/>
      <c r="U182" s="2822">
        <f t="shared" si="77"/>
        <v>0</v>
      </c>
      <c r="V182" s="2813"/>
      <c r="W182" s="2813" cm="1">
        <f t="array" ref="W182:X182">-'ي_3_موجودي_نقد '!J301:K301</f>
        <v>-204038937</v>
      </c>
      <c r="X182" s="2813">
        <v>0</v>
      </c>
      <c r="Y182" s="2813"/>
      <c r="Z182" s="2813"/>
      <c r="AA182" s="2813"/>
      <c r="AB182" s="2813"/>
      <c r="AC182" s="2822">
        <f t="shared" si="78"/>
        <v>0</v>
      </c>
      <c r="AD182" s="2822"/>
      <c r="AE182" s="2822">
        <f t="shared" si="79"/>
        <v>-204038937</v>
      </c>
      <c r="AF182" s="2822">
        <f t="shared" si="80"/>
        <v>-204038937</v>
      </c>
      <c r="AG182" s="2822">
        <f t="shared" si="81"/>
        <v>-204038937</v>
      </c>
      <c r="AH182" s="2822">
        <f t="shared" si="82"/>
        <v>-204038937</v>
      </c>
      <c r="AI182" s="2822">
        <f>'ي_3_موجودي_نقد '!I301</f>
        <v>204038937</v>
      </c>
      <c r="AJ182" s="2822"/>
      <c r="AK182" s="2822"/>
      <c r="AL182" s="2830"/>
      <c r="AM182" s="2822"/>
      <c r="AN182" s="2822">
        <f t="shared" si="74"/>
        <v>204038937</v>
      </c>
      <c r="AO182" s="2851"/>
      <c r="AP182" s="2851"/>
      <c r="AQ182" s="2851"/>
      <c r="AR182" s="2851"/>
      <c r="AS182" s="2851"/>
      <c r="AT182" s="2851"/>
      <c r="AU182" s="2851"/>
      <c r="AV182" s="2851"/>
      <c r="AW182" s="2851"/>
      <c r="AX182" s="2851"/>
      <c r="AY182" s="2851"/>
      <c r="AZ182" s="2851"/>
      <c r="BA182" s="2818">
        <f t="shared" si="85"/>
        <v>-204038937</v>
      </c>
      <c r="BB182" s="2818">
        <f t="shared" si="86"/>
        <v>0</v>
      </c>
      <c r="BD182" s="2800">
        <f t="shared" si="83"/>
        <v>0</v>
      </c>
      <c r="BE182" s="2800">
        <f t="shared" si="84"/>
        <v>0</v>
      </c>
      <c r="BF182" s="2800">
        <f t="shared" si="87"/>
        <v>-204038937</v>
      </c>
    </row>
    <row r="183" spans="2:58" ht="106.9" hidden="1" customHeight="1" x14ac:dyDescent="0.2">
      <c r="B183" s="4207"/>
      <c r="C183" s="2896" t="s">
        <v>628</v>
      </c>
      <c r="D183" s="2906" t="s">
        <v>604</v>
      </c>
      <c r="E183" s="2813"/>
      <c r="F183" s="2813"/>
      <c r="G183" s="2813"/>
      <c r="H183" s="2822">
        <f t="shared" si="75"/>
        <v>0</v>
      </c>
      <c r="I183" s="2813"/>
      <c r="J183" s="2813"/>
      <c r="K183" s="2813"/>
      <c r="L183" s="2813"/>
      <c r="M183" s="2813"/>
      <c r="N183" s="2822">
        <f t="shared" si="76"/>
        <v>0</v>
      </c>
      <c r="O183" s="2813"/>
      <c r="P183" s="2813"/>
      <c r="Q183" s="2813"/>
      <c r="R183" s="2813"/>
      <c r="S183" s="2813"/>
      <c r="T183" s="2813"/>
      <c r="U183" s="2822">
        <f t="shared" si="77"/>
        <v>0</v>
      </c>
      <c r="V183" s="2813"/>
      <c r="W183" s="2813">
        <v>0</v>
      </c>
      <c r="X183" s="2813"/>
      <c r="Y183" s="2813"/>
      <c r="Z183" s="2813"/>
      <c r="AA183" s="2813"/>
      <c r="AB183" s="2813"/>
      <c r="AC183" s="2822">
        <f t="shared" si="78"/>
        <v>0</v>
      </c>
      <c r="AD183" s="2822"/>
      <c r="AE183" s="2822">
        <f t="shared" si="79"/>
        <v>0</v>
      </c>
      <c r="AF183" s="2822">
        <f t="shared" si="80"/>
        <v>0</v>
      </c>
      <c r="AG183" s="2822">
        <f t="shared" si="81"/>
        <v>0</v>
      </c>
      <c r="AH183" s="2822">
        <f t="shared" si="82"/>
        <v>0</v>
      </c>
      <c r="AI183" s="2822"/>
      <c r="AJ183" s="2822"/>
      <c r="AK183" s="2822"/>
      <c r="AL183" s="2830"/>
      <c r="AM183" s="2822">
        <f>AH183-AK183</f>
        <v>0</v>
      </c>
      <c r="AN183" s="2822">
        <f t="shared" si="74"/>
        <v>0</v>
      </c>
      <c r="AO183" s="2851"/>
      <c r="AP183" s="2851"/>
      <c r="AQ183" s="2851"/>
      <c r="AR183" s="2851"/>
      <c r="AS183" s="2851"/>
      <c r="AT183" s="2851"/>
      <c r="AU183" s="2851"/>
      <c r="AV183" s="2851"/>
      <c r="AW183" s="2851"/>
      <c r="AX183" s="2851"/>
      <c r="AY183" s="2851"/>
      <c r="AZ183" s="2851"/>
      <c r="BA183" s="2818">
        <f t="shared" si="85"/>
        <v>0</v>
      </c>
      <c r="BB183" s="2818">
        <f t="shared" si="86"/>
        <v>0</v>
      </c>
      <c r="BD183" s="2800">
        <f t="shared" si="83"/>
        <v>0</v>
      </c>
      <c r="BE183" s="2800">
        <f t="shared" si="84"/>
        <v>0</v>
      </c>
      <c r="BF183" s="2800">
        <f t="shared" si="87"/>
        <v>0</v>
      </c>
    </row>
    <row r="184" spans="2:58" ht="106.9" customHeight="1" x14ac:dyDescent="0.2">
      <c r="B184" s="4207"/>
      <c r="C184" s="2896" t="s">
        <v>608</v>
      </c>
      <c r="D184" s="2906" t="s">
        <v>1145</v>
      </c>
      <c r="E184" s="2813">
        <f>'يادداشت 15سایر درآمد ها و انتقا'!P32</f>
        <v>12378300480</v>
      </c>
      <c r="F184" s="2813"/>
      <c r="G184" s="2813"/>
      <c r="H184" s="2822">
        <f t="shared" si="75"/>
        <v>12378300480</v>
      </c>
      <c r="I184" s="2813"/>
      <c r="J184" s="2813">
        <f>'يادداشت_-5موجودی_جنسی__(2)'!F75</f>
        <v>3673825012</v>
      </c>
      <c r="K184" s="2813">
        <f>'پيش پرداخت سرمايه اي يادداشت 6'!H125</f>
        <v>9725805286</v>
      </c>
      <c r="L184" s="2813"/>
      <c r="M184" s="2813"/>
      <c r="N184" s="2822">
        <f t="shared" si="76"/>
        <v>0</v>
      </c>
      <c r="O184" s="2813"/>
      <c r="P184" s="2813"/>
      <c r="Q184" s="2813"/>
      <c r="R184" s="2813"/>
      <c r="S184" s="2813"/>
      <c r="T184" s="2813"/>
      <c r="U184" s="2822">
        <f t="shared" si="77"/>
        <v>13399630298</v>
      </c>
      <c r="V184" s="2813"/>
      <c r="W184" s="2813" cm="1">
        <f t="array" ref="W184:X184">-'ي_3_موجودي_نقد '!J299:K299</f>
        <v>-148221264229</v>
      </c>
      <c r="X184" s="2813">
        <v>0</v>
      </c>
      <c r="Y184" s="2813"/>
      <c r="Z184" s="2813"/>
      <c r="AA184" s="2813"/>
      <c r="AB184" s="2813"/>
      <c r="AC184" s="2822">
        <f t="shared" si="78"/>
        <v>144778953931</v>
      </c>
      <c r="AD184" s="2822"/>
      <c r="AE184" s="2822">
        <f t="shared" si="79"/>
        <v>-3442310298</v>
      </c>
      <c r="AF184" s="2822">
        <f t="shared" si="80"/>
        <v>-148221264229</v>
      </c>
      <c r="AG184" s="2822">
        <f t="shared" si="81"/>
        <v>-134821633931</v>
      </c>
      <c r="AH184" s="2822">
        <f t="shared" si="82"/>
        <v>9957320000</v>
      </c>
      <c r="AI184" s="2822">
        <f>'ي_3_موجودي_نقد '!I299</f>
        <v>2420980480</v>
      </c>
      <c r="AJ184" s="2822"/>
      <c r="AK184" s="2822"/>
      <c r="AL184" s="2830"/>
      <c r="AM184" s="2822">
        <f>AH184-AK184</f>
        <v>9957320000</v>
      </c>
      <c r="AN184" s="2822"/>
      <c r="AO184" s="2851"/>
      <c r="AP184" s="2851"/>
      <c r="AQ184" s="2851"/>
      <c r="AR184" s="2851"/>
      <c r="AS184" s="2851"/>
      <c r="AT184" s="2851"/>
      <c r="AU184" s="2851"/>
      <c r="AV184" s="2851"/>
      <c r="AW184" s="2851"/>
      <c r="AX184" s="2851"/>
      <c r="AY184" s="2851"/>
      <c r="AZ184" s="2851"/>
      <c r="BA184" s="2818">
        <f t="shared" si="85"/>
        <v>9957320000</v>
      </c>
      <c r="BB184" s="2818">
        <f t="shared" si="86"/>
        <v>0</v>
      </c>
      <c r="BD184" s="2800">
        <f t="shared" si="83"/>
        <v>12378300480</v>
      </c>
      <c r="BE184" s="2800">
        <f t="shared" si="84"/>
        <v>0</v>
      </c>
      <c r="BF184" s="2800">
        <f t="shared" si="87"/>
        <v>-2420980480</v>
      </c>
    </row>
    <row r="185" spans="2:58" ht="67.900000000000006" customHeight="1" x14ac:dyDescent="0.2">
      <c r="B185" s="4207"/>
      <c r="C185" s="2896" t="s">
        <v>609</v>
      </c>
      <c r="D185" s="2862" t="s">
        <v>607</v>
      </c>
      <c r="E185" s="2813"/>
      <c r="F185" s="2813"/>
      <c r="G185" s="2813"/>
      <c r="H185" s="2822">
        <f t="shared" si="75"/>
        <v>0</v>
      </c>
      <c r="I185" s="2813">
        <f>'یادداشت 7 دارایییی اصلاحی'!J422</f>
        <v>27330562746</v>
      </c>
      <c r="J185" s="2813"/>
      <c r="K185" s="2813">
        <f>'پيش پرداخت سرمايه اي يادداشت 6'!H122</f>
        <v>128840398</v>
      </c>
      <c r="L185" s="2813"/>
      <c r="M185" s="2813"/>
      <c r="N185" s="2822">
        <f t="shared" si="76"/>
        <v>0</v>
      </c>
      <c r="O185" s="2813"/>
      <c r="P185" s="2813"/>
      <c r="Q185" s="2813"/>
      <c r="R185" s="2813"/>
      <c r="S185" s="2813"/>
      <c r="T185" s="2813"/>
      <c r="U185" s="2822">
        <f t="shared" si="77"/>
        <v>27459403144</v>
      </c>
      <c r="V185" s="2813"/>
      <c r="W185" s="2813"/>
      <c r="X185" s="2813"/>
      <c r="Y185" s="2813">
        <f>-'يادداشت 14وجوه ساير (2)'!H20</f>
        <v>-28701500000</v>
      </c>
      <c r="Z185" s="2813"/>
      <c r="AA185" s="2813"/>
      <c r="AB185" s="2813"/>
      <c r="AC185" s="2822">
        <f t="shared" si="78"/>
        <v>1242096856</v>
      </c>
      <c r="AD185" s="2822"/>
      <c r="AE185" s="2822">
        <f t="shared" si="79"/>
        <v>-27459403144</v>
      </c>
      <c r="AF185" s="2822">
        <f t="shared" si="80"/>
        <v>-28701500000</v>
      </c>
      <c r="AG185" s="2822">
        <f t="shared" si="81"/>
        <v>-1242096856</v>
      </c>
      <c r="AH185" s="2822">
        <f t="shared" si="82"/>
        <v>0</v>
      </c>
      <c r="AI185" s="2829"/>
      <c r="AJ185" s="2822"/>
      <c r="AK185" s="2822"/>
      <c r="AL185" s="2830"/>
      <c r="AM185" s="2822"/>
      <c r="AN185" s="2822">
        <f t="shared" si="74"/>
        <v>0</v>
      </c>
      <c r="AO185" s="2851"/>
      <c r="AP185" s="2851"/>
      <c r="AQ185" s="2851"/>
      <c r="AR185" s="2851"/>
      <c r="AS185" s="2851"/>
      <c r="AT185" s="2851"/>
      <c r="AU185" s="2851"/>
      <c r="AV185" s="2851"/>
      <c r="AW185" s="2851"/>
      <c r="AX185" s="2851"/>
      <c r="AY185" s="2851"/>
      <c r="AZ185" s="2851"/>
      <c r="BA185" s="2818">
        <f t="shared" si="85"/>
        <v>0</v>
      </c>
      <c r="BB185" s="2818">
        <f t="shared" si="86"/>
        <v>0</v>
      </c>
      <c r="BD185" s="2800">
        <f t="shared" si="83"/>
        <v>0</v>
      </c>
      <c r="BE185" s="2800">
        <f t="shared" si="84"/>
        <v>0</v>
      </c>
      <c r="BF185" s="2800">
        <f t="shared" si="87"/>
        <v>0</v>
      </c>
    </row>
    <row r="186" spans="2:58" ht="53.45" customHeight="1" x14ac:dyDescent="0.2">
      <c r="B186" s="4207"/>
      <c r="C186" s="2861" t="s">
        <v>1083</v>
      </c>
      <c r="D186" s="2870" t="s">
        <v>1082</v>
      </c>
      <c r="E186" s="2832"/>
      <c r="F186" s="2832"/>
      <c r="G186" s="2832"/>
      <c r="H186" s="2822">
        <f t="shared" si="75"/>
        <v>0</v>
      </c>
      <c r="I186" s="2832">
        <f>'یادداشت 7 دارایییی اصلاحی'!J419</f>
        <v>52954819175</v>
      </c>
      <c r="J186" s="2832">
        <f>'يادداشت_-5موجودی_جنسی__(2)'!F79</f>
        <v>3109208100</v>
      </c>
      <c r="K186" s="2832">
        <f>'پيش پرداخت سرمايه اي يادداشت 6'!H128</f>
        <v>3545016989</v>
      </c>
      <c r="L186" s="2832"/>
      <c r="M186" s="2832"/>
      <c r="N186" s="2822">
        <f t="shared" si="76"/>
        <v>0</v>
      </c>
      <c r="O186" s="2832"/>
      <c r="P186" s="2832"/>
      <c r="Q186" s="2832"/>
      <c r="R186" s="2832"/>
      <c r="S186" s="2832"/>
      <c r="T186" s="2832"/>
      <c r="U186" s="2822">
        <f t="shared" si="77"/>
        <v>59609044264</v>
      </c>
      <c r="V186" s="2832"/>
      <c r="W186" s="2832">
        <f>-49282340160</f>
        <v>-49282340160</v>
      </c>
      <c r="X186" s="2832"/>
      <c r="Y186" s="2832">
        <f>-'يادداشت 14وجوه ساير (2)'!H18</f>
        <v>-18000000000</v>
      </c>
      <c r="Z186" s="2832"/>
      <c r="AA186" s="2832"/>
      <c r="AB186" s="2832"/>
      <c r="AC186" s="2822">
        <f t="shared" si="78"/>
        <v>7673295896</v>
      </c>
      <c r="AD186" s="2909"/>
      <c r="AE186" s="2822">
        <f t="shared" si="79"/>
        <v>-59609044264</v>
      </c>
      <c r="AF186" s="2822">
        <f>AA186+Y186+W186+V186+AB186+X186</f>
        <v>-67282340160</v>
      </c>
      <c r="AG186" s="2822">
        <f t="shared" si="81"/>
        <v>-7673295896</v>
      </c>
      <c r="AH186" s="2822">
        <f t="shared" si="82"/>
        <v>0</v>
      </c>
      <c r="AI186" s="2882"/>
      <c r="AJ186" s="2909"/>
      <c r="AK186" s="2909"/>
      <c r="AL186" s="2879"/>
      <c r="AM186" s="2822"/>
      <c r="AN186" s="2822">
        <f t="shared" si="74"/>
        <v>0</v>
      </c>
      <c r="AO186" s="2851"/>
      <c r="AP186" s="2851"/>
      <c r="AQ186" s="2851"/>
      <c r="AR186" s="2851"/>
      <c r="AS186" s="2851"/>
      <c r="AT186" s="2851"/>
      <c r="AU186" s="2851"/>
      <c r="AV186" s="2851"/>
      <c r="AW186" s="2851"/>
      <c r="AX186" s="2851"/>
      <c r="AY186" s="2851"/>
      <c r="AZ186" s="2851"/>
      <c r="BA186" s="2818"/>
      <c r="BB186" s="2818"/>
    </row>
    <row r="187" spans="2:58" ht="67.900000000000006" customHeight="1" x14ac:dyDescent="0.2">
      <c r="B187" s="4207"/>
      <c r="C187" s="2861" t="s">
        <v>626</v>
      </c>
      <c r="D187" s="2862" t="s">
        <v>602</v>
      </c>
      <c r="E187" s="2832"/>
      <c r="F187" s="2832"/>
      <c r="G187" s="2832"/>
      <c r="H187" s="2822">
        <f t="shared" si="75"/>
        <v>0</v>
      </c>
      <c r="I187" s="2832"/>
      <c r="J187" s="2832"/>
      <c r="K187" s="2832"/>
      <c r="L187" s="2832"/>
      <c r="M187" s="2832"/>
      <c r="N187" s="2822">
        <f t="shared" si="76"/>
        <v>0</v>
      </c>
      <c r="O187" s="2832"/>
      <c r="P187" s="2832"/>
      <c r="Q187" s="2832"/>
      <c r="R187" s="2832">
        <f>-'يادداشت 1-1-10 حسابهاي پرداخخخ '!L204</f>
        <v>0</v>
      </c>
      <c r="S187" s="2832"/>
      <c r="T187" s="2832"/>
      <c r="U187" s="2822">
        <f t="shared" si="77"/>
        <v>0</v>
      </c>
      <c r="V187" s="2832"/>
      <c r="W187" s="2832"/>
      <c r="X187" s="2832"/>
      <c r="Y187" s="2832">
        <f>-'يادداشت 14وجوه ساير (2)'!H19</f>
        <v>-8294000000</v>
      </c>
      <c r="Z187" s="2832"/>
      <c r="AA187" s="2832"/>
      <c r="AB187" s="2832"/>
      <c r="AC187" s="2822">
        <f t="shared" si="78"/>
        <v>8294000000</v>
      </c>
      <c r="AD187" s="2909"/>
      <c r="AE187" s="2822">
        <f t="shared" si="79"/>
        <v>0</v>
      </c>
      <c r="AF187" s="2822">
        <f t="shared" si="80"/>
        <v>-8294000000</v>
      </c>
      <c r="AG187" s="2822">
        <f t="shared" si="81"/>
        <v>-8294000000</v>
      </c>
      <c r="AH187" s="2822">
        <f t="shared" si="82"/>
        <v>0</v>
      </c>
      <c r="AI187" s="2882"/>
      <c r="AJ187" s="2909"/>
      <c r="AK187" s="2909"/>
      <c r="AL187" s="2879"/>
      <c r="AM187" s="2822">
        <f>AH187-AK187</f>
        <v>0</v>
      </c>
      <c r="AN187" s="2822">
        <f t="shared" si="74"/>
        <v>0</v>
      </c>
      <c r="AO187" s="2851"/>
      <c r="AP187" s="2851"/>
      <c r="AQ187" s="2851"/>
      <c r="AR187" s="2851"/>
      <c r="AS187" s="2851"/>
      <c r="AT187" s="2851"/>
      <c r="AU187" s="2851"/>
      <c r="AV187" s="2851"/>
      <c r="AW187" s="2851"/>
      <c r="AX187" s="2851"/>
      <c r="AY187" s="2851"/>
      <c r="AZ187" s="2851"/>
      <c r="BA187" s="2818"/>
      <c r="BB187" s="2818"/>
    </row>
    <row r="188" spans="2:58" ht="70.150000000000006" customHeight="1" x14ac:dyDescent="0.2">
      <c r="B188" s="4207"/>
      <c r="C188" s="2910" t="s">
        <v>2153</v>
      </c>
      <c r="D188" s="2911" t="s">
        <v>2036</v>
      </c>
      <c r="E188" s="2832"/>
      <c r="F188" s="2832"/>
      <c r="G188" s="2832"/>
      <c r="H188" s="2822">
        <f t="shared" si="75"/>
        <v>0</v>
      </c>
      <c r="I188" s="2832">
        <f>'یادداشت 7 دارایییی اصلاحی'!J411</f>
        <v>36481816170</v>
      </c>
      <c r="J188" s="2832">
        <f>'يادداشت_-5موجودی_جنسی__(2)'!F80</f>
        <v>2307250000</v>
      </c>
      <c r="K188" s="2832"/>
      <c r="L188" s="2832"/>
      <c r="M188" s="2832"/>
      <c r="N188" s="2822">
        <f t="shared" si="76"/>
        <v>0</v>
      </c>
      <c r="O188" s="2832"/>
      <c r="P188" s="2832"/>
      <c r="Q188" s="2832"/>
      <c r="R188" s="2832"/>
      <c r="S188" s="2832"/>
      <c r="T188" s="2832"/>
      <c r="U188" s="2822">
        <f t="shared" si="77"/>
        <v>38789066170</v>
      </c>
      <c r="V188" s="2832"/>
      <c r="W188" s="2832"/>
      <c r="X188" s="2832"/>
      <c r="Y188" s="2832">
        <f>-'يادداشت 14وجوه ساير (2)'!H22</f>
        <v>-7500000000</v>
      </c>
      <c r="Z188" s="2832"/>
      <c r="AA188" s="2832"/>
      <c r="AB188" s="2832"/>
      <c r="AC188" s="2822">
        <f t="shared" si="78"/>
        <v>-43289066170</v>
      </c>
      <c r="AD188" s="2909"/>
      <c r="AE188" s="2822">
        <f t="shared" si="79"/>
        <v>-50789066170</v>
      </c>
      <c r="AF188" s="2822">
        <f t="shared" si="80"/>
        <v>-7500000000</v>
      </c>
      <c r="AG188" s="2822">
        <f t="shared" si="81"/>
        <v>31289066170</v>
      </c>
      <c r="AH188" s="2822">
        <f>H188-AI188</f>
        <v>-12000000000</v>
      </c>
      <c r="AI188" s="2882">
        <f>'ي_3_موجودي_نقد '!I298</f>
        <v>12000000000</v>
      </c>
      <c r="AJ188" s="2909"/>
      <c r="AK188" s="2909"/>
      <c r="AL188" s="2879"/>
      <c r="AM188" s="2822"/>
      <c r="AN188" s="2822">
        <f t="shared" si="74"/>
        <v>12000000000</v>
      </c>
      <c r="AO188" s="2851"/>
      <c r="AP188" s="2851"/>
      <c r="AQ188" s="2851"/>
      <c r="AR188" s="2851"/>
      <c r="AS188" s="2851"/>
      <c r="AT188" s="2851"/>
      <c r="AU188" s="2851"/>
      <c r="AV188" s="2851"/>
      <c r="AW188" s="2851"/>
      <c r="AX188" s="2851"/>
      <c r="AY188" s="2851"/>
      <c r="AZ188" s="2851"/>
      <c r="BA188" s="2818"/>
      <c r="BB188" s="2818"/>
    </row>
    <row r="189" spans="2:58" ht="67.900000000000006" customHeight="1" x14ac:dyDescent="0.2">
      <c r="B189" s="4207"/>
      <c r="C189" s="2912" t="s">
        <v>642</v>
      </c>
      <c r="D189" s="2913" t="s">
        <v>631</v>
      </c>
      <c r="E189" s="2832"/>
      <c r="F189" s="2832"/>
      <c r="G189" s="2832"/>
      <c r="H189" s="2822">
        <f t="shared" si="75"/>
        <v>0</v>
      </c>
      <c r="I189" s="2832"/>
      <c r="J189" s="2832"/>
      <c r="K189" s="2832"/>
      <c r="L189" s="2832"/>
      <c r="M189" s="2832"/>
      <c r="N189" s="2822">
        <f t="shared" si="76"/>
        <v>0</v>
      </c>
      <c r="O189" s="2832"/>
      <c r="P189" s="2832"/>
      <c r="Q189" s="2832"/>
      <c r="R189" s="2832"/>
      <c r="S189" s="2832"/>
      <c r="T189" s="2832"/>
      <c r="U189" s="2822">
        <f t="shared" si="77"/>
        <v>0</v>
      </c>
      <c r="V189" s="2832"/>
      <c r="W189" s="2832">
        <f>-6750000000</f>
        <v>-6750000000</v>
      </c>
      <c r="X189" s="2832"/>
      <c r="Y189" s="2832">
        <f>-'يادداشت 14وجوه ساير (2)'!H23</f>
        <v>-70900000000</v>
      </c>
      <c r="Z189" s="2832"/>
      <c r="AA189" s="2832"/>
      <c r="AB189" s="2832"/>
      <c r="AC189" s="2822">
        <f t="shared" si="78"/>
        <v>77650000000</v>
      </c>
      <c r="AD189" s="2909"/>
      <c r="AE189" s="2822">
        <f t="shared" si="79"/>
        <v>0</v>
      </c>
      <c r="AF189" s="2822">
        <f t="shared" si="80"/>
        <v>-77650000000</v>
      </c>
      <c r="AG189" s="2822">
        <f t="shared" si="81"/>
        <v>-77650000000</v>
      </c>
      <c r="AH189" s="2822">
        <f t="shared" si="82"/>
        <v>0</v>
      </c>
      <c r="AI189" s="2882"/>
      <c r="AJ189" s="2909"/>
      <c r="AK189" s="2909"/>
      <c r="AL189" s="2879"/>
      <c r="AM189" s="2822"/>
      <c r="AN189" s="2822">
        <f t="shared" si="74"/>
        <v>0</v>
      </c>
      <c r="AO189" s="2851"/>
      <c r="AP189" s="2851"/>
      <c r="AQ189" s="2851"/>
      <c r="AR189" s="2851"/>
      <c r="AS189" s="2851"/>
      <c r="AT189" s="2851"/>
      <c r="AU189" s="2851"/>
      <c r="AV189" s="2851"/>
      <c r="AW189" s="2851"/>
      <c r="AX189" s="2851"/>
      <c r="AY189" s="2851"/>
      <c r="AZ189" s="2851"/>
      <c r="BA189" s="2818"/>
      <c r="BB189" s="2818"/>
    </row>
    <row r="190" spans="2:58" ht="67.900000000000006" customHeight="1" x14ac:dyDescent="0.2">
      <c r="B190" s="4207"/>
      <c r="C190" s="2888" t="s">
        <v>2061</v>
      </c>
      <c r="D190" s="2889" t="s">
        <v>600</v>
      </c>
      <c r="E190" s="2832"/>
      <c r="F190" s="2832"/>
      <c r="G190" s="2832"/>
      <c r="H190" s="2909"/>
      <c r="I190" s="2832">
        <f>'یادداشت 7 دارایییی اصلاحی'!J454</f>
        <v>11745746176</v>
      </c>
      <c r="J190" s="2832"/>
      <c r="K190" s="2832"/>
      <c r="L190" s="2832"/>
      <c r="M190" s="2832"/>
      <c r="N190" s="2822"/>
      <c r="O190" s="2832"/>
      <c r="P190" s="2832"/>
      <c r="Q190" s="2832"/>
      <c r="R190" s="2832"/>
      <c r="S190" s="2832"/>
      <c r="T190" s="2832"/>
      <c r="U190" s="2822">
        <f t="shared" si="77"/>
        <v>11745746176</v>
      </c>
      <c r="V190" s="2832"/>
      <c r="W190" s="2832"/>
      <c r="X190" s="2832"/>
      <c r="Y190" s="2832"/>
      <c r="Z190" s="2832"/>
      <c r="AA190" s="2832"/>
      <c r="AB190" s="2832"/>
      <c r="AC190" s="2822">
        <f>(H190-AI190)-AG190</f>
        <v>-11745746176</v>
      </c>
      <c r="AD190" s="2909"/>
      <c r="AE190" s="2822">
        <f t="shared" si="79"/>
        <v>-11745746176</v>
      </c>
      <c r="AF190" s="2822">
        <f t="shared" si="80"/>
        <v>0</v>
      </c>
      <c r="AG190" s="2822">
        <f t="shared" si="81"/>
        <v>11745746176</v>
      </c>
      <c r="AH190" s="2822">
        <f t="shared" si="82"/>
        <v>0</v>
      </c>
      <c r="AI190" s="2882"/>
      <c r="AJ190" s="2909"/>
      <c r="AK190" s="2909"/>
      <c r="AL190" s="2879"/>
      <c r="AM190" s="2822"/>
      <c r="AN190" s="2822">
        <f t="shared" si="74"/>
        <v>0</v>
      </c>
      <c r="AO190" s="2851"/>
      <c r="AP190" s="2851"/>
      <c r="AQ190" s="2851"/>
      <c r="AR190" s="2851"/>
      <c r="AS190" s="2851"/>
      <c r="AT190" s="2851"/>
      <c r="AU190" s="2851"/>
      <c r="AV190" s="2851"/>
      <c r="AW190" s="2851"/>
      <c r="AX190" s="2851"/>
      <c r="AY190" s="2851"/>
      <c r="AZ190" s="2851"/>
      <c r="BA190" s="2818"/>
      <c r="BB190" s="2818"/>
    </row>
    <row r="191" spans="2:58" ht="67.900000000000006" customHeight="1" thickBot="1" x14ac:dyDescent="0.25">
      <c r="B191" s="4207"/>
      <c r="C191" s="4214" t="s">
        <v>927</v>
      </c>
      <c r="D191" s="4215"/>
      <c r="E191" s="2832"/>
      <c r="F191" s="2832"/>
      <c r="G191" s="2832"/>
      <c r="H191" s="2909">
        <f>SUM(E191:G191)</f>
        <v>0</v>
      </c>
      <c r="I191" s="2909">
        <f>-'يادداشت 1-1-10 حسابهاي پرداخخخ '!G210</f>
        <v>0</v>
      </c>
      <c r="J191" s="2832"/>
      <c r="K191" s="2832"/>
      <c r="L191" s="2832"/>
      <c r="M191" s="2832"/>
      <c r="N191" s="2822">
        <f t="shared" si="76"/>
        <v>0</v>
      </c>
      <c r="O191" s="2832"/>
      <c r="P191" s="2832"/>
      <c r="Q191" s="2832"/>
      <c r="R191" s="2832"/>
      <c r="S191" s="2832"/>
      <c r="T191" s="2832"/>
      <c r="U191" s="2822">
        <f t="shared" si="77"/>
        <v>0</v>
      </c>
      <c r="V191" s="2832"/>
      <c r="W191" s="2832">
        <v>0</v>
      </c>
      <c r="X191" s="2832"/>
      <c r="Y191" s="2832"/>
      <c r="Z191" s="2832"/>
      <c r="AA191" s="2832"/>
      <c r="AB191" s="2832"/>
      <c r="AC191" s="2822">
        <f t="shared" si="78"/>
        <v>0</v>
      </c>
      <c r="AD191" s="2909"/>
      <c r="AE191" s="2822">
        <f t="shared" si="79"/>
        <v>0</v>
      </c>
      <c r="AF191" s="2822">
        <f t="shared" si="80"/>
        <v>0</v>
      </c>
      <c r="AG191" s="2822">
        <f t="shared" si="81"/>
        <v>0</v>
      </c>
      <c r="AH191" s="2822">
        <f t="shared" si="82"/>
        <v>0</v>
      </c>
      <c r="AI191" s="2882"/>
      <c r="AJ191" s="2909">
        <f>150000000000+10000000000</f>
        <v>160000000000</v>
      </c>
      <c r="AK191" s="2909">
        <f t="shared" ref="AK191:AL191" si="88">150000000000+10000000000</f>
        <v>160000000000</v>
      </c>
      <c r="AL191" s="2909">
        <f t="shared" si="88"/>
        <v>160000000000</v>
      </c>
      <c r="AM191" s="2822"/>
      <c r="AN191" s="2822">
        <f t="shared" si="74"/>
        <v>160000000000</v>
      </c>
      <c r="AO191" s="2851"/>
      <c r="AP191" s="2851"/>
      <c r="AQ191" s="2851"/>
      <c r="AR191" s="2851"/>
      <c r="AS191" s="2851"/>
      <c r="AT191" s="2851"/>
      <c r="AU191" s="2851"/>
      <c r="AV191" s="2851"/>
      <c r="AW191" s="2851"/>
      <c r="AX191" s="2851"/>
      <c r="AY191" s="2851"/>
      <c r="AZ191" s="2851"/>
      <c r="BA191" s="2818"/>
      <c r="BB191" s="2818"/>
    </row>
    <row r="192" spans="2:58" ht="67.900000000000006" hidden="1" customHeight="1" thickBot="1" x14ac:dyDescent="0.25">
      <c r="B192" s="4207"/>
      <c r="C192" s="4217" t="s">
        <v>1902</v>
      </c>
      <c r="D192" s="4218"/>
      <c r="E192" s="2832">
        <f>'يادداشت 15سایر درآمد ها و انتقا'!P35</f>
        <v>0</v>
      </c>
      <c r="F192" s="2832"/>
      <c r="G192" s="2832"/>
      <c r="H192" s="2822">
        <f>SUM(E192:G192)</f>
        <v>0</v>
      </c>
      <c r="I192" s="2832"/>
      <c r="J192" s="2832">
        <f>'يادداشت_-5موجودی_جنسی__(2)'!F81</f>
        <v>0</v>
      </c>
      <c r="K192" s="2832"/>
      <c r="L192" s="2832"/>
      <c r="M192" s="2832"/>
      <c r="N192" s="2822">
        <f t="shared" si="76"/>
        <v>0</v>
      </c>
      <c r="O192" s="2832"/>
      <c r="P192" s="2832"/>
      <c r="Q192" s="2832"/>
      <c r="R192" s="2832"/>
      <c r="S192" s="2832"/>
      <c r="T192" s="2832"/>
      <c r="U192" s="2822">
        <f t="shared" si="77"/>
        <v>0</v>
      </c>
      <c r="V192" s="2832"/>
      <c r="W192" s="2832"/>
      <c r="X192" s="2832"/>
      <c r="Y192" s="2832"/>
      <c r="Z192" s="2832"/>
      <c r="AA192" s="2832"/>
      <c r="AB192" s="2832"/>
      <c r="AC192" s="2822">
        <f t="shared" si="78"/>
        <v>0</v>
      </c>
      <c r="AD192" s="2909"/>
      <c r="AE192" s="2822">
        <f t="shared" si="79"/>
        <v>0</v>
      </c>
      <c r="AF192" s="2822">
        <f t="shared" si="80"/>
        <v>0</v>
      </c>
      <c r="AG192" s="2822">
        <f t="shared" si="81"/>
        <v>0</v>
      </c>
      <c r="AH192" s="2822">
        <f t="shared" si="82"/>
        <v>0</v>
      </c>
      <c r="AI192" s="2882"/>
      <c r="AJ192" s="2909"/>
      <c r="AK192" s="2909"/>
      <c r="AL192" s="2879"/>
      <c r="AM192" s="2822">
        <f>AH192-AK192</f>
        <v>0</v>
      </c>
      <c r="AN192" s="2822">
        <f t="shared" si="74"/>
        <v>0</v>
      </c>
      <c r="AO192" s="2851"/>
      <c r="AP192" s="2851"/>
      <c r="AQ192" s="2851">
        <f>AN193-AM193</f>
        <v>214921228350</v>
      </c>
      <c r="AR192" s="2851"/>
      <c r="AS192" s="2851"/>
      <c r="AT192" s="2851"/>
      <c r="AU192" s="2851"/>
      <c r="AV192" s="2851"/>
      <c r="AW192" s="2851"/>
      <c r="AX192" s="2851"/>
      <c r="AY192" s="2851"/>
      <c r="AZ192" s="2851"/>
      <c r="BA192" s="2818"/>
      <c r="BB192" s="2818"/>
    </row>
    <row r="193" spans="2:58" ht="79.150000000000006" customHeight="1" thickBot="1" x14ac:dyDescent="0.25">
      <c r="B193" s="4208"/>
      <c r="C193" s="4205" t="s">
        <v>932</v>
      </c>
      <c r="D193" s="4206"/>
      <c r="E193" s="2914">
        <f>SUM(E166:E192)</f>
        <v>12378300480</v>
      </c>
      <c r="F193" s="2914">
        <f t="shared" ref="F193:AN193" si="89">SUM(F166:F192)</f>
        <v>0</v>
      </c>
      <c r="G193" s="2914">
        <f t="shared" si="89"/>
        <v>0</v>
      </c>
      <c r="H193" s="2914">
        <f t="shared" si="89"/>
        <v>12378300480</v>
      </c>
      <c r="I193" s="2914">
        <f t="shared" si="89"/>
        <v>167716618294</v>
      </c>
      <c r="J193" s="2914">
        <f t="shared" si="89"/>
        <v>19261290112</v>
      </c>
      <c r="K193" s="2914">
        <f t="shared" si="89"/>
        <v>13399662673</v>
      </c>
      <c r="L193" s="2914">
        <f t="shared" si="89"/>
        <v>0</v>
      </c>
      <c r="M193" s="2914">
        <f t="shared" si="89"/>
        <v>0</v>
      </c>
      <c r="N193" s="2914">
        <f t="shared" si="89"/>
        <v>87945413335</v>
      </c>
      <c r="O193" s="2914">
        <f t="shared" si="89"/>
        <v>0</v>
      </c>
      <c r="P193" s="2914">
        <f t="shared" si="89"/>
        <v>0</v>
      </c>
      <c r="Q193" s="2914">
        <f t="shared" si="89"/>
        <v>0</v>
      </c>
      <c r="R193" s="2914">
        <f t="shared" si="89"/>
        <v>87945413335</v>
      </c>
      <c r="S193" s="2914">
        <f t="shared" si="89"/>
        <v>0</v>
      </c>
      <c r="T193" s="2914">
        <f t="shared" si="89"/>
        <v>0</v>
      </c>
      <c r="U193" s="2914">
        <f>SUM(U166:U192)</f>
        <v>288322984414</v>
      </c>
      <c r="V193" s="2914">
        <f t="shared" si="89"/>
        <v>0</v>
      </c>
      <c r="W193" s="2914">
        <f t="shared" si="89"/>
        <v>-285838927503</v>
      </c>
      <c r="X193" s="2914">
        <f t="shared" si="89"/>
        <v>0</v>
      </c>
      <c r="Y193" s="2914">
        <f t="shared" si="89"/>
        <v>-281494910293</v>
      </c>
      <c r="Z193" s="2914">
        <f t="shared" si="89"/>
        <v>0</v>
      </c>
      <c r="AA193" s="2914">
        <f t="shared" si="89"/>
        <v>0</v>
      </c>
      <c r="AB193" s="2914">
        <f t="shared" si="89"/>
        <v>0</v>
      </c>
      <c r="AC193" s="2914">
        <f t="shared" si="89"/>
        <v>274299625032</v>
      </c>
      <c r="AD193" s="2914">
        <f t="shared" si="89"/>
        <v>0</v>
      </c>
      <c r="AE193" s="2914">
        <f t="shared" si="89"/>
        <v>-293034212764</v>
      </c>
      <c r="AF193" s="2914">
        <f t="shared" si="89"/>
        <v>-567333837796</v>
      </c>
      <c r="AG193" s="2914">
        <f t="shared" si="89"/>
        <v>-279010853382</v>
      </c>
      <c r="AH193" s="2914">
        <f t="shared" si="89"/>
        <v>-4711228350</v>
      </c>
      <c r="AI193" s="2914">
        <f t="shared" si="89"/>
        <v>17089528830</v>
      </c>
      <c r="AJ193" s="2914">
        <f t="shared" si="89"/>
        <v>210210000000</v>
      </c>
      <c r="AK193" s="2914">
        <f t="shared" si="89"/>
        <v>210210000000</v>
      </c>
      <c r="AL193" s="2914">
        <f t="shared" si="89"/>
        <v>402710000000</v>
      </c>
      <c r="AM193" s="2914">
        <f t="shared" si="89"/>
        <v>9957320000</v>
      </c>
      <c r="AN193" s="2914">
        <f t="shared" si="89"/>
        <v>224878548350</v>
      </c>
      <c r="AO193" s="2818"/>
      <c r="AP193" s="2818"/>
      <c r="AQ193" s="2818">
        <f>AN194-AM194</f>
        <v>44685149782978</v>
      </c>
      <c r="AR193" s="2818"/>
      <c r="AS193" s="2818"/>
      <c r="AT193" s="2818"/>
      <c r="AU193" s="2818"/>
      <c r="AV193" s="2818"/>
      <c r="AW193" s="2818"/>
      <c r="AX193" s="2818"/>
      <c r="AY193" s="2818"/>
      <c r="AZ193" s="2818"/>
      <c r="BA193" s="2818">
        <f t="shared" si="85"/>
        <v>-4711228350</v>
      </c>
      <c r="BB193" s="2818">
        <f t="shared" si="86"/>
        <v>0</v>
      </c>
      <c r="BD193" s="2800">
        <f t="shared" si="83"/>
        <v>12378300480</v>
      </c>
      <c r="BE193" s="2800">
        <f t="shared" si="84"/>
        <v>0</v>
      </c>
      <c r="BF193" s="2800">
        <f t="shared" si="87"/>
        <v>-17089528830</v>
      </c>
    </row>
    <row r="194" spans="2:58" ht="79.150000000000006" customHeight="1" thickBot="1" x14ac:dyDescent="0.25">
      <c r="B194" s="4209" t="s">
        <v>195</v>
      </c>
      <c r="C194" s="4209"/>
      <c r="D194" s="4209"/>
      <c r="E194" s="2915">
        <f>E193+E153+E164</f>
        <v>15988592300480</v>
      </c>
      <c r="F194" s="2915">
        <f t="shared" ref="F194:AN194" si="90">F193+F153+F164</f>
        <v>0</v>
      </c>
      <c r="G194" s="2915">
        <f t="shared" si="90"/>
        <v>0</v>
      </c>
      <c r="H194" s="2915">
        <f t="shared" si="90"/>
        <v>15988592300480</v>
      </c>
      <c r="I194" s="2915">
        <f>I193+I153+I164-7000000</f>
        <v>17104613294706</v>
      </c>
      <c r="J194" s="2915">
        <f t="shared" si="90"/>
        <v>738283418453</v>
      </c>
      <c r="K194" s="2915">
        <f>K193+K153+K164-1000000</f>
        <v>1537898236752</v>
      </c>
      <c r="L194" s="2915">
        <f t="shared" si="90"/>
        <v>67675000000</v>
      </c>
      <c r="M194" s="2915">
        <f t="shared" si="90"/>
        <v>669945005780</v>
      </c>
      <c r="N194" s="2915">
        <f t="shared" si="90"/>
        <v>23364072164608</v>
      </c>
      <c r="O194" s="2915">
        <f t="shared" si="90"/>
        <v>0</v>
      </c>
      <c r="P194" s="2915">
        <f t="shared" si="90"/>
        <v>219789737</v>
      </c>
      <c r="Q194" s="2915">
        <f t="shared" si="90"/>
        <v>1111875488412</v>
      </c>
      <c r="R194" s="2915">
        <f t="shared" si="90"/>
        <v>22251976886459</v>
      </c>
      <c r="S194" s="2915">
        <f t="shared" si="90"/>
        <v>375455000000</v>
      </c>
      <c r="T194" s="2915">
        <f t="shared" si="90"/>
        <v>0</v>
      </c>
      <c r="U194" s="2915">
        <f t="shared" si="90"/>
        <v>43857950120299</v>
      </c>
      <c r="V194" s="2915">
        <f t="shared" si="90"/>
        <v>-805234980000</v>
      </c>
      <c r="W194" s="2915">
        <f t="shared" si="90"/>
        <v>-4819205539643</v>
      </c>
      <c r="X194" s="2915">
        <f t="shared" si="90"/>
        <v>0</v>
      </c>
      <c r="Y194" s="2915">
        <f t="shared" si="90"/>
        <v>-490609910293</v>
      </c>
      <c r="Z194" s="2915">
        <f t="shared" si="90"/>
        <v>0</v>
      </c>
      <c r="AA194" s="2915">
        <f t="shared" si="90"/>
        <v>-1700133000000</v>
      </c>
      <c r="AB194" s="2915">
        <f t="shared" si="90"/>
        <v>-705075582320</v>
      </c>
      <c r="AC194" s="2915">
        <f t="shared" si="90"/>
        <v>-25051973891021</v>
      </c>
      <c r="AD194" s="2915">
        <f t="shared" si="90"/>
        <v>0</v>
      </c>
      <c r="AE194" s="2915">
        <f t="shared" si="90"/>
        <v>-33572232903277</v>
      </c>
      <c r="AF194" s="2915">
        <f t="shared" si="90"/>
        <v>-8520259012256</v>
      </c>
      <c r="AG194" s="2915">
        <f t="shared" si="90"/>
        <v>35337691108043</v>
      </c>
      <c r="AH194" s="2915">
        <f>AH193+AH153+AH164</f>
        <v>10285717217022</v>
      </c>
      <c r="AI194" s="2915">
        <f t="shared" si="90"/>
        <v>5702875083458</v>
      </c>
      <c r="AJ194" s="2915">
        <f t="shared" si="90"/>
        <v>210210000005</v>
      </c>
      <c r="AK194" s="2915">
        <f t="shared" si="90"/>
        <v>54970867000000</v>
      </c>
      <c r="AL194" s="2915">
        <f t="shared" si="90"/>
        <v>34810789000000</v>
      </c>
      <c r="AM194" s="2915">
        <f t="shared" si="90"/>
        <v>9957320000</v>
      </c>
      <c r="AN194" s="2915">
        <f t="shared" si="90"/>
        <v>44695107102978</v>
      </c>
      <c r="AO194" s="2916"/>
      <c r="AP194" s="2916"/>
      <c r="AQ194" s="2916"/>
      <c r="AR194" s="2916"/>
      <c r="AS194" s="2916"/>
      <c r="AT194" s="2916"/>
      <c r="AU194" s="2916"/>
      <c r="AV194" s="2916"/>
      <c r="AW194" s="2916"/>
      <c r="AX194" s="2916"/>
      <c r="AY194" s="2916"/>
      <c r="AZ194" s="2916"/>
      <c r="BA194" s="2818">
        <f t="shared" si="85"/>
        <v>10285717217022</v>
      </c>
      <c r="BB194" s="2818">
        <f t="shared" si="86"/>
        <v>0</v>
      </c>
      <c r="BD194" s="2800">
        <f t="shared" si="83"/>
        <v>15988592300480</v>
      </c>
      <c r="BE194" s="2800">
        <f t="shared" si="84"/>
        <v>0</v>
      </c>
      <c r="BF194" s="2800">
        <f t="shared" si="87"/>
        <v>-5702875083458</v>
      </c>
    </row>
    <row r="195" spans="2:58" s="2860" customFormat="1" ht="58.15" customHeight="1" thickTop="1" x14ac:dyDescent="0.2">
      <c r="B195" s="2917"/>
      <c r="C195" s="2918"/>
      <c r="D195" s="2919"/>
      <c r="E195" s="2918"/>
      <c r="F195" s="2918"/>
      <c r="G195" s="2918"/>
      <c r="H195" s="2818"/>
      <c r="I195" s="2920" t="s">
        <v>531</v>
      </c>
      <c r="J195" s="2921" t="s">
        <v>380</v>
      </c>
      <c r="K195" s="2818" t="s">
        <v>438</v>
      </c>
      <c r="L195" s="2818" t="s">
        <v>1883</v>
      </c>
      <c r="M195" s="2818" t="s">
        <v>1006</v>
      </c>
      <c r="N195" s="2922" t="s">
        <v>1906</v>
      </c>
      <c r="O195" s="2818"/>
      <c r="P195" s="2818"/>
      <c r="Q195" s="2818"/>
      <c r="R195" s="2923" t="s">
        <v>588</v>
      </c>
      <c r="S195" s="2924" t="s">
        <v>1908</v>
      </c>
      <c r="T195" s="2922" t="s">
        <v>1369</v>
      </c>
      <c r="U195" s="2818"/>
      <c r="V195" s="2922" t="s">
        <v>1908</v>
      </c>
      <c r="W195" s="2921" t="s">
        <v>587</v>
      </c>
      <c r="X195" s="2921"/>
      <c r="Y195" s="4213" t="s">
        <v>1907</v>
      </c>
      <c r="Z195" s="4213"/>
      <c r="AA195" s="4213"/>
      <c r="AB195" s="2818" t="s">
        <v>1006</v>
      </c>
      <c r="AC195" s="2924" t="s">
        <v>1906</v>
      </c>
      <c r="AD195" s="2818"/>
      <c r="AE195" s="2818"/>
      <c r="AF195" s="2818"/>
      <c r="AG195" s="2818"/>
      <c r="AH195" s="2818"/>
      <c r="AI195" s="2818" t="s">
        <v>587</v>
      </c>
      <c r="AJ195" s="2818"/>
      <c r="AK195" s="2818"/>
      <c r="AL195" s="2818">
        <f>AN194-AM194</f>
        <v>44685149782978</v>
      </c>
      <c r="AM195" s="2818"/>
      <c r="AN195" s="2818"/>
      <c r="AO195" s="2818"/>
      <c r="AP195" s="2818"/>
      <c r="AQ195" s="2818"/>
      <c r="AR195" s="2818"/>
      <c r="AS195" s="2818"/>
      <c r="AT195" s="2818"/>
      <c r="AU195" s="2818"/>
      <c r="AV195" s="2818"/>
      <c r="AW195" s="2818"/>
      <c r="AX195" s="2818"/>
      <c r="AY195" s="2818"/>
      <c r="AZ195" s="2818"/>
      <c r="BA195" s="2818"/>
      <c r="BB195" s="2818"/>
      <c r="BD195" s="2800" t="e">
        <f t="shared" si="83"/>
        <v>#VALUE!</v>
      </c>
      <c r="BE195" s="2800" t="e">
        <f t="shared" si="84"/>
        <v>#VALUE!</v>
      </c>
      <c r="BF195" s="2800" t="e">
        <f t="shared" si="87"/>
        <v>#VALUE!</v>
      </c>
    </row>
    <row r="196" spans="2:58" s="2860" customFormat="1" ht="23.45" customHeight="1" x14ac:dyDescent="0.2">
      <c r="B196" s="2917"/>
      <c r="C196" s="2918"/>
      <c r="D196" s="2919"/>
      <c r="E196" s="2918"/>
      <c r="F196" s="2918"/>
      <c r="G196" s="2918"/>
      <c r="H196" s="2818"/>
      <c r="I196" s="2920"/>
      <c r="J196" s="2921"/>
      <c r="K196" s="2818"/>
      <c r="L196" s="2818"/>
      <c r="M196" s="2818"/>
      <c r="N196" s="2818"/>
      <c r="O196" s="2818"/>
      <c r="P196" s="2818"/>
      <c r="Q196" s="2818"/>
      <c r="R196" s="2925"/>
      <c r="S196" s="2925"/>
      <c r="T196" s="2925"/>
      <c r="U196" s="2818"/>
      <c r="V196" s="2818"/>
      <c r="W196" s="2921"/>
      <c r="X196" s="2921"/>
      <c r="Y196" s="2926"/>
      <c r="Z196" s="2926"/>
      <c r="AA196" s="2926"/>
      <c r="AB196" s="2818"/>
      <c r="AC196" s="2818"/>
      <c r="AD196" s="2818"/>
      <c r="AE196" s="2818"/>
      <c r="AF196" s="2818"/>
      <c r="AG196" s="2818"/>
      <c r="AH196" s="2818"/>
      <c r="AI196" s="2818"/>
      <c r="AJ196" s="2818"/>
      <c r="AK196" s="2818"/>
      <c r="AL196" s="2818"/>
      <c r="AM196" s="2818"/>
      <c r="AN196" s="2818"/>
      <c r="AO196" s="2818"/>
      <c r="AP196" s="2818"/>
      <c r="AQ196" s="2818"/>
      <c r="AR196" s="2818"/>
      <c r="AS196" s="2818"/>
      <c r="AT196" s="2818"/>
      <c r="AU196" s="2818"/>
      <c r="AV196" s="2818"/>
      <c r="AW196" s="2818"/>
      <c r="AX196" s="2818"/>
      <c r="AY196" s="2818"/>
      <c r="AZ196" s="2818"/>
      <c r="BA196" s="2818"/>
      <c r="BB196" s="2818"/>
      <c r="BD196" s="2800"/>
      <c r="BE196" s="2800"/>
      <c r="BF196" s="2800">
        <f t="shared" si="87"/>
        <v>0</v>
      </c>
    </row>
    <row r="197" spans="2:58" s="2860" customFormat="1" ht="31.5" customHeight="1" x14ac:dyDescent="0.2">
      <c r="B197" s="4216" t="s">
        <v>1851</v>
      </c>
      <c r="C197" s="4216"/>
      <c r="D197" s="4216"/>
      <c r="E197" s="4216"/>
      <c r="F197" s="4216"/>
      <c r="G197" s="4216"/>
      <c r="H197" s="4216"/>
      <c r="I197" s="4216"/>
      <c r="J197" s="4216"/>
      <c r="K197" s="4216"/>
      <c r="L197" s="4216"/>
      <c r="M197" s="4216"/>
      <c r="N197" s="4216"/>
      <c r="O197" s="4216"/>
      <c r="P197" s="4216"/>
      <c r="Q197" s="4216"/>
      <c r="R197" s="4216"/>
      <c r="S197" s="4216"/>
      <c r="T197" s="4216"/>
      <c r="U197" s="4216"/>
      <c r="V197" s="4216"/>
      <c r="W197" s="4216"/>
      <c r="X197" s="4216"/>
      <c r="Y197" s="4216"/>
      <c r="Z197" s="4216"/>
      <c r="AA197" s="4216"/>
      <c r="AB197" s="4216"/>
      <c r="AC197" s="4216"/>
      <c r="AD197" s="4216"/>
      <c r="AE197" s="4216"/>
      <c r="AF197" s="4216"/>
      <c r="AG197" s="4216"/>
      <c r="AH197" s="4216"/>
      <c r="AI197" s="4216"/>
      <c r="AJ197" s="4216"/>
      <c r="AK197" s="2818"/>
      <c r="AL197" s="2818"/>
      <c r="AM197" s="2818"/>
      <c r="AN197" s="2818"/>
      <c r="AO197" s="2818"/>
      <c r="AP197" s="2818"/>
      <c r="AQ197" s="2818"/>
      <c r="AR197" s="2818"/>
      <c r="AS197" s="2818"/>
      <c r="AT197" s="2818"/>
      <c r="AU197" s="2818"/>
      <c r="AV197" s="2818"/>
      <c r="AW197" s="2818"/>
      <c r="AX197" s="2818"/>
      <c r="AY197" s="2818"/>
      <c r="AZ197" s="2818"/>
      <c r="BA197" s="2818"/>
      <c r="BB197" s="2818"/>
      <c r="BD197" s="2800"/>
      <c r="BE197" s="2800"/>
      <c r="BF197" s="2800">
        <f t="shared" si="87"/>
        <v>0</v>
      </c>
    </row>
    <row r="198" spans="2:58" s="2860" customFormat="1" ht="34.5" customHeight="1" x14ac:dyDescent="0.2">
      <c r="B198" s="4216" t="s">
        <v>1852</v>
      </c>
      <c r="C198" s="4216"/>
      <c r="D198" s="4216"/>
      <c r="E198" s="4216"/>
      <c r="F198" s="4216"/>
      <c r="G198" s="4216"/>
      <c r="H198" s="4216"/>
      <c r="I198" s="4216"/>
      <c r="J198" s="4216"/>
      <c r="K198" s="4216"/>
      <c r="L198" s="4216"/>
      <c r="M198" s="4216"/>
      <c r="N198" s="4216"/>
      <c r="O198" s="4216"/>
      <c r="P198" s="4216"/>
      <c r="Q198" s="4216"/>
      <c r="R198" s="4216"/>
      <c r="S198" s="4216"/>
      <c r="T198" s="4216"/>
      <c r="U198" s="4216"/>
      <c r="V198" s="4216"/>
      <c r="W198" s="4216"/>
      <c r="X198" s="4216"/>
      <c r="Y198" s="4216"/>
      <c r="Z198" s="4216"/>
      <c r="AA198" s="4216"/>
      <c r="AB198" s="4216"/>
      <c r="AC198" s="4216"/>
      <c r="AD198" s="4216"/>
      <c r="AE198" s="4216"/>
      <c r="AF198" s="4216"/>
      <c r="AG198" s="4216"/>
      <c r="AH198" s="4216"/>
      <c r="AI198" s="4216"/>
      <c r="AJ198" s="4216"/>
      <c r="AK198" s="2818"/>
      <c r="AL198" s="2818"/>
      <c r="AM198" s="2818"/>
      <c r="AN198" s="2818"/>
      <c r="AO198" s="2818"/>
      <c r="AP198" s="2818"/>
      <c r="AQ198" s="2818"/>
      <c r="AR198" s="2818"/>
      <c r="AS198" s="2818"/>
      <c r="AT198" s="2818"/>
      <c r="AU198" s="2818"/>
      <c r="AV198" s="2818"/>
      <c r="AW198" s="2818"/>
      <c r="AX198" s="2818"/>
      <c r="AY198" s="2818"/>
      <c r="AZ198" s="2818"/>
      <c r="BA198" s="2818"/>
      <c r="BB198" s="2818"/>
      <c r="BC198" s="2800">
        <f>AN194+AM194</f>
        <v>44705064422978</v>
      </c>
      <c r="BD198" s="2800"/>
      <c r="BE198" s="2800"/>
      <c r="BF198" s="2800">
        <f t="shared" si="87"/>
        <v>0</v>
      </c>
    </row>
    <row r="199" spans="2:58" s="2860" customFormat="1" ht="33.75" customHeight="1" x14ac:dyDescent="0.2">
      <c r="B199" s="2917"/>
      <c r="C199" s="2918"/>
      <c r="D199" s="2919"/>
      <c r="E199" s="2918"/>
      <c r="F199" s="2918"/>
      <c r="G199" s="2918"/>
      <c r="H199" s="2818"/>
      <c r="I199" s="2920"/>
      <c r="J199" s="2921"/>
      <c r="K199" s="2818"/>
      <c r="L199" s="2818"/>
      <c r="M199" s="2818"/>
      <c r="N199" s="2818"/>
      <c r="O199" s="2818"/>
      <c r="P199" s="2818"/>
      <c r="Q199" s="2818"/>
      <c r="R199" s="2925"/>
      <c r="S199" s="2925"/>
      <c r="T199" s="2925"/>
      <c r="U199" s="2818"/>
      <c r="V199" s="2818"/>
      <c r="W199" s="2921"/>
      <c r="X199" s="2921"/>
      <c r="Y199" s="2926"/>
      <c r="Z199" s="2926"/>
      <c r="AA199" s="2926"/>
      <c r="AB199" s="2818"/>
      <c r="AC199" s="2818"/>
      <c r="AD199" s="2818"/>
      <c r="AE199" s="2818"/>
      <c r="AF199" s="2818"/>
      <c r="AG199" s="2818"/>
      <c r="AH199" s="2818"/>
      <c r="AI199" s="2818"/>
      <c r="AL199" s="2818"/>
      <c r="AM199" s="2818"/>
      <c r="AN199" s="2818"/>
      <c r="AO199" s="2818"/>
      <c r="AP199" s="2818"/>
      <c r="AQ199" s="2818"/>
      <c r="AR199" s="2818"/>
      <c r="AS199" s="2818"/>
      <c r="AT199" s="2818"/>
      <c r="AU199" s="2818"/>
      <c r="AV199" s="2818"/>
      <c r="AW199" s="2818"/>
      <c r="AX199" s="2818"/>
      <c r="AY199" s="2818"/>
      <c r="AZ199" s="2818"/>
      <c r="BA199" s="2818"/>
      <c r="BB199" s="2818"/>
      <c r="BD199" s="2800"/>
      <c r="BE199" s="2800"/>
      <c r="BF199" s="2800">
        <f t="shared" si="87"/>
        <v>0</v>
      </c>
    </row>
    <row r="200" spans="2:58" s="2860" customFormat="1" ht="18.75" customHeight="1" x14ac:dyDescent="0.2">
      <c r="B200" s="2917"/>
      <c r="C200" s="2918"/>
      <c r="D200" s="2919"/>
      <c r="E200" s="2918"/>
      <c r="F200" s="2918"/>
      <c r="G200" s="2918"/>
      <c r="H200" s="2818"/>
      <c r="I200" s="2920"/>
      <c r="J200" s="2921"/>
      <c r="K200" s="2818"/>
      <c r="L200" s="2818"/>
      <c r="M200" s="2818"/>
      <c r="N200" s="2818"/>
      <c r="O200" s="2818"/>
      <c r="P200" s="2818"/>
      <c r="Q200" s="2818"/>
      <c r="R200" s="2925"/>
      <c r="S200" s="2925"/>
      <c r="T200" s="2925"/>
      <c r="U200" s="2818"/>
      <c r="V200" s="2818"/>
      <c r="W200" s="2921"/>
      <c r="X200" s="2921"/>
      <c r="Y200" s="2926"/>
      <c r="Z200" s="2926"/>
      <c r="AA200" s="2926"/>
      <c r="AB200" s="2818"/>
      <c r="AC200" s="2818"/>
      <c r="AD200" s="2818"/>
      <c r="AE200" s="2818"/>
      <c r="AF200" s="2818"/>
      <c r="AG200" s="2818"/>
      <c r="AH200" s="2818"/>
      <c r="AI200" s="2818"/>
      <c r="AL200" s="2818" t="e">
        <f>#REF!-AL194</f>
        <v>#REF!</v>
      </c>
      <c r="AM200" s="2818"/>
      <c r="AN200" s="2818"/>
      <c r="AO200" s="2818"/>
      <c r="AP200" s="2818"/>
      <c r="AQ200" s="2818"/>
      <c r="AR200" s="2818"/>
      <c r="AS200" s="2818"/>
      <c r="AT200" s="2818"/>
      <c r="AU200" s="2818"/>
      <c r="AV200" s="2818"/>
      <c r="AW200" s="2818"/>
      <c r="AX200" s="2818"/>
      <c r="AY200" s="2818"/>
      <c r="AZ200" s="2818"/>
      <c r="BA200" s="2818"/>
      <c r="BB200" s="2818"/>
      <c r="BD200" s="2800"/>
      <c r="BE200" s="2800"/>
    </row>
    <row r="201" spans="2:58" s="2860" customFormat="1" ht="33.75" customHeight="1" x14ac:dyDescent="0.2">
      <c r="B201" s="4204">
        <v>114</v>
      </c>
      <c r="C201" s="4204"/>
      <c r="D201" s="4204"/>
      <c r="E201" s="4204"/>
      <c r="F201" s="4204"/>
      <c r="G201" s="4204"/>
      <c r="H201" s="4204"/>
      <c r="I201" s="4204"/>
      <c r="J201" s="4204"/>
      <c r="K201" s="4204"/>
      <c r="L201" s="4204"/>
      <c r="M201" s="4204"/>
      <c r="N201" s="4204"/>
      <c r="O201" s="4204"/>
      <c r="P201" s="4204"/>
      <c r="Q201" s="4204"/>
      <c r="R201" s="4204"/>
      <c r="S201" s="4204"/>
      <c r="T201" s="4204"/>
      <c r="U201" s="4204"/>
      <c r="V201" s="4204"/>
      <c r="W201" s="4204"/>
      <c r="X201" s="4204"/>
      <c r="Y201" s="4204"/>
      <c r="Z201" s="4204"/>
      <c r="AA201" s="4204"/>
      <c r="AB201" s="4204"/>
      <c r="AC201" s="4204"/>
      <c r="AD201" s="4204"/>
      <c r="AE201" s="4204"/>
      <c r="AF201" s="4204"/>
      <c r="AG201" s="4204"/>
      <c r="AH201" s="4204"/>
      <c r="AI201" s="4204"/>
      <c r="AJ201" s="4204"/>
      <c r="AK201" s="4204"/>
      <c r="AL201" s="4204"/>
      <c r="AM201" s="4204"/>
      <c r="AN201" s="4204"/>
      <c r="AO201" s="2818"/>
      <c r="AP201" s="2818"/>
      <c r="AQ201" s="2818"/>
      <c r="AR201" s="2818"/>
      <c r="AS201" s="2818"/>
      <c r="AT201" s="2818"/>
      <c r="AU201" s="2818"/>
      <c r="AV201" s="2818"/>
      <c r="AW201" s="2818"/>
      <c r="AX201" s="2818"/>
      <c r="AY201" s="2818"/>
      <c r="AZ201" s="2818"/>
      <c r="BA201" s="2818"/>
      <c r="BB201" s="2818"/>
      <c r="BD201" s="2800"/>
      <c r="BE201" s="2800"/>
    </row>
    <row r="202" spans="2:58" x14ac:dyDescent="0.2">
      <c r="R202" s="2833">
        <f>R194+'يادداشت 1-1-10 حسابهاي پرداخخخ '!L212</f>
        <v>0</v>
      </c>
    </row>
    <row r="204" spans="2:58" x14ac:dyDescent="0.4">
      <c r="D204" s="2800"/>
      <c r="E204" s="2800"/>
      <c r="F204" s="2777"/>
      <c r="G204" s="2777"/>
      <c r="H204" s="2778"/>
      <c r="R204" s="1183"/>
    </row>
    <row r="205" spans="2:58" ht="38.450000000000003" customHeight="1" x14ac:dyDescent="0.2">
      <c r="F205" s="2927"/>
      <c r="G205" s="2927"/>
      <c r="H205" s="2928"/>
    </row>
    <row r="206" spans="2:58" x14ac:dyDescent="0.2">
      <c r="J206" s="2833">
        <f>I194+J194+K194+L194+M194+N194+S194</f>
        <v>43857942120299</v>
      </c>
      <c r="M206" s="2833">
        <f>M194-M205</f>
        <v>669945005780</v>
      </c>
      <c r="N206" s="2833">
        <f>'يادداشت 1-1-10 حسابهاي پرداخخخ '!L212+'يادداشت 11 -سايربدهي_هاي_جاري'!I159</f>
        <v>-23363852374871</v>
      </c>
      <c r="S206" s="2833">
        <f>'يادداشت 17 ارزش خالص'!T565</f>
        <v>-375455000000</v>
      </c>
      <c r="V206" s="2833">
        <f>'يادداشت 17 ارزش خالص'!V565</f>
        <v>805236980000</v>
      </c>
      <c r="AA206" s="2833">
        <f>'يادداشت 15سایر درآمد ها و انتقا'!K37+'يادداشت 1-13وجوهدريافتي ازخزانه'!J54</f>
        <v>1700133000000</v>
      </c>
      <c r="AC206" s="2833">
        <f>'يادداشت 1-1-10 حسابهاي پرداخخخ '!I212+'يادداشت 11 -سايربدهي_هاي_جاري'!H159</f>
        <v>25051967565220</v>
      </c>
    </row>
    <row r="207" spans="2:58" x14ac:dyDescent="0.2">
      <c r="AH207" s="2833">
        <f>H194-AI194</f>
        <v>10285717217022</v>
      </c>
    </row>
    <row r="209" spans="29:29" x14ac:dyDescent="0.2">
      <c r="AC209" s="2833">
        <f>AC206+AC194</f>
        <v>-6325801</v>
      </c>
    </row>
  </sheetData>
  <mergeCells count="123">
    <mergeCell ref="C115:AN115"/>
    <mergeCell ref="C116:AN116"/>
    <mergeCell ref="C117:Y117"/>
    <mergeCell ref="AM118:AN118"/>
    <mergeCell ref="B119:B120"/>
    <mergeCell ref="C119:C120"/>
    <mergeCell ref="D119:D120"/>
    <mergeCell ref="E119:H119"/>
    <mergeCell ref="I119:U119"/>
    <mergeCell ref="V119:AE119"/>
    <mergeCell ref="AG119:AG120"/>
    <mergeCell ref="AH119:AH120"/>
    <mergeCell ref="AI119:AI120"/>
    <mergeCell ref="AJ119:AJ120"/>
    <mergeCell ref="AK119:AK120"/>
    <mergeCell ref="C76:AN76"/>
    <mergeCell ref="C77:AN77"/>
    <mergeCell ref="C78:Y78"/>
    <mergeCell ref="AM79:AN79"/>
    <mergeCell ref="AM80:AN80"/>
    <mergeCell ref="AH80:AH81"/>
    <mergeCell ref="B73:AN73"/>
    <mergeCell ref="C74:AN74"/>
    <mergeCell ref="C75:AN75"/>
    <mergeCell ref="AJ80:AJ81"/>
    <mergeCell ref="C28:D28"/>
    <mergeCell ref="C33:AN33"/>
    <mergeCell ref="AK38:AK39"/>
    <mergeCell ref="E38:H38"/>
    <mergeCell ref="I38:U38"/>
    <mergeCell ref="B38:B39"/>
    <mergeCell ref="B40:B70"/>
    <mergeCell ref="B71:D71"/>
    <mergeCell ref="AJ9:AJ10"/>
    <mergeCell ref="AK9:AK10"/>
    <mergeCell ref="AM9:AN9"/>
    <mergeCell ref="E9:H9"/>
    <mergeCell ref="I9:U9"/>
    <mergeCell ref="V9:AE9"/>
    <mergeCell ref="AG9:AG10"/>
    <mergeCell ref="AI9:AI10"/>
    <mergeCell ref="AH9:AH10"/>
    <mergeCell ref="B9:B10"/>
    <mergeCell ref="B1:AN1"/>
    <mergeCell ref="B2:AN2"/>
    <mergeCell ref="B3:AN3"/>
    <mergeCell ref="B4:AN4"/>
    <mergeCell ref="B7:AJ7"/>
    <mergeCell ref="B11:B30"/>
    <mergeCell ref="D38:D39"/>
    <mergeCell ref="AG38:AG39"/>
    <mergeCell ref="AH38:AH39"/>
    <mergeCell ref="AI38:AI39"/>
    <mergeCell ref="AJ38:AJ39"/>
    <mergeCell ref="C9:C10"/>
    <mergeCell ref="D9:D10"/>
    <mergeCell ref="B31:AN31"/>
    <mergeCell ref="C32:AN32"/>
    <mergeCell ref="C34:AN34"/>
    <mergeCell ref="C35:AN35"/>
    <mergeCell ref="C36:Y36"/>
    <mergeCell ref="AM37:AN37"/>
    <mergeCell ref="AM38:AN38"/>
    <mergeCell ref="V38:AE38"/>
    <mergeCell ref="C38:C39"/>
    <mergeCell ref="AM8:AN8"/>
    <mergeCell ref="B6:Q6"/>
    <mergeCell ref="C82:D82"/>
    <mergeCell ref="C80:C81"/>
    <mergeCell ref="D80:D81"/>
    <mergeCell ref="E80:H80"/>
    <mergeCell ref="AG80:AG81"/>
    <mergeCell ref="C146:AN146"/>
    <mergeCell ref="B143:D143"/>
    <mergeCell ref="C145:AN145"/>
    <mergeCell ref="C147:AN147"/>
    <mergeCell ref="C141:D141"/>
    <mergeCell ref="C142:D142"/>
    <mergeCell ref="B80:B81"/>
    <mergeCell ref="AI80:AI81"/>
    <mergeCell ref="I80:U80"/>
    <mergeCell ref="V80:AE80"/>
    <mergeCell ref="AK80:AK81"/>
    <mergeCell ref="AM119:AN119"/>
    <mergeCell ref="C121:D121"/>
    <mergeCell ref="B82:B110"/>
    <mergeCell ref="B121:B142"/>
    <mergeCell ref="B111:D111"/>
    <mergeCell ref="B112:AN112"/>
    <mergeCell ref="C113:AN113"/>
    <mergeCell ref="C114:AN114"/>
    <mergeCell ref="C148:AN148"/>
    <mergeCell ref="C149:Y149"/>
    <mergeCell ref="B144:AN144"/>
    <mergeCell ref="B151:B152"/>
    <mergeCell ref="AJ151:AJ152"/>
    <mergeCell ref="AK151:AK152"/>
    <mergeCell ref="AM151:AN151"/>
    <mergeCell ref="C154:D154"/>
    <mergeCell ref="B154:B164"/>
    <mergeCell ref="B153:D153"/>
    <mergeCell ref="C164:D164"/>
    <mergeCell ref="E154:AN154"/>
    <mergeCell ref="AM150:AN150"/>
    <mergeCell ref="C151:C152"/>
    <mergeCell ref="D151:D152"/>
    <mergeCell ref="E151:H151"/>
    <mergeCell ref="I151:U151"/>
    <mergeCell ref="V151:AE151"/>
    <mergeCell ref="AG151:AG152"/>
    <mergeCell ref="AH151:AH152"/>
    <mergeCell ref="AI151:AI152"/>
    <mergeCell ref="B201:AN201"/>
    <mergeCell ref="C193:D193"/>
    <mergeCell ref="B166:B193"/>
    <mergeCell ref="B194:D194"/>
    <mergeCell ref="B165:D165"/>
    <mergeCell ref="E165:AN165"/>
    <mergeCell ref="Y195:AA195"/>
    <mergeCell ref="C191:D191"/>
    <mergeCell ref="B197:AJ197"/>
    <mergeCell ref="B198:AJ198"/>
    <mergeCell ref="C192:D192"/>
  </mergeCells>
  <phoneticPr fontId="123" type="noConversion"/>
  <printOptions horizontalCentered="1"/>
  <pageMargins left="0.15748031496063" right="0.196850393700787" top="0.35433070866141703" bottom="0.27559055118110198" header="0.31496062992126" footer="0.27559055118110198"/>
  <pageSetup paperSize="9" scale="20" fitToWidth="0" fitToHeight="0" orientation="landscape" r:id="rId1"/>
  <rowBreaks count="4" manualBreakCount="4">
    <brk id="31" max="16383" man="1"/>
    <brk id="73" max="16383" man="1"/>
    <brk id="112" min="1" max="39" man="1"/>
    <brk id="144" max="16383" man="1"/>
  </rowBreaks>
  <colBreaks count="1" manualBreakCount="1">
    <brk id="55"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S44"/>
  <sheetViews>
    <sheetView rightToLeft="1" view="pageBreakPreview" topLeftCell="A22" zoomScale="95" zoomScaleNormal="100" zoomScaleSheetLayoutView="95" workbookViewId="0">
      <selection activeCell="F22" sqref="F22"/>
    </sheetView>
  </sheetViews>
  <sheetFormatPr defaultColWidth="9.140625" defaultRowHeight="15" x14ac:dyDescent="0.2"/>
  <cols>
    <col min="1" max="1" width="3.7109375" style="41" customWidth="1"/>
    <col min="2" max="2" width="40.5703125" style="42" customWidth="1"/>
    <col min="3" max="3" width="1.28515625" style="41" customWidth="1"/>
    <col min="4" max="4" width="8.140625" style="41" customWidth="1"/>
    <col min="5" max="5" width="1.42578125" style="41" customWidth="1"/>
    <col min="6" max="6" width="4" style="41" customWidth="1"/>
    <col min="7" max="7" width="7" style="41" customWidth="1"/>
    <col min="8" max="8" width="4" style="41" customWidth="1"/>
    <col min="9" max="9" width="1.42578125" style="41" customWidth="1"/>
    <col min="10" max="10" width="4" style="41" customWidth="1"/>
    <col min="11" max="11" width="7" style="41" customWidth="1"/>
    <col min="12" max="12" width="4" style="41" customWidth="1"/>
    <col min="13" max="14" width="9.140625" style="41" customWidth="1"/>
    <col min="15" max="15" width="14.85546875" style="41" customWidth="1"/>
    <col min="16" max="16" width="9.140625" style="41" customWidth="1"/>
    <col min="17" max="16384" width="9.140625" style="41"/>
  </cols>
  <sheetData>
    <row r="1" spans="1:19" ht="27.6" customHeight="1" x14ac:dyDescent="0.2">
      <c r="B1" s="3054" t="s">
        <v>24</v>
      </c>
      <c r="C1" s="3054"/>
      <c r="D1" s="3054"/>
      <c r="E1" s="3054"/>
      <c r="F1" s="3054"/>
      <c r="G1" s="3054"/>
      <c r="H1" s="3054"/>
      <c r="I1" s="3054"/>
      <c r="J1" s="3054"/>
      <c r="K1" s="3054"/>
      <c r="L1" s="3054"/>
    </row>
    <row r="2" spans="1:19" ht="27.6" customHeight="1" x14ac:dyDescent="0.2">
      <c r="B2" s="3054" t="s">
        <v>1</v>
      </c>
      <c r="C2" s="3054"/>
      <c r="D2" s="3054"/>
      <c r="E2" s="3054"/>
      <c r="F2" s="3054"/>
      <c r="G2" s="3054"/>
      <c r="H2" s="3054"/>
      <c r="I2" s="3054"/>
      <c r="J2" s="3054"/>
      <c r="K2" s="3054"/>
      <c r="L2" s="3054"/>
    </row>
    <row r="3" spans="1:19" ht="27.6" customHeight="1" x14ac:dyDescent="0.2">
      <c r="B3" s="3054" t="s">
        <v>1857</v>
      </c>
      <c r="C3" s="3054"/>
      <c r="D3" s="3054"/>
      <c r="E3" s="3054"/>
      <c r="F3" s="3054"/>
      <c r="G3" s="3054"/>
      <c r="H3" s="3054"/>
      <c r="I3" s="3054"/>
      <c r="J3" s="3054"/>
      <c r="K3" s="3054"/>
      <c r="L3" s="3054"/>
    </row>
    <row r="4" spans="1:19" ht="27.6" customHeight="1" x14ac:dyDescent="0.45">
      <c r="B4" s="3077" t="s">
        <v>2218</v>
      </c>
      <c r="C4" s="3077"/>
      <c r="D4" s="3077"/>
      <c r="E4" s="3077"/>
      <c r="F4" s="3077"/>
      <c r="G4" s="3077"/>
      <c r="H4" s="3077"/>
      <c r="I4" s="3077"/>
      <c r="J4" s="3077"/>
      <c r="K4" s="3077"/>
      <c r="L4" s="3077"/>
    </row>
    <row r="5" spans="1:19" ht="10.15" customHeight="1" x14ac:dyDescent="0.55000000000000004">
      <c r="O5" s="43"/>
      <c r="P5" s="43"/>
      <c r="Q5" s="43"/>
      <c r="R5" s="43"/>
      <c r="S5" s="43"/>
    </row>
    <row r="6" spans="1:19" ht="18" x14ac:dyDescent="0.2">
      <c r="A6" s="942"/>
      <c r="B6" s="947"/>
      <c r="C6" s="942"/>
      <c r="D6" s="942"/>
      <c r="E6" s="942"/>
      <c r="F6" s="942"/>
      <c r="G6" s="942"/>
      <c r="H6" s="942"/>
      <c r="I6" s="942"/>
      <c r="J6" s="942"/>
      <c r="K6" s="942"/>
      <c r="L6" s="942"/>
    </row>
    <row r="7" spans="1:19" ht="11.45" customHeight="1" x14ac:dyDescent="0.2">
      <c r="A7" s="942"/>
      <c r="B7" s="947"/>
      <c r="C7" s="942"/>
      <c r="D7" s="942"/>
      <c r="E7" s="942"/>
      <c r="F7" s="942"/>
      <c r="G7" s="942"/>
      <c r="H7" s="942"/>
      <c r="I7" s="942"/>
      <c r="J7" s="942"/>
      <c r="K7" s="942"/>
      <c r="L7" s="942"/>
    </row>
    <row r="8" spans="1:19" ht="16.899999999999999" customHeight="1" x14ac:dyDescent="0.2">
      <c r="A8" s="942"/>
      <c r="B8" s="36"/>
      <c r="C8" s="36"/>
      <c r="D8" s="36"/>
      <c r="E8" s="36"/>
      <c r="F8" s="36"/>
      <c r="G8" s="36"/>
      <c r="H8" s="36"/>
      <c r="I8" s="36"/>
      <c r="J8" s="3079" t="s">
        <v>1193</v>
      </c>
      <c r="K8" s="3079"/>
      <c r="L8" s="3079"/>
    </row>
    <row r="9" spans="1:19" ht="30.6" customHeight="1" x14ac:dyDescent="0.2">
      <c r="A9" s="942"/>
      <c r="B9" s="947"/>
      <c r="C9" s="942"/>
      <c r="D9" s="936"/>
      <c r="E9" s="936"/>
      <c r="F9" s="3074" t="s">
        <v>2009</v>
      </c>
      <c r="G9" s="3074"/>
      <c r="H9" s="3074"/>
      <c r="I9" s="936"/>
      <c r="J9" s="3074" t="s">
        <v>1382</v>
      </c>
      <c r="K9" s="3074"/>
      <c r="L9" s="3074"/>
    </row>
    <row r="10" spans="1:19" ht="11.25" customHeight="1" x14ac:dyDescent="0.2">
      <c r="A10" s="942"/>
      <c r="B10" s="947"/>
      <c r="C10" s="942"/>
      <c r="D10" s="942"/>
      <c r="E10" s="942"/>
      <c r="F10" s="942"/>
      <c r="G10" s="942"/>
      <c r="H10" s="942"/>
      <c r="I10" s="942"/>
      <c r="J10" s="942"/>
      <c r="K10" s="942"/>
      <c r="L10" s="942"/>
    </row>
    <row r="11" spans="1:19" s="943" customFormat="1" ht="33.6" customHeight="1" x14ac:dyDescent="0.2">
      <c r="A11" s="942"/>
      <c r="B11" s="45" t="s">
        <v>1936</v>
      </c>
      <c r="C11" s="942"/>
      <c r="D11" s="942"/>
      <c r="E11" s="942"/>
      <c r="F11" s="3064">
        <f>J18</f>
        <v>58014518976018</v>
      </c>
      <c r="G11" s="3064"/>
      <c r="H11" s="3064"/>
      <c r="I11" s="942"/>
      <c r="J11" s="3064">
        <v>38713088976018</v>
      </c>
      <c r="K11" s="3064"/>
      <c r="L11" s="3064"/>
      <c r="O11" s="943">
        <v>24123481918122</v>
      </c>
    </row>
    <row r="12" spans="1:19" s="943" customFormat="1" ht="25.9" hidden="1" customHeight="1" x14ac:dyDescent="0.2">
      <c r="A12" s="942"/>
      <c r="B12" s="45" t="s">
        <v>1032</v>
      </c>
      <c r="C12" s="942"/>
      <c r="D12" s="942"/>
      <c r="E12" s="942"/>
      <c r="F12" s="3064" t="s">
        <v>30</v>
      </c>
      <c r="G12" s="3064"/>
      <c r="H12" s="3064"/>
      <c r="I12" s="942"/>
      <c r="J12" s="3064" t="s">
        <v>30</v>
      </c>
      <c r="K12" s="3064"/>
      <c r="L12" s="3064"/>
    </row>
    <row r="13" spans="1:19" s="943" customFormat="1" ht="0.6" hidden="1" customHeight="1" x14ac:dyDescent="0.2">
      <c r="A13" s="942"/>
      <c r="B13" s="45" t="s">
        <v>827</v>
      </c>
      <c r="C13" s="942"/>
      <c r="D13" s="942"/>
      <c r="E13" s="942"/>
      <c r="F13" s="3066" t="s">
        <v>30</v>
      </c>
      <c r="G13" s="3066"/>
      <c r="H13" s="3066"/>
      <c r="I13" s="941"/>
      <c r="J13" s="3066" t="s">
        <v>30</v>
      </c>
      <c r="K13" s="3066"/>
      <c r="L13" s="3066"/>
    </row>
    <row r="14" spans="1:19" s="943" customFormat="1" ht="27" customHeight="1" x14ac:dyDescent="0.4">
      <c r="A14" s="942"/>
      <c r="B14" s="31" t="s">
        <v>1937</v>
      </c>
      <c r="C14" s="942"/>
      <c r="D14" s="942"/>
      <c r="E14" s="942"/>
      <c r="F14" s="3080" t="s">
        <v>30</v>
      </c>
      <c r="G14" s="3080"/>
      <c r="H14" s="3080"/>
      <c r="I14" s="942"/>
      <c r="J14" s="3081"/>
      <c r="K14" s="3081"/>
      <c r="L14" s="3081"/>
    </row>
    <row r="15" spans="1:19" s="943" customFormat="1" ht="27" customHeight="1" x14ac:dyDescent="0.2">
      <c r="A15" s="942"/>
      <c r="B15" s="31" t="s">
        <v>1938</v>
      </c>
      <c r="C15" s="942"/>
      <c r="D15" s="942"/>
      <c r="E15" s="942"/>
      <c r="F15" s="3069">
        <f>SUM(F11:H14)</f>
        <v>58014518976018</v>
      </c>
      <c r="G15" s="3069"/>
      <c r="H15" s="3069"/>
      <c r="I15" s="942"/>
      <c r="J15" s="3082">
        <f>SUM(J11:L14)</f>
        <v>38713088976018</v>
      </c>
      <c r="K15" s="3082"/>
      <c r="L15" s="3082"/>
    </row>
    <row r="16" spans="1:19" s="943" customFormat="1" ht="27" customHeight="1" x14ac:dyDescent="0.2">
      <c r="A16" s="942"/>
      <c r="B16" s="947" t="s">
        <v>1939</v>
      </c>
      <c r="C16" s="942"/>
      <c r="D16" s="942"/>
      <c r="E16" s="942"/>
      <c r="F16" s="3064">
        <f>صورت_تغييرات_!F23</f>
        <v>18409170130753</v>
      </c>
      <c r="G16" s="3064"/>
      <c r="H16" s="3064"/>
      <c r="I16" s="942"/>
      <c r="J16" s="3065">
        <v>19301430000000</v>
      </c>
      <c r="K16" s="3065"/>
      <c r="L16" s="3065"/>
      <c r="O16" s="943">
        <v>4315886612172</v>
      </c>
    </row>
    <row r="17" spans="1:15" s="943" customFormat="1" ht="27" hidden="1" customHeight="1" x14ac:dyDescent="0.2">
      <c r="A17" s="942"/>
      <c r="B17" s="947" t="s">
        <v>29</v>
      </c>
      <c r="C17" s="942"/>
      <c r="D17" s="942">
        <v>18000000</v>
      </c>
      <c r="E17" s="942"/>
      <c r="F17" s="3064"/>
      <c r="G17" s="3064"/>
      <c r="H17" s="3064"/>
      <c r="I17" s="942"/>
      <c r="J17" s="3065" t="s">
        <v>30</v>
      </c>
      <c r="K17" s="3065"/>
      <c r="L17" s="3065"/>
    </row>
    <row r="18" spans="1:15" s="943" customFormat="1" ht="27" customHeight="1" thickBot="1" x14ac:dyDescent="0.25">
      <c r="A18" s="942"/>
      <c r="B18" s="947" t="s">
        <v>1967</v>
      </c>
      <c r="C18" s="942"/>
      <c r="D18" s="942">
        <v>17000000</v>
      </c>
      <c r="E18" s="942"/>
      <c r="F18" s="3073">
        <f>F16+F15</f>
        <v>76423689106771</v>
      </c>
      <c r="G18" s="3073"/>
      <c r="H18" s="3073"/>
      <c r="I18" s="942"/>
      <c r="J18" s="3073">
        <f>SUM(J15:L16)</f>
        <v>58014518976018</v>
      </c>
      <c r="K18" s="3073"/>
      <c r="L18" s="3073"/>
    </row>
    <row r="19" spans="1:15" ht="18" hidden="1" x14ac:dyDescent="0.2">
      <c r="A19" s="942"/>
      <c r="B19" s="947"/>
      <c r="C19" s="942"/>
      <c r="D19" s="942"/>
      <c r="E19" s="942"/>
      <c r="F19" s="942"/>
      <c r="G19" s="942"/>
      <c r="H19" s="942"/>
      <c r="I19" s="942"/>
      <c r="J19" s="942"/>
      <c r="K19" s="942"/>
      <c r="L19" s="942"/>
    </row>
    <row r="20" spans="1:15" ht="18" hidden="1" x14ac:dyDescent="0.2">
      <c r="A20" s="942"/>
      <c r="B20" s="947"/>
      <c r="C20" s="942"/>
      <c r="D20" s="942"/>
      <c r="E20" s="942"/>
      <c r="F20" s="942"/>
      <c r="G20" s="942"/>
      <c r="H20" s="942"/>
      <c r="I20" s="942"/>
      <c r="J20" s="942"/>
      <c r="K20" s="942"/>
      <c r="L20" s="942"/>
    </row>
    <row r="21" spans="1:15" ht="18" hidden="1" x14ac:dyDescent="0.2">
      <c r="A21" s="942"/>
      <c r="B21" s="947"/>
      <c r="C21" s="942"/>
      <c r="D21" s="942"/>
      <c r="E21" s="942"/>
      <c r="F21" s="942"/>
      <c r="G21" s="942"/>
      <c r="H21" s="942"/>
      <c r="I21" s="942"/>
      <c r="J21" s="942"/>
      <c r="K21" s="942"/>
      <c r="L21" s="942"/>
    </row>
    <row r="22" spans="1:15" ht="18.75" thickTop="1" x14ac:dyDescent="0.2">
      <c r="A22" s="942"/>
      <c r="B22" s="947"/>
      <c r="C22" s="942"/>
      <c r="D22" s="942"/>
      <c r="E22" s="942"/>
      <c r="F22" s="942"/>
      <c r="G22" s="942"/>
      <c r="H22" s="942"/>
      <c r="I22" s="942"/>
      <c r="J22" s="942"/>
      <c r="K22" s="942"/>
      <c r="L22" s="942"/>
      <c r="O22" s="41">
        <f>F18</f>
        <v>76423689106771</v>
      </c>
    </row>
    <row r="23" spans="1:15" ht="18" x14ac:dyDescent="0.2">
      <c r="A23" s="942"/>
      <c r="B23" s="947"/>
      <c r="C23" s="942"/>
      <c r="D23" s="942"/>
      <c r="E23" s="942"/>
      <c r="F23" s="942"/>
      <c r="G23" s="942"/>
      <c r="H23" s="942"/>
      <c r="I23" s="942"/>
      <c r="J23" s="942"/>
      <c r="K23" s="942"/>
      <c r="L23" s="942"/>
    </row>
    <row r="24" spans="1:15" ht="18" x14ac:dyDescent="0.2">
      <c r="A24" s="942"/>
      <c r="B24" s="947"/>
      <c r="C24" s="942"/>
      <c r="D24" s="942"/>
      <c r="E24" s="942"/>
      <c r="F24" s="942"/>
      <c r="G24" s="942"/>
      <c r="H24" s="942"/>
      <c r="I24" s="942"/>
      <c r="J24" s="942"/>
      <c r="K24" s="942"/>
      <c r="L24" s="942"/>
    </row>
    <row r="25" spans="1:15" ht="18" x14ac:dyDescent="0.2">
      <c r="A25" s="942"/>
      <c r="B25" s="947"/>
      <c r="C25" s="942"/>
      <c r="D25" s="942"/>
      <c r="E25" s="942"/>
      <c r="F25" s="942"/>
      <c r="G25" s="942"/>
      <c r="H25" s="942"/>
      <c r="I25" s="942"/>
      <c r="J25" s="942"/>
      <c r="K25" s="942"/>
      <c r="L25" s="942"/>
    </row>
    <row r="26" spans="1:15" ht="18" x14ac:dyDescent="0.2">
      <c r="A26" s="942"/>
      <c r="B26" s="947"/>
      <c r="C26" s="942"/>
      <c r="D26" s="942"/>
      <c r="E26" s="942"/>
      <c r="F26" s="942"/>
      <c r="G26" s="942"/>
      <c r="H26" s="942"/>
      <c r="I26" s="942"/>
      <c r="J26" s="942"/>
      <c r="K26" s="942"/>
      <c r="L26" s="942"/>
    </row>
    <row r="27" spans="1:15" ht="18" x14ac:dyDescent="0.2">
      <c r="A27" s="942"/>
      <c r="B27" s="947"/>
      <c r="C27" s="942"/>
      <c r="D27" s="942"/>
      <c r="E27" s="942"/>
      <c r="F27" s="942"/>
      <c r="G27" s="942"/>
      <c r="H27" s="942"/>
      <c r="I27" s="942"/>
      <c r="J27" s="942"/>
      <c r="K27" s="942"/>
      <c r="L27" s="942"/>
    </row>
    <row r="28" spans="1:15" ht="18" x14ac:dyDescent="0.2">
      <c r="A28" s="942"/>
      <c r="B28" s="947"/>
      <c r="C28" s="942"/>
      <c r="D28" s="942"/>
      <c r="E28" s="942"/>
      <c r="F28" s="942"/>
      <c r="G28" s="942"/>
      <c r="H28" s="942"/>
      <c r="I28" s="942"/>
      <c r="J28" s="942"/>
      <c r="K28" s="942"/>
      <c r="L28" s="942"/>
    </row>
    <row r="29" spans="1:15" ht="18" x14ac:dyDescent="0.2">
      <c r="A29" s="942"/>
      <c r="B29" s="947"/>
      <c r="C29" s="942"/>
      <c r="D29" s="942"/>
      <c r="E29" s="942"/>
      <c r="F29" s="942"/>
      <c r="G29" s="942"/>
      <c r="H29" s="942"/>
      <c r="I29" s="942"/>
      <c r="J29" s="942"/>
      <c r="K29" s="942"/>
      <c r="L29" s="942"/>
    </row>
    <row r="30" spans="1:15" ht="18" x14ac:dyDescent="0.2">
      <c r="A30" s="942"/>
      <c r="B30" s="947"/>
      <c r="C30" s="942"/>
      <c r="D30" s="942"/>
      <c r="E30" s="942"/>
      <c r="F30" s="942"/>
      <c r="G30" s="942"/>
      <c r="H30" s="942"/>
      <c r="I30" s="942"/>
      <c r="J30" s="942"/>
      <c r="K30" s="942"/>
      <c r="L30" s="942"/>
    </row>
    <row r="31" spans="1:15" ht="6.75" customHeight="1" x14ac:dyDescent="0.2">
      <c r="A31" s="942"/>
      <c r="B31" s="947"/>
      <c r="C31" s="942"/>
      <c r="D31" s="942"/>
      <c r="E31" s="942"/>
      <c r="F31" s="942"/>
      <c r="G31" s="942"/>
      <c r="H31" s="942"/>
      <c r="I31" s="942"/>
      <c r="J31" s="942"/>
      <c r="K31" s="942"/>
      <c r="L31" s="942"/>
    </row>
    <row r="32" spans="1:15" ht="6.75" customHeight="1" x14ac:dyDescent="0.2">
      <c r="A32" s="942"/>
      <c r="B32" s="947"/>
      <c r="C32" s="942"/>
      <c r="D32" s="942"/>
      <c r="E32" s="942"/>
      <c r="F32" s="942"/>
      <c r="G32" s="942"/>
      <c r="H32" s="942"/>
      <c r="I32" s="942"/>
      <c r="J32" s="942"/>
      <c r="K32" s="942"/>
      <c r="L32" s="942"/>
    </row>
    <row r="33" spans="1:16" ht="6.75" customHeight="1" x14ac:dyDescent="0.2">
      <c r="A33" s="942"/>
      <c r="B33" s="947"/>
      <c r="C33" s="942"/>
      <c r="D33" s="942"/>
      <c r="E33" s="942"/>
      <c r="F33" s="942"/>
      <c r="G33" s="942"/>
      <c r="H33" s="942"/>
      <c r="I33" s="942"/>
      <c r="J33" s="942"/>
      <c r="K33" s="942"/>
      <c r="L33" s="942"/>
    </row>
    <row r="34" spans="1:16" ht="18" x14ac:dyDescent="0.2">
      <c r="A34" s="942"/>
      <c r="B34" s="947"/>
      <c r="C34" s="942"/>
      <c r="D34" s="942"/>
      <c r="E34" s="942"/>
      <c r="F34" s="942"/>
      <c r="G34" s="942"/>
      <c r="H34" s="942"/>
      <c r="I34" s="942"/>
      <c r="J34" s="942"/>
      <c r="K34" s="942"/>
      <c r="L34" s="942"/>
    </row>
    <row r="35" spans="1:16" ht="11.25" customHeight="1" x14ac:dyDescent="0.2">
      <c r="A35" s="942"/>
      <c r="B35" s="947"/>
      <c r="C35" s="942"/>
      <c r="D35" s="942"/>
      <c r="E35" s="942"/>
      <c r="F35" s="942"/>
      <c r="G35" s="942"/>
      <c r="H35" s="942"/>
      <c r="I35" s="942"/>
      <c r="J35" s="942"/>
      <c r="K35" s="942"/>
      <c r="L35" s="942"/>
    </row>
    <row r="36" spans="1:16" ht="11.25" customHeight="1" x14ac:dyDescent="0.2">
      <c r="A36" s="942"/>
      <c r="B36" s="947"/>
      <c r="C36" s="942"/>
      <c r="D36" s="942"/>
      <c r="E36" s="942"/>
      <c r="F36" s="942"/>
      <c r="G36" s="942"/>
      <c r="H36" s="942"/>
      <c r="I36" s="942"/>
      <c r="J36" s="942"/>
      <c r="K36" s="942"/>
      <c r="L36" s="942"/>
    </row>
    <row r="37" spans="1:16" ht="18.75" x14ac:dyDescent="0.2">
      <c r="A37" s="942"/>
      <c r="B37" s="3054" t="s">
        <v>1940</v>
      </c>
      <c r="C37" s="3054"/>
      <c r="D37" s="3054"/>
      <c r="E37" s="3054"/>
      <c r="F37" s="3054"/>
      <c r="G37" s="3054"/>
      <c r="H37" s="3054"/>
      <c r="I37" s="3054"/>
      <c r="J37" s="3054"/>
      <c r="K37" s="3054"/>
      <c r="L37" s="3054"/>
      <c r="M37" s="25"/>
      <c r="N37" s="25"/>
      <c r="O37" s="25"/>
      <c r="P37" s="25"/>
    </row>
    <row r="38" spans="1:16" ht="26.45" customHeight="1" x14ac:dyDescent="0.2">
      <c r="A38" s="942"/>
      <c r="B38" s="936"/>
      <c r="C38" s="936"/>
      <c r="D38" s="936"/>
      <c r="E38" s="936"/>
      <c r="F38" s="936"/>
      <c r="G38" s="936"/>
      <c r="H38" s="936"/>
      <c r="I38" s="936"/>
      <c r="J38" s="936"/>
      <c r="K38" s="936"/>
      <c r="L38" s="936"/>
      <c r="M38" s="25"/>
      <c r="N38" s="25"/>
      <c r="O38" s="25"/>
      <c r="P38" s="25"/>
    </row>
    <row r="39" spans="1:16" ht="15.75" x14ac:dyDescent="0.2">
      <c r="A39" s="3070" t="s">
        <v>43</v>
      </c>
      <c r="B39" s="3070"/>
      <c r="C39" s="3070"/>
      <c r="D39" s="3070"/>
      <c r="E39" s="3070"/>
      <c r="F39" s="3070"/>
      <c r="G39" s="3070"/>
      <c r="H39" s="3070"/>
      <c r="I39" s="3070"/>
      <c r="J39" s="3070"/>
      <c r="K39" s="3070"/>
      <c r="L39" s="3070"/>
    </row>
    <row r="40" spans="1:16" ht="18" x14ac:dyDescent="0.2">
      <c r="A40" s="942"/>
      <c r="B40" s="947"/>
      <c r="C40" s="942"/>
      <c r="D40" s="942"/>
      <c r="E40" s="942"/>
      <c r="F40" s="942"/>
      <c r="G40" s="942"/>
      <c r="H40" s="942"/>
      <c r="I40" s="942"/>
      <c r="J40" s="942"/>
      <c r="K40" s="942"/>
      <c r="L40" s="942"/>
    </row>
    <row r="41" spans="1:16" ht="18" x14ac:dyDescent="0.2">
      <c r="A41" s="942"/>
      <c r="B41" s="947"/>
      <c r="C41" s="942"/>
      <c r="D41" s="942"/>
      <c r="E41" s="942"/>
      <c r="F41" s="942"/>
      <c r="G41" s="942"/>
      <c r="H41" s="942"/>
      <c r="I41" s="942"/>
      <c r="J41" s="942"/>
      <c r="K41" s="942"/>
      <c r="L41" s="942"/>
    </row>
    <row r="42" spans="1:16" ht="18" x14ac:dyDescent="0.2">
      <c r="A42" s="942"/>
      <c r="B42" s="947"/>
      <c r="C42" s="942"/>
      <c r="D42" s="942"/>
      <c r="E42" s="942"/>
      <c r="F42" s="942"/>
      <c r="G42" s="942"/>
      <c r="H42" s="942"/>
      <c r="I42" s="942"/>
      <c r="J42" s="942"/>
      <c r="K42" s="942"/>
      <c r="L42" s="942"/>
    </row>
    <row r="43" spans="1:16" ht="18" x14ac:dyDescent="0.2">
      <c r="A43" s="942"/>
      <c r="B43" s="3064">
        <v>3</v>
      </c>
      <c r="C43" s="3064"/>
      <c r="D43" s="3064"/>
      <c r="E43" s="3064"/>
      <c r="F43" s="3064"/>
      <c r="G43" s="3064"/>
      <c r="H43" s="3064"/>
      <c r="I43" s="3064"/>
      <c r="J43" s="3064"/>
      <c r="K43" s="3064"/>
      <c r="L43" s="3064"/>
    </row>
    <row r="44" spans="1:16" ht="12" customHeight="1" x14ac:dyDescent="0.2">
      <c r="A44" s="942"/>
      <c r="B44" s="942"/>
      <c r="C44" s="942"/>
      <c r="D44" s="942"/>
      <c r="E44" s="942"/>
      <c r="F44" s="942"/>
      <c r="G44" s="942"/>
      <c r="H44" s="942"/>
      <c r="I44" s="942"/>
      <c r="J44" s="942"/>
      <c r="K44" s="942"/>
      <c r="L44" s="942"/>
    </row>
  </sheetData>
  <mergeCells count="26">
    <mergeCell ref="J17:L17"/>
    <mergeCell ref="F13:H13"/>
    <mergeCell ref="J13:L13"/>
    <mergeCell ref="F14:H14"/>
    <mergeCell ref="J14:L14"/>
    <mergeCell ref="F15:H15"/>
    <mergeCell ref="J15:L15"/>
    <mergeCell ref="F16:H16"/>
    <mergeCell ref="J16:L16"/>
    <mergeCell ref="F17:H17"/>
    <mergeCell ref="B43:L43"/>
    <mergeCell ref="F18:H18"/>
    <mergeCell ref="J18:L18"/>
    <mergeCell ref="B37:L37"/>
    <mergeCell ref="A39:L39"/>
    <mergeCell ref="B1:L1"/>
    <mergeCell ref="B2:L2"/>
    <mergeCell ref="B3:L3"/>
    <mergeCell ref="B4:L4"/>
    <mergeCell ref="F12:H12"/>
    <mergeCell ref="J12:L12"/>
    <mergeCell ref="J11:L11"/>
    <mergeCell ref="F11:H11"/>
    <mergeCell ref="F9:H9"/>
    <mergeCell ref="J9:L9"/>
    <mergeCell ref="J8:L8"/>
  </mergeCells>
  <pageMargins left="0.70866141732283505" right="0.70866141732283505" top="0.74803149606299202" bottom="0.74803149606299202" header="0.31496062992126" footer="0.31496062992126"/>
  <pageSetup fitToWidth="0" fitToHeight="0"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2060"/>
  </sheetPr>
  <dimension ref="A1:AJ38"/>
  <sheetViews>
    <sheetView rightToLeft="1" view="pageBreakPreview" zoomScale="39" zoomScaleNormal="50" zoomScaleSheetLayoutView="39" workbookViewId="0">
      <selection activeCell="A30" sqref="A30"/>
    </sheetView>
  </sheetViews>
  <sheetFormatPr defaultColWidth="9.140625" defaultRowHeight="41.25" x14ac:dyDescent="0.9"/>
  <cols>
    <col min="1" max="1" width="24.7109375" style="47" customWidth="1"/>
    <col min="2" max="2" width="20.85546875" style="47" customWidth="1"/>
    <col min="3" max="3" width="19.5703125" style="47" hidden="1" customWidth="1"/>
    <col min="4" max="4" width="16.5703125" style="47" hidden="1" customWidth="1"/>
    <col min="5" max="5" width="18.7109375" style="47" hidden="1" customWidth="1"/>
    <col min="6" max="6" width="19.5703125" style="47" customWidth="1"/>
    <col min="7" max="7" width="15.28515625" style="47" customWidth="1"/>
    <col min="8" max="8" width="15.85546875" style="47" customWidth="1"/>
    <col min="9" max="9" width="16.140625" style="47" customWidth="1"/>
    <col min="10" max="11" width="20.42578125" style="47" customWidth="1"/>
    <col min="12" max="12" width="17.85546875" style="47" customWidth="1"/>
    <col min="13" max="13" width="15.7109375" style="47" hidden="1" customWidth="1"/>
    <col min="14" max="14" width="20.140625" style="47" customWidth="1"/>
    <col min="15" max="15" width="22.7109375" style="47" customWidth="1"/>
    <col min="16" max="16" width="19.5703125" style="47" customWidth="1"/>
    <col min="17" max="17" width="18.85546875" style="47" customWidth="1"/>
    <col min="18" max="18" width="10" style="47" hidden="1" customWidth="1"/>
    <col min="19" max="19" width="19.140625" style="47" customWidth="1"/>
    <col min="20" max="20" width="19" style="47" customWidth="1"/>
    <col min="21" max="21" width="0.28515625" style="47" hidden="1" customWidth="1"/>
    <col min="22" max="22" width="19.85546875" style="47" customWidth="1"/>
    <col min="23" max="23" width="21.7109375" style="47" customWidth="1"/>
    <col min="24" max="24" width="18.28515625" style="47" hidden="1" customWidth="1"/>
    <col min="25" max="25" width="6.85546875" style="47" hidden="1" customWidth="1"/>
    <col min="26" max="26" width="5.5703125" style="47" hidden="1" customWidth="1"/>
    <col min="27" max="27" width="24.7109375" style="47" customWidth="1"/>
    <col min="28" max="28" width="23.7109375" style="47" customWidth="1"/>
    <col min="29" max="29" width="24.7109375" style="47" customWidth="1"/>
    <col min="30" max="30" width="19.5703125" style="47" customWidth="1"/>
    <col min="31" max="31" width="18.140625" style="47" customWidth="1"/>
    <col min="32" max="32" width="25.85546875" style="47" customWidth="1"/>
    <col min="33" max="33" width="9.140625" style="47" customWidth="1"/>
    <col min="34" max="34" width="50.7109375" style="520" customWidth="1"/>
    <col min="35" max="35" width="9.140625" style="47"/>
    <col min="36" max="36" width="61.140625" style="47" customWidth="1"/>
    <col min="37" max="16384" width="9.140625" style="47"/>
  </cols>
  <sheetData>
    <row r="1" spans="1:36" ht="34.5" customHeight="1" x14ac:dyDescent="0.9">
      <c r="A1" s="4260" t="s">
        <v>24</v>
      </c>
      <c r="B1" s="4260"/>
      <c r="C1" s="4260"/>
      <c r="D1" s="4260"/>
      <c r="E1" s="4260"/>
      <c r="F1" s="4260"/>
      <c r="G1" s="4260"/>
      <c r="H1" s="4260"/>
      <c r="I1" s="4260"/>
      <c r="J1" s="4260"/>
      <c r="K1" s="4260"/>
      <c r="L1" s="4260"/>
      <c r="M1" s="4260"/>
      <c r="N1" s="4260"/>
      <c r="O1" s="4260"/>
      <c r="P1" s="4260"/>
      <c r="Q1" s="4260"/>
      <c r="R1" s="4260"/>
      <c r="S1" s="4260"/>
      <c r="T1" s="4260"/>
      <c r="U1" s="4260"/>
      <c r="V1" s="4260"/>
      <c r="W1" s="4260"/>
      <c r="X1" s="4260"/>
      <c r="Y1" s="4260"/>
      <c r="Z1" s="4260"/>
      <c r="AA1" s="4260"/>
      <c r="AB1" s="4260"/>
      <c r="AC1" s="4260"/>
      <c r="AD1" s="4260"/>
      <c r="AE1" s="4260"/>
      <c r="AF1" s="4260"/>
    </row>
    <row r="2" spans="1:36" ht="34.5" customHeight="1" x14ac:dyDescent="0.9">
      <c r="A2" s="4260" t="s">
        <v>51</v>
      </c>
      <c r="B2" s="4260"/>
      <c r="C2" s="4260"/>
      <c r="D2" s="4260"/>
      <c r="E2" s="4260"/>
      <c r="F2" s="4260"/>
      <c r="G2" s="4260"/>
      <c r="H2" s="4260"/>
      <c r="I2" s="4260"/>
      <c r="J2" s="4260"/>
      <c r="K2" s="4260"/>
      <c r="L2" s="4260"/>
      <c r="M2" s="4260"/>
      <c r="N2" s="4260"/>
      <c r="O2" s="4260"/>
      <c r="P2" s="4260"/>
      <c r="Q2" s="4260"/>
      <c r="R2" s="4260"/>
      <c r="S2" s="4260"/>
      <c r="T2" s="4260"/>
      <c r="U2" s="4260"/>
      <c r="V2" s="4260"/>
      <c r="W2" s="4260"/>
      <c r="X2" s="4260"/>
      <c r="Y2" s="4260"/>
      <c r="Z2" s="4260"/>
      <c r="AA2" s="4260"/>
      <c r="AB2" s="4260"/>
      <c r="AC2" s="4260"/>
      <c r="AD2" s="4260"/>
      <c r="AE2" s="4260"/>
      <c r="AF2" s="4260"/>
    </row>
    <row r="3" spans="1:36" ht="34.5" customHeight="1" x14ac:dyDescent="0.9">
      <c r="A3" s="4260" t="s">
        <v>337</v>
      </c>
      <c r="B3" s="4260"/>
      <c r="C3" s="4260"/>
      <c r="D3" s="4260"/>
      <c r="E3" s="4260"/>
      <c r="F3" s="4260"/>
      <c r="G3" s="4260"/>
      <c r="H3" s="4260"/>
      <c r="I3" s="4260"/>
      <c r="J3" s="4260"/>
      <c r="K3" s="4260"/>
      <c r="L3" s="4260"/>
      <c r="M3" s="4260"/>
      <c r="N3" s="4260"/>
      <c r="O3" s="4260"/>
      <c r="P3" s="4260"/>
      <c r="Q3" s="4260"/>
      <c r="R3" s="4260"/>
      <c r="S3" s="4260"/>
      <c r="T3" s="4260"/>
      <c r="U3" s="4260"/>
      <c r="V3" s="4260"/>
      <c r="W3" s="4260"/>
      <c r="X3" s="4260"/>
      <c r="Y3" s="4260"/>
      <c r="Z3" s="4260"/>
      <c r="AA3" s="4260"/>
      <c r="AB3" s="4260"/>
      <c r="AC3" s="4260"/>
      <c r="AD3" s="4260"/>
      <c r="AE3" s="4260"/>
      <c r="AF3" s="4260"/>
    </row>
    <row r="4" spans="1:36" ht="34.5" customHeight="1" x14ac:dyDescent="0.9">
      <c r="A4" s="4260" t="s">
        <v>1998</v>
      </c>
      <c r="B4" s="4260"/>
      <c r="C4" s="4260"/>
      <c r="D4" s="4260"/>
      <c r="E4" s="4260"/>
      <c r="F4" s="4260"/>
      <c r="G4" s="4260"/>
      <c r="H4" s="4260"/>
      <c r="I4" s="4260"/>
      <c r="J4" s="4260"/>
      <c r="K4" s="4260"/>
      <c r="L4" s="4260"/>
      <c r="M4" s="4260"/>
      <c r="N4" s="4260"/>
      <c r="O4" s="4260"/>
      <c r="P4" s="4260"/>
      <c r="Q4" s="4260"/>
      <c r="R4" s="4260"/>
      <c r="S4" s="4260"/>
      <c r="T4" s="4260"/>
      <c r="U4" s="4260"/>
      <c r="V4" s="4260"/>
      <c r="W4" s="4260"/>
      <c r="X4" s="4260"/>
      <c r="Y4" s="4260"/>
      <c r="Z4" s="4260"/>
      <c r="AA4" s="4260"/>
      <c r="AB4" s="4260"/>
      <c r="AC4" s="4260"/>
      <c r="AD4" s="4260"/>
      <c r="AE4" s="4260"/>
      <c r="AF4" s="4260"/>
    </row>
    <row r="5" spans="1:36" ht="34.5" customHeight="1" x14ac:dyDescent="0.9">
      <c r="S5" s="756"/>
      <c r="T5" s="756"/>
      <c r="U5" s="756"/>
      <c r="V5" s="756"/>
      <c r="W5" s="756"/>
      <c r="X5" s="756"/>
      <c r="Y5" s="756"/>
      <c r="Z5" s="756"/>
      <c r="AA5" s="756"/>
      <c r="AB5" s="756"/>
      <c r="AC5" s="756"/>
      <c r="AD5" s="756"/>
      <c r="AE5" s="756"/>
      <c r="AF5" s="756"/>
    </row>
    <row r="6" spans="1:36" x14ac:dyDescent="0.9">
      <c r="A6" s="4261" t="s">
        <v>1853</v>
      </c>
      <c r="B6" s="4261"/>
      <c r="C6" s="4261"/>
      <c r="D6" s="4261"/>
      <c r="E6" s="4261"/>
      <c r="F6" s="4261"/>
      <c r="G6" s="4261"/>
      <c r="H6" s="4261"/>
      <c r="I6" s="4261"/>
      <c r="J6" s="4261"/>
      <c r="K6" s="4261"/>
      <c r="L6" s="4261"/>
      <c r="M6" s="4261"/>
      <c r="N6" s="4261"/>
      <c r="O6" s="4261"/>
      <c r="P6" s="4261"/>
      <c r="Q6" s="4261"/>
      <c r="R6" s="757"/>
      <c r="S6" s="757"/>
      <c r="T6" s="757"/>
      <c r="U6" s="757"/>
      <c r="V6" s="757"/>
      <c r="W6" s="757">
        <f>AD14-X6</f>
        <v>0</v>
      </c>
      <c r="X6" s="757"/>
      <c r="Y6" s="757"/>
      <c r="Z6" s="757"/>
      <c r="AA6" s="757"/>
      <c r="AB6" s="757"/>
      <c r="AC6" s="757"/>
      <c r="AD6" s="757"/>
      <c r="AE6" s="757"/>
      <c r="AF6" s="757"/>
    </row>
    <row r="7" spans="1:36" x14ac:dyDescent="0.9">
      <c r="A7" s="521"/>
      <c r="B7" s="521"/>
      <c r="C7" s="521"/>
      <c r="D7" s="521"/>
      <c r="E7" s="758"/>
      <c r="F7" s="521"/>
      <c r="G7" s="521"/>
      <c r="H7" s="521"/>
      <c r="I7" s="521"/>
      <c r="J7" s="521"/>
      <c r="K7" s="521"/>
      <c r="L7" s="521"/>
      <c r="M7" s="521"/>
      <c r="N7" s="521"/>
      <c r="O7" s="521"/>
      <c r="P7" s="521"/>
      <c r="Q7" s="521"/>
      <c r="R7" s="521"/>
      <c r="S7" s="521"/>
      <c r="T7" s="521"/>
      <c r="U7" s="521"/>
      <c r="V7" s="521"/>
      <c r="W7" s="521"/>
      <c r="X7" s="521"/>
      <c r="Y7" s="521"/>
      <c r="Z7" s="521"/>
      <c r="AA7" s="521"/>
      <c r="AB7" s="521"/>
      <c r="AC7" s="521"/>
      <c r="AD7" s="521"/>
      <c r="AE7" s="4255" t="s">
        <v>523</v>
      </c>
      <c r="AF7" s="4255"/>
    </row>
    <row r="8" spans="1:36" ht="87.6" customHeight="1" x14ac:dyDescent="0.9">
      <c r="A8" s="4256" t="s">
        <v>504</v>
      </c>
      <c r="B8" s="4268" t="s">
        <v>2022</v>
      </c>
      <c r="C8" s="4269"/>
      <c r="D8" s="4269"/>
      <c r="E8" s="4263"/>
      <c r="F8" s="4258" t="s">
        <v>505</v>
      </c>
      <c r="G8" s="4258"/>
      <c r="H8" s="4258"/>
      <c r="I8" s="4258"/>
      <c r="J8" s="4258"/>
      <c r="K8" s="4258"/>
      <c r="L8" s="4266"/>
      <c r="M8" s="4266"/>
      <c r="N8" s="4266"/>
      <c r="O8" s="4267" t="s">
        <v>900</v>
      </c>
      <c r="P8" s="4267"/>
      <c r="Q8" s="4267"/>
      <c r="R8" s="4267"/>
      <c r="S8" s="4267"/>
      <c r="T8" s="4267"/>
      <c r="U8" s="4267"/>
      <c r="V8" s="4267"/>
      <c r="W8" s="4267"/>
      <c r="X8" s="4267"/>
      <c r="Y8" s="4263" t="s">
        <v>525</v>
      </c>
      <c r="Z8" s="4256" t="s">
        <v>526</v>
      </c>
      <c r="AA8" s="4256" t="s">
        <v>518</v>
      </c>
      <c r="AB8" s="4264" t="s">
        <v>2021</v>
      </c>
      <c r="AC8" s="4256" t="s">
        <v>527</v>
      </c>
      <c r="AD8" s="4256" t="s">
        <v>528</v>
      </c>
      <c r="AE8" s="4258" t="s">
        <v>507</v>
      </c>
      <c r="AF8" s="4258"/>
    </row>
    <row r="9" spans="1:36" ht="168.6" customHeight="1" x14ac:dyDescent="0.9">
      <c r="A9" s="4256"/>
      <c r="B9" s="990" t="s">
        <v>1915</v>
      </c>
      <c r="C9" s="990" t="s">
        <v>508</v>
      </c>
      <c r="D9" s="990" t="s">
        <v>1789</v>
      </c>
      <c r="E9" s="990" t="s">
        <v>510</v>
      </c>
      <c r="F9" s="990" t="s">
        <v>529</v>
      </c>
      <c r="G9" s="990" t="s">
        <v>16</v>
      </c>
      <c r="H9" s="990" t="s">
        <v>18</v>
      </c>
      <c r="I9" s="759" t="s">
        <v>975</v>
      </c>
      <c r="J9" s="990" t="s">
        <v>519</v>
      </c>
      <c r="K9" s="990" t="s">
        <v>530</v>
      </c>
      <c r="L9" s="760" t="s">
        <v>1180</v>
      </c>
      <c r="M9" s="761" t="s">
        <v>1339</v>
      </c>
      <c r="N9" s="760" t="s">
        <v>27</v>
      </c>
      <c r="O9" s="761" t="s">
        <v>520</v>
      </c>
      <c r="P9" s="761" t="s">
        <v>2018</v>
      </c>
      <c r="Q9" s="761" t="s">
        <v>2023</v>
      </c>
      <c r="R9" s="761" t="s">
        <v>509</v>
      </c>
      <c r="S9" s="761" t="s">
        <v>2024</v>
      </c>
      <c r="T9" s="761" t="s">
        <v>524</v>
      </c>
      <c r="U9" s="761" t="s">
        <v>1339</v>
      </c>
      <c r="V9" s="762" t="s">
        <v>936</v>
      </c>
      <c r="W9" s="761" t="s">
        <v>27</v>
      </c>
      <c r="X9" s="761" t="s">
        <v>565</v>
      </c>
      <c r="Y9" s="4263"/>
      <c r="Z9" s="4256"/>
      <c r="AA9" s="4256"/>
      <c r="AB9" s="4264"/>
      <c r="AC9" s="4256"/>
      <c r="AD9" s="4256"/>
      <c r="AE9" s="991" t="s">
        <v>513</v>
      </c>
      <c r="AF9" s="991" t="s">
        <v>514</v>
      </c>
    </row>
    <row r="10" spans="1:36" ht="58.5" customHeight="1" x14ac:dyDescent="0.9">
      <c r="A10" s="522" t="s">
        <v>515</v>
      </c>
      <c r="B10" s="763"/>
      <c r="C10" s="764"/>
      <c r="D10" s="764"/>
      <c r="E10" s="765"/>
      <c r="F10" s="765"/>
      <c r="G10" s="765"/>
      <c r="H10" s="765"/>
      <c r="I10" s="765"/>
      <c r="J10" s="765"/>
      <c r="K10" s="765"/>
      <c r="L10" s="765"/>
      <c r="M10" s="765"/>
      <c r="N10" s="765"/>
      <c r="O10" s="766"/>
      <c r="P10" s="767"/>
      <c r="Q10" s="766"/>
      <c r="R10" s="766"/>
      <c r="S10" s="523"/>
      <c r="T10" s="766"/>
      <c r="U10" s="766"/>
      <c r="V10" s="768"/>
      <c r="W10" s="766"/>
      <c r="X10" s="523"/>
      <c r="Y10" s="524"/>
      <c r="Z10" s="765"/>
      <c r="AA10" s="765"/>
      <c r="AB10" s="765"/>
      <c r="AC10" s="769"/>
      <c r="AD10" s="769"/>
      <c r="AE10" s="770"/>
      <c r="AF10" s="771"/>
    </row>
    <row r="11" spans="1:36" ht="100.15" customHeight="1" x14ac:dyDescent="0.9">
      <c r="A11" s="522" t="s">
        <v>516</v>
      </c>
      <c r="B11" s="772">
        <f>B15</f>
        <v>15976214000000</v>
      </c>
      <c r="C11" s="773"/>
      <c r="D11" s="773"/>
      <c r="E11" s="772">
        <f>SUM(B11:D11)</f>
        <v>15976214000000</v>
      </c>
      <c r="F11" s="772">
        <f>'ي_7_دارايي_هاي_ثابت_جاري_ ( (3)'!E87</f>
        <v>16971407311124</v>
      </c>
      <c r="G11" s="772">
        <v>2060097000000</v>
      </c>
      <c r="H11" s="772">
        <v>1362278000000</v>
      </c>
      <c r="I11" s="772">
        <v>230227000000</v>
      </c>
      <c r="J11" s="772"/>
      <c r="K11" s="772">
        <v>1758396000000</v>
      </c>
      <c r="L11" s="774">
        <v>649768000000</v>
      </c>
      <c r="M11" s="774"/>
      <c r="N11" s="774">
        <f>SUM(F11:L11)+1000000</f>
        <v>23032174311124</v>
      </c>
      <c r="O11" s="775">
        <v>-2849232000000</v>
      </c>
      <c r="P11" s="776">
        <v>-703522000000</v>
      </c>
      <c r="Q11" s="775"/>
      <c r="R11" s="777"/>
      <c r="S11" s="775">
        <v>-1700133000000</v>
      </c>
      <c r="T11" s="775">
        <v>-3956063000000</v>
      </c>
      <c r="U11" s="775"/>
      <c r="V11" s="775">
        <v>-448920000000</v>
      </c>
      <c r="W11" s="775">
        <f>SUM(O11:V11)</f>
        <v>-9657870000000</v>
      </c>
      <c r="X11" s="525">
        <f>SUM(O11:S11)</f>
        <v>-5252887000000</v>
      </c>
      <c r="Y11" s="526">
        <f t="shared" ref="Y11:Y20" si="0">-(-S11-R11-Q11-O11+E11)</f>
        <v>-20525579000000</v>
      </c>
      <c r="Z11" s="772">
        <f>N11-X11</f>
        <v>28285061311124</v>
      </c>
      <c r="AA11" s="772">
        <f>E11-AB11</f>
        <v>9726329445372</v>
      </c>
      <c r="AB11" s="772">
        <f>'ي_3_موجودي_نقد '!I12+564099000000</f>
        <v>6249884554628</v>
      </c>
      <c r="AC11" s="773">
        <f>AC15-AC12-AC14</f>
        <v>5</v>
      </c>
      <c r="AD11" s="773">
        <f>AD15-AD12-AD14</f>
        <v>54760657000000</v>
      </c>
      <c r="AE11" s="779"/>
      <c r="AF11" s="779">
        <f>AD11-AA11</f>
        <v>45034327554628</v>
      </c>
      <c r="AH11" s="520" t="e">
        <f>AF11-'ياد 20مقايسه عملكرد12ماهه_ب (2'!#REF!</f>
        <v>#REF!</v>
      </c>
      <c r="AJ11" s="520">
        <f>N23-N19-N17</f>
        <v>43439630549220</v>
      </c>
    </row>
    <row r="12" spans="1:36" ht="100.15" customHeight="1" x14ac:dyDescent="1.1499999999999999">
      <c r="A12" s="522" t="s">
        <v>1142</v>
      </c>
      <c r="B12" s="780"/>
      <c r="C12" s="781"/>
      <c r="D12" s="781"/>
      <c r="E12" s="772">
        <f t="shared" ref="E12:E21" si="1">SUM(B12:D12)</f>
        <v>0</v>
      </c>
      <c r="F12" s="782">
        <f>'ي_7_دارايي_هاي_ثابت_جاري_ ( (3)'!F87</f>
        <v>81572782861</v>
      </c>
      <c r="G12" s="780"/>
      <c r="H12" s="780"/>
      <c r="I12" s="780"/>
      <c r="J12" s="780" t="s">
        <v>992</v>
      </c>
      <c r="K12" s="780"/>
      <c r="L12" s="783"/>
      <c r="M12" s="783"/>
      <c r="N12" s="774">
        <f>SUM(F12:L12)</f>
        <v>81572782861</v>
      </c>
      <c r="O12" s="775"/>
      <c r="P12" s="776"/>
      <c r="Q12" s="775"/>
      <c r="R12" s="777"/>
      <c r="S12" s="778"/>
      <c r="T12" s="784">
        <f>-F12</f>
        <v>-81572782861</v>
      </c>
      <c r="U12" s="784"/>
      <c r="V12" s="775"/>
      <c r="W12" s="775">
        <f>SUM(O12:V12)</f>
        <v>-81572782861</v>
      </c>
      <c r="X12" s="525">
        <f t="shared" ref="X12:X18" si="2">SUM(O12:S12)</f>
        <v>0</v>
      </c>
      <c r="Y12" s="526">
        <f t="shared" si="0"/>
        <v>0</v>
      </c>
      <c r="Z12" s="772">
        <f>N12-X12</f>
        <v>81572782861</v>
      </c>
      <c r="AA12" s="772">
        <f>E12-AB12</f>
        <v>0</v>
      </c>
      <c r="AB12" s="780"/>
      <c r="AC12" s="781"/>
      <c r="AD12" s="781"/>
      <c r="AE12" s="785"/>
      <c r="AF12" s="779">
        <f>AD12-AA12</f>
        <v>0</v>
      </c>
      <c r="AJ12" s="527">
        <f>N11+N12+N14</f>
        <v>23151353268089</v>
      </c>
    </row>
    <row r="13" spans="1:36" ht="79.150000000000006" hidden="1" customHeight="1" x14ac:dyDescent="1.1499999999999999">
      <c r="A13" s="528" t="s">
        <v>1131</v>
      </c>
      <c r="B13" s="780"/>
      <c r="C13" s="781"/>
      <c r="D13" s="781"/>
      <c r="E13" s="772">
        <f t="shared" si="1"/>
        <v>0</v>
      </c>
      <c r="F13" s="782"/>
      <c r="G13" s="780"/>
      <c r="H13" s="780"/>
      <c r="I13" s="780"/>
      <c r="J13" s="780"/>
      <c r="K13" s="780"/>
      <c r="L13" s="783"/>
      <c r="M13" s="783"/>
      <c r="N13" s="774">
        <f>SUM(F13:L13)</f>
        <v>0</v>
      </c>
      <c r="O13" s="775"/>
      <c r="P13" s="776"/>
      <c r="Q13" s="775"/>
      <c r="R13" s="777"/>
      <c r="S13" s="778"/>
      <c r="T13" s="784">
        <f>-F13</f>
        <v>0</v>
      </c>
      <c r="U13" s="784"/>
      <c r="V13" s="775"/>
      <c r="W13" s="775">
        <f>SUM(O13:V13)</f>
        <v>0</v>
      </c>
      <c r="X13" s="525"/>
      <c r="Y13" s="526"/>
      <c r="Z13" s="772"/>
      <c r="AA13" s="772">
        <f>E13-AB13</f>
        <v>0</v>
      </c>
      <c r="AB13" s="780"/>
      <c r="AC13" s="781"/>
      <c r="AD13" s="781"/>
      <c r="AE13" s="785"/>
      <c r="AF13" s="779">
        <f>AD13-AA13</f>
        <v>0</v>
      </c>
      <c r="AJ13" s="527"/>
    </row>
    <row r="14" spans="1:36" ht="123" customHeight="1" x14ac:dyDescent="1.55">
      <c r="A14" s="528" t="s">
        <v>517</v>
      </c>
      <c r="B14" s="781"/>
      <c r="C14" s="781"/>
      <c r="D14" s="781"/>
      <c r="E14" s="772">
        <f t="shared" si="1"/>
        <v>0</v>
      </c>
      <c r="F14" s="781">
        <f>'ي_7_دارايي_هاي_ثابت_جاري_ ( (3)'!I87</f>
        <v>37606174104</v>
      </c>
      <c r="G14" s="781"/>
      <c r="H14" s="781"/>
      <c r="I14" s="781"/>
      <c r="J14" s="786"/>
      <c r="K14" s="781"/>
      <c r="L14" s="787"/>
      <c r="M14" s="787"/>
      <c r="N14" s="774">
        <f>SUM(F14:L14)</f>
        <v>37606174104</v>
      </c>
      <c r="O14" s="788"/>
      <c r="P14" s="789"/>
      <c r="Q14" s="788"/>
      <c r="R14" s="788"/>
      <c r="S14" s="790"/>
      <c r="T14" s="784">
        <f>-F14</f>
        <v>-37606174104</v>
      </c>
      <c r="U14" s="784"/>
      <c r="V14" s="775"/>
      <c r="W14" s="775">
        <f>SUM(O14:V14)</f>
        <v>-37606174104</v>
      </c>
      <c r="X14" s="525">
        <f t="shared" si="2"/>
        <v>0</v>
      </c>
      <c r="Y14" s="526">
        <f t="shared" si="0"/>
        <v>0</v>
      </c>
      <c r="Z14" s="772">
        <f>N14+X14</f>
        <v>37606174104</v>
      </c>
      <c r="AA14" s="772">
        <f>E14-AB14</f>
        <v>0</v>
      </c>
      <c r="AB14" s="781"/>
      <c r="AC14" s="791"/>
      <c r="AD14" s="791"/>
      <c r="AE14" s="792"/>
      <c r="AF14" s="779">
        <f>AD14-AA14</f>
        <v>0</v>
      </c>
      <c r="AH14" s="529"/>
      <c r="AJ14" s="530">
        <f>AJ11-AJ12</f>
        <v>20288277281131</v>
      </c>
    </row>
    <row r="15" spans="1:36" ht="130.9" customHeight="1" x14ac:dyDescent="0.9">
      <c r="A15" s="522" t="s">
        <v>221</v>
      </c>
      <c r="B15" s="793">
        <f>'ياد 20مقايسه عملكرد12ماهه_ب (2'!E143</f>
        <v>15976214000000</v>
      </c>
      <c r="C15" s="793">
        <f>SUM(C11:C14)</f>
        <v>0</v>
      </c>
      <c r="D15" s="793">
        <f>SUM(D11:D14)</f>
        <v>0</v>
      </c>
      <c r="E15" s="1381">
        <f>SUM(E11:E14)</f>
        <v>15976214000000</v>
      </c>
      <c r="F15" s="1381">
        <f t="shared" ref="F15:AF15" si="3">SUM(F11:F14)</f>
        <v>17090586268089</v>
      </c>
      <c r="G15" s="1383">
        <f t="shared" si="3"/>
        <v>2060097000000</v>
      </c>
      <c r="H15" s="1383"/>
      <c r="I15" s="1383"/>
      <c r="J15" s="1381">
        <f>SUM(J11:J14)</f>
        <v>0</v>
      </c>
      <c r="K15" s="793">
        <f t="shared" si="3"/>
        <v>1758396000000</v>
      </c>
      <c r="L15" s="1382">
        <f t="shared" si="3"/>
        <v>649768000000</v>
      </c>
      <c r="M15" s="1382">
        <f t="shared" si="3"/>
        <v>0</v>
      </c>
      <c r="N15" s="1383">
        <f t="shared" si="3"/>
        <v>23151353268089</v>
      </c>
      <c r="O15" s="793">
        <f t="shared" si="3"/>
        <v>-2849232000000</v>
      </c>
      <c r="P15" s="793">
        <f t="shared" si="3"/>
        <v>-703522000000</v>
      </c>
      <c r="Q15" s="1381">
        <f>'ياد 20مقايسه عملكرد12ماهه_ب (2'!Y143</f>
        <v>-209115000000</v>
      </c>
      <c r="R15" s="793">
        <f t="shared" si="3"/>
        <v>0</v>
      </c>
      <c r="S15" s="1381">
        <f>SUM(S11:S14)</f>
        <v>-1700133000000</v>
      </c>
      <c r="T15" s="1381">
        <f t="shared" si="3"/>
        <v>-4075241956965</v>
      </c>
      <c r="U15" s="793">
        <f t="shared" si="3"/>
        <v>0</v>
      </c>
      <c r="V15" s="793">
        <f t="shared" si="3"/>
        <v>-448920000000</v>
      </c>
      <c r="W15" s="1381">
        <f t="shared" si="3"/>
        <v>-9777048956965</v>
      </c>
      <c r="X15" s="793">
        <f t="shared" si="3"/>
        <v>-5252887000000</v>
      </c>
      <c r="Y15" s="793">
        <f t="shared" si="3"/>
        <v>-20525579000000</v>
      </c>
      <c r="Z15" s="793">
        <f t="shared" si="3"/>
        <v>28404240268089</v>
      </c>
      <c r="AA15" s="793">
        <f>SUM(AA11:AA14)</f>
        <v>9726329445372</v>
      </c>
      <c r="AB15" s="793">
        <f>SUM(AB11:AB14)</f>
        <v>6249884554628</v>
      </c>
      <c r="AC15" s="793">
        <f>'ياد 20مقايسه عملكرد12ماهه_ب (2'!AJ143</f>
        <v>5</v>
      </c>
      <c r="AD15" s="1381">
        <f>'ياد 20مقايسه عملكرد12ماهه_ب (2'!AK143</f>
        <v>54760657000000</v>
      </c>
      <c r="AE15" s="793">
        <f t="shared" si="3"/>
        <v>0</v>
      </c>
      <c r="AF15" s="793">
        <f t="shared" si="3"/>
        <v>45034327554628</v>
      </c>
      <c r="AH15" s="529">
        <f>SUM(AA15:AB15)</f>
        <v>15976214000000</v>
      </c>
    </row>
    <row r="16" spans="1:36" ht="130.9" hidden="1" customHeight="1" x14ac:dyDescent="0.9">
      <c r="A16" s="531" t="s">
        <v>933</v>
      </c>
      <c r="B16" s="795"/>
      <c r="C16" s="796"/>
      <c r="D16" s="796"/>
      <c r="E16" s="772">
        <f t="shared" si="1"/>
        <v>0</v>
      </c>
      <c r="F16" s="796"/>
      <c r="G16" s="796"/>
      <c r="H16" s="796" t="s">
        <v>336</v>
      </c>
      <c r="I16" s="796"/>
      <c r="J16" s="796"/>
      <c r="K16" s="796"/>
      <c r="L16" s="796"/>
      <c r="M16" s="796"/>
      <c r="N16" s="797"/>
      <c r="O16" s="798"/>
      <c r="P16" s="767"/>
      <c r="Q16" s="798"/>
      <c r="R16" s="798"/>
      <c r="S16" s="799"/>
      <c r="T16" s="800"/>
      <c r="U16" s="800"/>
      <c r="V16" s="800"/>
      <c r="W16" s="800"/>
      <c r="X16" s="532"/>
      <c r="Y16" s="533"/>
      <c r="Z16" s="797"/>
      <c r="AA16" s="797"/>
      <c r="AB16" s="796"/>
      <c r="AC16" s="796"/>
      <c r="AD16" s="796"/>
      <c r="AE16" s="801"/>
      <c r="AF16" s="802"/>
      <c r="AH16" s="529">
        <f>AH17-E17</f>
        <v>0</v>
      </c>
    </row>
    <row r="17" spans="1:34" ht="130.9" hidden="1" customHeight="1" x14ac:dyDescent="0.9">
      <c r="A17" s="522" t="s">
        <v>516</v>
      </c>
      <c r="B17" s="773"/>
      <c r="C17" s="773"/>
      <c r="D17" s="773"/>
      <c r="E17" s="772">
        <f t="shared" si="1"/>
        <v>0</v>
      </c>
      <c r="F17" s="803"/>
      <c r="G17" s="773">
        <f>'ياد 20مقايسه عملكرد12ماهه_ب (2'!J164</f>
        <v>0</v>
      </c>
      <c r="H17" s="773"/>
      <c r="I17" s="773">
        <f>'ياد 20مقايسه عملكرد12ماهه_ب (2'!M164</f>
        <v>0</v>
      </c>
      <c r="J17" s="773">
        <f>'ياد 20مقايسه عملكرد12ماهه_ب (2'!L164</f>
        <v>0</v>
      </c>
      <c r="K17" s="803">
        <f>'ياد 20مقايسه عملكرد12ماهه_ب (2'!N164</f>
        <v>0</v>
      </c>
      <c r="L17" s="804"/>
      <c r="M17" s="775"/>
      <c r="N17" s="805">
        <f>SUM(F17:M17)</f>
        <v>0</v>
      </c>
      <c r="O17" s="794"/>
      <c r="P17" s="776"/>
      <c r="Q17" s="788"/>
      <c r="R17" s="788"/>
      <c r="S17" s="790"/>
      <c r="T17" s="775">
        <f>'ياد 20مقايسه عملكرد12ماهه_ب (2'!AC164</f>
        <v>0</v>
      </c>
      <c r="U17" s="775"/>
      <c r="V17" s="775"/>
      <c r="W17" s="775">
        <f>SUM(O17:V17)</f>
        <v>0</v>
      </c>
      <c r="X17" s="525">
        <f t="shared" si="2"/>
        <v>0</v>
      </c>
      <c r="Y17" s="526">
        <f t="shared" si="0"/>
        <v>0</v>
      </c>
      <c r="Z17" s="772">
        <f>N17+X17</f>
        <v>0</v>
      </c>
      <c r="AA17" s="772">
        <f>E17-AB17</f>
        <v>0</v>
      </c>
      <c r="AB17" s="773">
        <f>'ياد 20مقايسه عملكرد12ماهه_ب (2'!AI164</f>
        <v>0</v>
      </c>
      <c r="AC17" s="791"/>
      <c r="AD17" s="791"/>
      <c r="AE17" s="792"/>
      <c r="AF17" s="806">
        <f>AD17-AA17</f>
        <v>0</v>
      </c>
      <c r="AH17" s="529">
        <f>SUM(AA17:AB17)</f>
        <v>0</v>
      </c>
    </row>
    <row r="18" spans="1:34" ht="54" customHeight="1" x14ac:dyDescent="0.9">
      <c r="A18" s="522" t="s">
        <v>190</v>
      </c>
      <c r="B18" s="787"/>
      <c r="C18" s="808"/>
      <c r="D18" s="808"/>
      <c r="E18" s="780">
        <f t="shared" si="1"/>
        <v>0</v>
      </c>
      <c r="F18" s="808"/>
      <c r="G18" s="808"/>
      <c r="H18" s="808"/>
      <c r="I18" s="808"/>
      <c r="J18" s="808"/>
      <c r="K18" s="808"/>
      <c r="L18" s="808"/>
      <c r="M18" s="808"/>
      <c r="N18" s="809">
        <f>SUM(F18:K18)</f>
        <v>0</v>
      </c>
      <c r="O18" s="810"/>
      <c r="P18" s="767"/>
      <c r="Q18" s="798"/>
      <c r="R18" s="798"/>
      <c r="S18" s="799"/>
      <c r="T18" s="800"/>
      <c r="U18" s="800"/>
      <c r="V18" s="800"/>
      <c r="W18" s="800">
        <f>SUM(O18:V18)</f>
        <v>0</v>
      </c>
      <c r="X18" s="532">
        <f t="shared" si="2"/>
        <v>0</v>
      </c>
      <c r="Y18" s="533">
        <f t="shared" si="0"/>
        <v>0</v>
      </c>
      <c r="Z18" s="797">
        <f>N18+X18</f>
        <v>0</v>
      </c>
      <c r="AA18" s="797"/>
      <c r="AB18" s="807"/>
      <c r="AC18" s="811"/>
      <c r="AD18" s="811"/>
      <c r="AE18" s="812"/>
      <c r="AF18" s="802"/>
      <c r="AH18" s="529">
        <f>AH17-E17</f>
        <v>0</v>
      </c>
    </row>
    <row r="19" spans="1:34" ht="111.6" customHeight="1" x14ac:dyDescent="0.9">
      <c r="A19" s="1377" t="s">
        <v>516</v>
      </c>
      <c r="B19" s="788">
        <f>B22-B20</f>
        <v>12378300480</v>
      </c>
      <c r="C19" s="788"/>
      <c r="D19" s="788"/>
      <c r="E19" s="775">
        <f t="shared" si="1"/>
        <v>12378300480</v>
      </c>
      <c r="F19" s="788">
        <f>'ي_7_دارايي_هاي_ثابت_جاري_ ( (3)'!E96</f>
        <v>167716618294</v>
      </c>
      <c r="G19" s="788">
        <f>'ياد 20مقايسه عملكرد12ماهه_ب (2'!J193</f>
        <v>19261290112</v>
      </c>
      <c r="H19" s="788">
        <f>'ياد 20مقايسه عملكرد12ماهه_ب (2'!K193</f>
        <v>13399662673</v>
      </c>
      <c r="I19" s="788">
        <v>70310000000</v>
      </c>
      <c r="J19" s="788">
        <f>'ياد 15  سايرهزينه '!G46</f>
        <v>0</v>
      </c>
      <c r="K19" s="788">
        <v>147625000000</v>
      </c>
      <c r="L19" s="788"/>
      <c r="M19" s="788"/>
      <c r="N19" s="775">
        <f>SUM(F19:L19)</f>
        <v>418312571079</v>
      </c>
      <c r="O19" s="794">
        <v>-469630000000</v>
      </c>
      <c r="P19" s="776"/>
      <c r="Q19" s="788"/>
      <c r="R19" s="788"/>
      <c r="S19" s="790"/>
      <c r="T19" s="775">
        <v>-265139000000</v>
      </c>
      <c r="U19" s="775"/>
      <c r="V19" s="775"/>
      <c r="W19" s="775">
        <f>SUM(O19:V19)</f>
        <v>-734769000000</v>
      </c>
      <c r="X19" s="525">
        <f>SUM(O19:S19)</f>
        <v>-469630000000</v>
      </c>
      <c r="Y19" s="526">
        <f t="shared" si="0"/>
        <v>-482008300480</v>
      </c>
      <c r="Z19" s="772">
        <f>N19-X19</f>
        <v>887942571079</v>
      </c>
      <c r="AA19" s="772">
        <f>W19+N19</f>
        <v>-316456428921</v>
      </c>
      <c r="AB19" s="787">
        <f>'ياد 20مقايسه عملكرد12ماهه_ب (2'!AI193</f>
        <v>17089528830</v>
      </c>
      <c r="AC19" s="813">
        <f>'ياد 20مقايسه عملكرد12ماهه_ب (2'!AJ193</f>
        <v>210210000000</v>
      </c>
      <c r="AD19" s="813">
        <f>'ياد 20مقايسه عملكرد12ماهه_ب (2'!AK193</f>
        <v>210210000000</v>
      </c>
      <c r="AE19" s="814"/>
      <c r="AF19" s="785">
        <f>AD19-AA19</f>
        <v>526666428921</v>
      </c>
      <c r="AH19" s="529">
        <f>SUM(AA19:AB19)</f>
        <v>-299366900091</v>
      </c>
    </row>
    <row r="20" spans="1:34" ht="95.45" customHeight="1" x14ac:dyDescent="0.9">
      <c r="A20" s="1378" t="s">
        <v>1142</v>
      </c>
      <c r="B20" s="788"/>
      <c r="C20" s="788"/>
      <c r="D20" s="788"/>
      <c r="E20" s="775">
        <f t="shared" si="1"/>
        <v>0</v>
      </c>
      <c r="F20" s="788"/>
      <c r="G20" s="788"/>
      <c r="H20" s="788"/>
      <c r="I20" s="788"/>
      <c r="J20" s="788"/>
      <c r="K20" s="788"/>
      <c r="L20" s="815"/>
      <c r="M20" s="815"/>
      <c r="N20" s="816">
        <f>SUM(F20:K20)</f>
        <v>0</v>
      </c>
      <c r="O20" s="815"/>
      <c r="P20" s="817"/>
      <c r="Q20" s="815"/>
      <c r="R20" s="815"/>
      <c r="S20" s="818"/>
      <c r="T20" s="819"/>
      <c r="U20" s="819"/>
      <c r="V20" s="819"/>
      <c r="W20" s="819">
        <f>SUM(O20:V20)</f>
        <v>0</v>
      </c>
      <c r="X20" s="691">
        <f>SUM(O20:S20)</f>
        <v>0</v>
      </c>
      <c r="Y20" s="692">
        <f t="shared" si="0"/>
        <v>0</v>
      </c>
      <c r="Z20" s="780">
        <f>N20-X20</f>
        <v>0</v>
      </c>
      <c r="AA20" s="772">
        <f>W20+N20</f>
        <v>0</v>
      </c>
      <c r="AB20" s="815"/>
      <c r="AC20" s="820"/>
      <c r="AD20" s="821"/>
      <c r="AE20" s="822">
        <f>AA20-AD20</f>
        <v>0</v>
      </c>
      <c r="AF20" s="823"/>
      <c r="AH20" s="529">
        <f>AD20-AA20</f>
        <v>0</v>
      </c>
    </row>
    <row r="21" spans="1:34" ht="66.599999999999994" hidden="1" customHeight="1" x14ac:dyDescent="0.9">
      <c r="A21" s="1379" t="s">
        <v>517</v>
      </c>
      <c r="B21" s="788"/>
      <c r="C21" s="788"/>
      <c r="D21" s="788"/>
      <c r="E21" s="775">
        <f t="shared" si="1"/>
        <v>0</v>
      </c>
      <c r="F21" s="788"/>
      <c r="G21" s="788"/>
      <c r="H21" s="788"/>
      <c r="I21" s="788"/>
      <c r="J21" s="788"/>
      <c r="K21" s="788"/>
      <c r="L21" s="815"/>
      <c r="M21" s="815"/>
      <c r="N21" s="816">
        <f>SUM(F21:K21)</f>
        <v>0</v>
      </c>
      <c r="O21" s="815"/>
      <c r="P21" s="817"/>
      <c r="Q21" s="815"/>
      <c r="R21" s="815"/>
      <c r="S21" s="818"/>
      <c r="T21" s="819"/>
      <c r="U21" s="819"/>
      <c r="V21" s="819"/>
      <c r="W21" s="819">
        <f>SUM(O21:V21)</f>
        <v>0</v>
      </c>
      <c r="X21" s="691"/>
      <c r="Y21" s="1375"/>
      <c r="Z21" s="1376"/>
      <c r="AA21" s="772">
        <f>W21+N21</f>
        <v>0</v>
      </c>
      <c r="AB21" s="815"/>
      <c r="AC21" s="820"/>
      <c r="AD21" s="821"/>
      <c r="AE21" s="822">
        <f>AA21-AD21</f>
        <v>0</v>
      </c>
      <c r="AF21" s="823"/>
      <c r="AH21" s="529"/>
    </row>
    <row r="22" spans="1:34" ht="100.15" customHeight="1" x14ac:dyDescent="0.9">
      <c r="A22" s="1380" t="s">
        <v>932</v>
      </c>
      <c r="B22" s="788">
        <f>'ياد 20مقايسه عملكرد12ماهه_ب (2'!E193</f>
        <v>12378300480</v>
      </c>
      <c r="C22" s="788">
        <f t="shared" ref="C22:Z22" si="4">SUM(C19:C21)</f>
        <v>0</v>
      </c>
      <c r="D22" s="788">
        <f t="shared" si="4"/>
        <v>0</v>
      </c>
      <c r="E22" s="788">
        <f t="shared" si="4"/>
        <v>12378300480</v>
      </c>
      <c r="F22" s="788">
        <f>SUM(F19:F21)</f>
        <v>167716618294</v>
      </c>
      <c r="G22" s="788">
        <f t="shared" si="4"/>
        <v>19261290112</v>
      </c>
      <c r="H22" s="788">
        <f t="shared" si="4"/>
        <v>13399662673</v>
      </c>
      <c r="I22" s="788">
        <f t="shared" si="4"/>
        <v>70310000000</v>
      </c>
      <c r="J22" s="788">
        <f t="shared" si="4"/>
        <v>0</v>
      </c>
      <c r="K22" s="788">
        <f t="shared" si="4"/>
        <v>147625000000</v>
      </c>
      <c r="L22" s="788">
        <f t="shared" si="4"/>
        <v>0</v>
      </c>
      <c r="M22" s="788">
        <f t="shared" si="4"/>
        <v>0</v>
      </c>
      <c r="N22" s="788">
        <f t="shared" si="4"/>
        <v>418312571079</v>
      </c>
      <c r="O22" s="788">
        <f t="shared" si="4"/>
        <v>-469630000000</v>
      </c>
      <c r="P22" s="788">
        <f t="shared" si="4"/>
        <v>0</v>
      </c>
      <c r="Q22" s="788">
        <f>'ياد 20مقايسه عملكرد12ماهه_ب (2'!Y193</f>
        <v>-281494910293</v>
      </c>
      <c r="R22" s="788">
        <f t="shared" si="4"/>
        <v>0</v>
      </c>
      <c r="S22" s="788">
        <f t="shared" si="4"/>
        <v>0</v>
      </c>
      <c r="T22" s="788">
        <f t="shared" si="4"/>
        <v>-265139000000</v>
      </c>
      <c r="U22" s="788">
        <f t="shared" si="4"/>
        <v>0</v>
      </c>
      <c r="V22" s="788">
        <f t="shared" si="4"/>
        <v>0</v>
      </c>
      <c r="W22" s="788">
        <f t="shared" si="4"/>
        <v>-734769000000</v>
      </c>
      <c r="X22" s="788">
        <f t="shared" si="4"/>
        <v>-469630000000</v>
      </c>
      <c r="Y22" s="788">
        <f t="shared" si="4"/>
        <v>-482008300480</v>
      </c>
      <c r="Z22" s="788">
        <f t="shared" si="4"/>
        <v>887942571079</v>
      </c>
      <c r="AA22" s="788">
        <f t="shared" ref="AA22:AF22" si="5">SUM(AA19:AA21)</f>
        <v>-316456428921</v>
      </c>
      <c r="AB22" s="788">
        <f t="shared" si="5"/>
        <v>17089528830</v>
      </c>
      <c r="AC22" s="788">
        <f t="shared" si="5"/>
        <v>210210000000</v>
      </c>
      <c r="AD22" s="788">
        <f t="shared" si="5"/>
        <v>210210000000</v>
      </c>
      <c r="AE22" s="788">
        <f t="shared" si="5"/>
        <v>0</v>
      </c>
      <c r="AF22" s="788">
        <f t="shared" si="5"/>
        <v>526666428921</v>
      </c>
      <c r="AH22" s="529"/>
    </row>
    <row r="23" spans="1:34" ht="90" customHeight="1" thickBot="1" x14ac:dyDescent="0.95">
      <c r="A23" s="693" t="s">
        <v>195</v>
      </c>
      <c r="B23" s="824">
        <f>B19+B17+B15+B20+B21</f>
        <v>15988592300480</v>
      </c>
      <c r="C23" s="824">
        <f>C19+C17+C15+C20</f>
        <v>0</v>
      </c>
      <c r="D23" s="824">
        <f>D19+D17+D15+D20</f>
        <v>0</v>
      </c>
      <c r="E23" s="1430">
        <f>B23+C23+D23-1000000</f>
        <v>15988591300480</v>
      </c>
      <c r="F23" s="824">
        <f>'یادداشت 7 دارایییی اصلاحی'!J457</f>
        <v>17104613294706</v>
      </c>
      <c r="G23" s="824">
        <f>'يادداشت_-5موجودی_جنسی__(2)'!F83</f>
        <v>738283418453</v>
      </c>
      <c r="H23" s="824">
        <f>'پيش پرداخت سرمايه اي يادداشت 6'!H132</f>
        <v>1537898236752</v>
      </c>
      <c r="I23" s="824">
        <f>'يادداشت 11سايربدهيها به ت پ'!F71</f>
        <v>669945005780</v>
      </c>
      <c r="J23" s="825">
        <f>'ياد 15  سايرهزينه '!G47+'ياد 15  سايرهزينه '!I41</f>
        <v>67675000000</v>
      </c>
      <c r="K23" s="825">
        <f>-('يادداشت 1-1-10 حسابهاي پرداخخخ '!L212+'يادداشت 11 -سايربدهي_هاي_جاري'!I159+'يادداشت 11 -سايربدهي_هاي_جاري'!J159)</f>
        <v>23364072164608</v>
      </c>
      <c r="L23" s="826">
        <f>-'يادداشت 17 ارزش خالص'!T565</f>
        <v>375455000000</v>
      </c>
      <c r="M23" s="826"/>
      <c r="N23" s="1429">
        <f>SUM(F23:M23)+1000000</f>
        <v>43857943120299</v>
      </c>
      <c r="O23" s="827">
        <f>'ياد 20مقايسه عملكرد12ماهه_ب (2'!W194</f>
        <v>-4819205539643</v>
      </c>
      <c r="P23" s="828">
        <f>-'يادداشت 17 ارزش خالص'!V565</f>
        <v>-805236980000</v>
      </c>
      <c r="Q23" s="828">
        <f>'ياد 20مقايسه عملكرد12ماهه_ب (2'!Y194</f>
        <v>-490609910293</v>
      </c>
      <c r="R23" s="827"/>
      <c r="S23" s="829">
        <f>-'يادداشت 15سایر درآمد ها و انتقا'!K31-'يادداشت 1-13وجوهدريافتي ازخزانه'!J54</f>
        <v>-1700133000000</v>
      </c>
      <c r="T23" s="830">
        <f>-('يادداشت 1-1-10 حسابهاي پرداخخخ '!I212+'يادداشت 11 -سايربدهي_هاي_جاري'!H159)</f>
        <v>-25051967565220</v>
      </c>
      <c r="U23" s="830">
        <f>U20+U19+U17+U15</f>
        <v>0</v>
      </c>
      <c r="V23" s="830">
        <f>-'يادداشت 11سايربدهيها به ت پ'!D71</f>
        <v>-705075582320</v>
      </c>
      <c r="W23" s="830">
        <f>V23+T23+S23+Q23+P23+O23+U23</f>
        <v>-33572228577476</v>
      </c>
      <c r="X23" s="694">
        <f>SUM(X11:X19)</f>
        <v>-10975404000000</v>
      </c>
      <c r="Y23" s="694">
        <f>SUM(Y11:Y19)</f>
        <v>-41533166300480</v>
      </c>
      <c r="Z23" s="694">
        <f>SUM(Z11:Z20)</f>
        <v>57696423107257</v>
      </c>
      <c r="AA23" s="830">
        <f>N23+W23+1000000</f>
        <v>10285715542823</v>
      </c>
      <c r="AB23" s="824">
        <f>'ي_3_موجودي_نقد '!I12+'ي_3_موجودي_نقد '!I15+'ي_3_موجودي_نقد '!I16</f>
        <v>5702875083458</v>
      </c>
      <c r="AC23" s="831">
        <f>'ياد 20مقايسه عملكرد12ماهه_ب (2'!AJ194</f>
        <v>210210000005</v>
      </c>
      <c r="AD23" s="831">
        <f>'ياد 20مقايسه عملكرد12ماهه_ب (2'!AK194</f>
        <v>54970867000000</v>
      </c>
      <c r="AE23" s="831">
        <f>AE22+AE15</f>
        <v>0</v>
      </c>
      <c r="AF23" s="831">
        <f>AF15+AF22</f>
        <v>45560993983549</v>
      </c>
      <c r="AH23" s="529">
        <f>AH19-E19</f>
        <v>-311745200571</v>
      </c>
    </row>
    <row r="24" spans="1:34" ht="34.15" customHeight="1" thickTop="1" x14ac:dyDescent="0.9">
      <c r="A24" s="534"/>
      <c r="B24" s="4259" t="s">
        <v>1959</v>
      </c>
      <c r="C24" s="4259"/>
      <c r="D24" s="4259"/>
      <c r="E24" s="832"/>
      <c r="F24" s="1385" t="s">
        <v>531</v>
      </c>
      <c r="G24" s="1385" t="s">
        <v>380</v>
      </c>
      <c r="H24" s="1385" t="s">
        <v>438</v>
      </c>
      <c r="I24" s="1415" t="s">
        <v>1006</v>
      </c>
      <c r="J24" s="1385" t="s">
        <v>1883</v>
      </c>
      <c r="K24" s="1190" t="s">
        <v>1916</v>
      </c>
      <c r="L24" s="1416" t="s">
        <v>1368</v>
      </c>
      <c r="M24" s="1416" t="s">
        <v>1369</v>
      </c>
      <c r="N24" s="1417"/>
      <c r="O24" s="1385" t="s">
        <v>587</v>
      </c>
      <c r="P24" s="1413" t="s">
        <v>1951</v>
      </c>
      <c r="Q24" s="4265" t="s">
        <v>1952</v>
      </c>
      <c r="R24" s="4265"/>
      <c r="S24" s="4265"/>
      <c r="T24" s="1190" t="s">
        <v>1916</v>
      </c>
      <c r="U24" s="833"/>
      <c r="V24" s="1418" t="s">
        <v>1006</v>
      </c>
      <c r="W24" s="834"/>
      <c r="X24" s="834"/>
      <c r="Y24" s="834"/>
      <c r="Z24" s="1419"/>
      <c r="AA24" s="1419"/>
      <c r="AB24" s="1385" t="s">
        <v>532</v>
      </c>
      <c r="AC24" s="1420"/>
      <c r="AD24" s="1420"/>
      <c r="AE24" s="1421"/>
      <c r="AF24" s="1421"/>
      <c r="AH24" s="529">
        <f>AF23-AE23</f>
        <v>45560993983549</v>
      </c>
    </row>
    <row r="25" spans="1:34" ht="34.15" customHeight="1" x14ac:dyDescent="0.9">
      <c r="A25" s="534"/>
      <c r="B25" s="1414"/>
      <c r="C25" s="1414"/>
      <c r="D25" s="1414"/>
      <c r="E25" s="832"/>
      <c r="F25" s="1385"/>
      <c r="G25" s="1385"/>
      <c r="H25" s="1385"/>
      <c r="I25" s="1422"/>
      <c r="J25" s="1385"/>
      <c r="K25" s="1190" t="s">
        <v>1917</v>
      </c>
      <c r="L25" s="1423"/>
      <c r="M25" s="1423"/>
      <c r="N25" s="1424"/>
      <c r="O25" s="1385"/>
      <c r="P25" s="1423"/>
      <c r="Q25" s="1385"/>
      <c r="R25" s="1385"/>
      <c r="S25" s="1385"/>
      <c r="T25" s="1190" t="s">
        <v>1917</v>
      </c>
      <c r="U25" s="833"/>
      <c r="V25" s="1425"/>
      <c r="W25" s="834"/>
      <c r="X25" s="834"/>
      <c r="Y25" s="834"/>
      <c r="Z25" s="1419"/>
      <c r="AA25" s="1419"/>
      <c r="AB25" s="1385"/>
      <c r="AC25" s="1420"/>
      <c r="AD25" s="1420"/>
      <c r="AE25" s="1421"/>
      <c r="AF25" s="1421"/>
      <c r="AH25" s="529"/>
    </row>
    <row r="26" spans="1:34" ht="34.15" customHeight="1" x14ac:dyDescent="0.6">
      <c r="A26" s="534"/>
      <c r="B26" s="1414"/>
      <c r="C26" s="1414"/>
      <c r="D26" s="1414"/>
      <c r="E26" s="832"/>
      <c r="F26" s="1385"/>
      <c r="G26" s="1385"/>
      <c r="H26" s="1385"/>
      <c r="I26" s="1422"/>
      <c r="J26" s="1385"/>
      <c r="K26" s="1190" t="s">
        <v>959</v>
      </c>
      <c r="L26" s="1423"/>
      <c r="M26" s="1423"/>
      <c r="N26" s="1424"/>
      <c r="O26" s="1385"/>
      <c r="P26" s="1423"/>
      <c r="Q26" s="1385"/>
      <c r="R26" s="1385"/>
      <c r="S26" s="1385"/>
      <c r="T26" s="1190" t="s">
        <v>959</v>
      </c>
      <c r="U26" s="833"/>
      <c r="V26" s="1425"/>
      <c r="W26" s="834"/>
      <c r="X26" s="834"/>
      <c r="Y26" s="834"/>
      <c r="Z26" s="1419"/>
      <c r="AA26" s="1419"/>
      <c r="AB26" s="1385"/>
      <c r="AC26" s="1420"/>
      <c r="AD26" s="1420"/>
      <c r="AE26" s="1421"/>
      <c r="AF26" s="1421"/>
      <c r="AH26" s="1421">
        <v>8901304</v>
      </c>
    </row>
    <row r="27" spans="1:34" ht="43.9" customHeight="1" x14ac:dyDescent="0.6">
      <c r="A27" s="4257"/>
      <c r="B27" s="4257"/>
      <c r="C27" s="4257"/>
      <c r="D27" s="4257"/>
      <c r="E27" s="4257"/>
      <c r="F27" s="4257"/>
      <c r="G27" s="4257"/>
      <c r="H27" s="4257"/>
      <c r="I27" s="4257"/>
      <c r="J27" s="4257"/>
      <c r="K27" s="4257"/>
      <c r="L27" s="4257"/>
      <c r="M27" s="4257"/>
      <c r="N27" s="4257"/>
      <c r="O27" s="4257"/>
      <c r="P27" s="4257"/>
      <c r="Q27" s="4257"/>
      <c r="R27" s="4257"/>
      <c r="S27" s="4257"/>
      <c r="T27" s="4257"/>
      <c r="U27" s="4257"/>
      <c r="V27" s="4257"/>
      <c r="W27" s="4257"/>
      <c r="X27" s="4257"/>
      <c r="Y27" s="4257"/>
      <c r="Z27" s="4257"/>
      <c r="AA27" s="835"/>
      <c r="AB27" s="836"/>
      <c r="AC27" s="837"/>
      <c r="AD27" s="837"/>
      <c r="AE27" s="836"/>
      <c r="AF27" s="836"/>
      <c r="AH27" s="47"/>
    </row>
    <row r="28" spans="1:34" ht="43.9" customHeight="1" x14ac:dyDescent="0.85">
      <c r="A28" s="4257"/>
      <c r="B28" s="4257"/>
      <c r="C28" s="4257"/>
      <c r="D28" s="4257"/>
      <c r="E28" s="4257"/>
      <c r="F28" s="4257"/>
      <c r="G28" s="4257"/>
      <c r="H28" s="4257"/>
      <c r="I28" s="4257"/>
      <c r="J28" s="4257"/>
      <c r="K28" s="4257"/>
      <c r="L28" s="4257"/>
      <c r="M28" s="4257"/>
      <c r="N28" s="4257"/>
      <c r="O28" s="4257"/>
      <c r="P28" s="4257"/>
      <c r="Q28" s="4257"/>
      <c r="R28" s="4257"/>
      <c r="S28" s="4257"/>
      <c r="T28" s="4257"/>
      <c r="U28" s="4257"/>
      <c r="V28" s="4257"/>
      <c r="W28" s="4257"/>
      <c r="X28" s="4257"/>
      <c r="Y28" s="4257"/>
      <c r="Z28" s="4257"/>
      <c r="AA28" s="835"/>
      <c r="AB28" s="838"/>
      <c r="AC28" s="838"/>
      <c r="AD28" s="838"/>
      <c r="AE28" s="838"/>
      <c r="AF28" s="838"/>
      <c r="AH28" s="47">
        <v>890</v>
      </c>
    </row>
    <row r="29" spans="1:34" s="103" customFormat="1" ht="40.15" customHeight="1" x14ac:dyDescent="0.2">
      <c r="A29" s="4262">
        <v>115</v>
      </c>
      <c r="B29" s="4262"/>
      <c r="C29" s="4262"/>
      <c r="D29" s="4262"/>
      <c r="E29" s="4262"/>
      <c r="F29" s="4262"/>
      <c r="G29" s="4262"/>
      <c r="H29" s="4262"/>
      <c r="I29" s="4262"/>
      <c r="J29" s="4262"/>
      <c r="K29" s="4262"/>
      <c r="L29" s="4262"/>
      <c r="M29" s="4262"/>
      <c r="N29" s="4262"/>
      <c r="O29" s="4262"/>
      <c r="P29" s="4262"/>
      <c r="Q29" s="4262"/>
      <c r="R29" s="4262"/>
      <c r="S29" s="4262"/>
      <c r="T29" s="4262"/>
      <c r="U29" s="4262"/>
      <c r="V29" s="4262"/>
      <c r="W29" s="4262"/>
      <c r="X29" s="4262"/>
      <c r="Y29" s="4262"/>
      <c r="Z29" s="4262"/>
      <c r="AA29" s="4262"/>
      <c r="AB29" s="4262"/>
      <c r="AC29" s="4262"/>
      <c r="AD29" s="4262"/>
      <c r="AE29" s="4262"/>
      <c r="AF29" s="4262"/>
      <c r="AH29" s="535"/>
    </row>
    <row r="31" spans="1:34" x14ac:dyDescent="0.9">
      <c r="B31" s="839" t="e">
        <f>#REF!+'يادداشت 15سایر درآمد ها و انتقا'!#REF!+'يادداشت 15سایر درآمد ها و انتقا'!#REF!+'يادداشت 1-13وجوهدريافتي ازخزانه'!#REF!+'يادداشت 1-13وجوهدريافتي ازخزانه'!#REF!+'يادداشت 1-13وجوهدريافتي ازخزانه'!#REF!+'يادداشت 12ح پ حاز ع غ مبادله ای'!E28</f>
        <v>#REF!</v>
      </c>
      <c r="AA31" s="47">
        <f>AA20+AA19+AA17+AA11</f>
        <v>9409873016451</v>
      </c>
      <c r="AB31" s="841">
        <f>'يادداشت 1-1-10 حسابهاي پرداخخخ '!I212+'يادداشت 11 -سايربدهي_هاي_جاري'!H159</f>
        <v>25051967565220</v>
      </c>
      <c r="AH31" s="536">
        <f>AA23+AB23</f>
        <v>15988590626281</v>
      </c>
    </row>
    <row r="32" spans="1:34" x14ac:dyDescent="0.9">
      <c r="B32" s="840"/>
      <c r="D32" s="841">
        <f>'يادداشت 14وجوه ساير (2)'!H25+'يادداشت 15سایر درآمد ها و انتقا'!P37+'يادداشت 1-13وجوهدريافتي ازخزانه'!V54</f>
        <v>16260087210773</v>
      </c>
      <c r="AF32" s="841"/>
      <c r="AH32" s="1848">
        <f>AH31-E23</f>
        <v>-674199</v>
      </c>
    </row>
    <row r="33" spans="2:34" ht="53.25" x14ac:dyDescent="1.1499999999999999">
      <c r="D33" s="527">
        <f>'يادداشت 15سایر درآمد ها و انتقا'!S31</f>
        <v>0</v>
      </c>
      <c r="J33" s="839">
        <f>'يادداشت 15سایر درآمد ها و انتقا'!M37+'يادداشت 15سایر درآمد ها و انتقا'!U37+'يادداشت 1-13وجوهدريافتي ازخزانه'!L54</f>
        <v>-221580000000</v>
      </c>
      <c r="L33" s="537">
        <f>'يادداشت 15سایر درآمد ها و انتقا'!V37+'يادداشت 15سایر درآمد ها و انتقا'!N37+'يادداشت 1-13وجوهدريافتي ازخزانه'!M54</f>
        <v>-375455000000</v>
      </c>
      <c r="AF33" s="841"/>
      <c r="AH33" s="536"/>
    </row>
    <row r="34" spans="2:34" ht="33" x14ac:dyDescent="0.75">
      <c r="B34" s="840" t="e">
        <f>B31-E23</f>
        <v>#REF!</v>
      </c>
      <c r="AH34" s="1849">
        <f>AF19+AF15+AF17</f>
        <v>45560993983549</v>
      </c>
    </row>
    <row r="35" spans="2:34" ht="21.75" x14ac:dyDescent="0.5">
      <c r="AH35" s="1850">
        <f>AH34-AF23</f>
        <v>0</v>
      </c>
    </row>
    <row r="36" spans="2:34" x14ac:dyDescent="0.9">
      <c r="L36" s="842">
        <f>'يادداشت 15سایر درآمد ها و انتقا'!N37+'يادداشت 15سایر درآمد ها و انتقا'!V37+'يادداشت 1-13وجوهدريافتي ازخزانه'!M54</f>
        <v>-375455000000</v>
      </c>
      <c r="AH36" s="536"/>
    </row>
    <row r="37" spans="2:34" x14ac:dyDescent="0.9">
      <c r="AH37" s="536">
        <f>N23+W23+AB23</f>
        <v>15988589626281</v>
      </c>
    </row>
    <row r="38" spans="2:34" x14ac:dyDescent="0.9">
      <c r="AH38" s="536">
        <f>AH37-E23</f>
        <v>-1674199</v>
      </c>
    </row>
  </sheetData>
  <mergeCells count="22">
    <mergeCell ref="A29:AF29"/>
    <mergeCell ref="Y8:Y9"/>
    <mergeCell ref="Z8:Z9"/>
    <mergeCell ref="AA8:AA9"/>
    <mergeCell ref="AB8:AB9"/>
    <mergeCell ref="Q24:S24"/>
    <mergeCell ref="F8:N8"/>
    <mergeCell ref="O8:X8"/>
    <mergeCell ref="AD8:AD9"/>
    <mergeCell ref="B8:E8"/>
    <mergeCell ref="A1:AF1"/>
    <mergeCell ref="A2:AF2"/>
    <mergeCell ref="A3:AF3"/>
    <mergeCell ref="A4:AF4"/>
    <mergeCell ref="A6:Q6"/>
    <mergeCell ref="AE7:AF7"/>
    <mergeCell ref="A8:A9"/>
    <mergeCell ref="A28:Z28"/>
    <mergeCell ref="AC8:AC9"/>
    <mergeCell ref="A27:Z27"/>
    <mergeCell ref="AE8:AF8"/>
    <mergeCell ref="B24:D24"/>
  </mergeCells>
  <printOptions horizontalCentered="1"/>
  <pageMargins left="0" right="0" top="0.55118110236220497" bottom="0" header="0.31496062992126" footer="0.31496062992126"/>
  <pageSetup paperSize="9" scale="27" fitToWidth="0" fitToHeight="0" orientation="landscape" r:id="rId1"/>
  <colBreaks count="1" manualBreakCount="1">
    <brk id="32" max="26" man="1"/>
  </colBreaks>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Y56"/>
  <sheetViews>
    <sheetView rightToLeft="1" view="pageBreakPreview" topLeftCell="A18" zoomScale="79" zoomScaleNormal="118" zoomScaleSheetLayoutView="79" workbookViewId="0">
      <selection activeCell="B39" sqref="B39"/>
    </sheetView>
  </sheetViews>
  <sheetFormatPr defaultColWidth="9.140625" defaultRowHeight="15" x14ac:dyDescent="0.2"/>
  <cols>
    <col min="1" max="1" width="5.28515625" style="103" customWidth="1"/>
    <col min="2" max="2" width="28.28515625" style="103" customWidth="1"/>
    <col min="3" max="3" width="8.85546875" style="204" customWidth="1"/>
    <col min="4" max="4" width="9.28515625" style="204" customWidth="1"/>
    <col min="5" max="5" width="8.85546875" style="333" customWidth="1"/>
    <col min="6" max="6" width="10.28515625" style="333" customWidth="1"/>
    <col min="7" max="8" width="8.85546875" style="333" customWidth="1"/>
    <col min="9" max="9" width="1.42578125" style="103" customWidth="1"/>
    <col min="10" max="10" width="9.140625" style="103"/>
    <col min="11" max="11" width="11" style="103" hidden="1" customWidth="1"/>
    <col min="12" max="12" width="6.7109375" style="103" hidden="1" customWidth="1"/>
    <col min="13" max="13" width="16.7109375" style="673" hidden="1" customWidth="1"/>
    <col min="14" max="14" width="24.42578125" style="674" hidden="1" customWidth="1"/>
    <col min="15" max="16" width="12.28515625" style="673" hidden="1" customWidth="1"/>
    <col min="17" max="17" width="0" style="103" hidden="1" customWidth="1"/>
    <col min="18" max="18" width="3.85546875" style="103" customWidth="1"/>
    <col min="19" max="19" width="5.7109375" style="103" customWidth="1"/>
    <col min="20" max="21" width="9.140625" style="103"/>
    <col min="22" max="23" width="9.140625" style="103" customWidth="1"/>
    <col min="24" max="24" width="5.5703125" style="103" customWidth="1"/>
    <col min="25" max="25" width="9.140625" style="103" hidden="1" customWidth="1"/>
    <col min="26" max="16384" width="9.140625" style="103"/>
  </cols>
  <sheetData>
    <row r="1" spans="1:25" ht="21" customHeight="1" x14ac:dyDescent="0.2">
      <c r="A1" s="3761" t="s">
        <v>24</v>
      </c>
      <c r="B1" s="3761"/>
      <c r="C1" s="3761"/>
      <c r="D1" s="3761"/>
      <c r="E1" s="3761"/>
      <c r="F1" s="3761"/>
      <c r="G1" s="3761"/>
      <c r="H1" s="3761"/>
      <c r="I1" s="61"/>
    </row>
    <row r="2" spans="1:25" ht="21" customHeight="1" x14ac:dyDescent="0.2">
      <c r="A2" s="3761" t="s">
        <v>51</v>
      </c>
      <c r="B2" s="3761"/>
      <c r="C2" s="3761"/>
      <c r="D2" s="3761"/>
      <c r="E2" s="3761"/>
      <c r="F2" s="3761"/>
      <c r="G2" s="3761"/>
      <c r="H2" s="3761"/>
      <c r="I2" s="61"/>
    </row>
    <row r="3" spans="1:25" ht="21" customHeight="1" x14ac:dyDescent="0.2">
      <c r="A3" s="3761" t="s">
        <v>337</v>
      </c>
      <c r="B3" s="3761"/>
      <c r="C3" s="3761"/>
      <c r="D3" s="3761"/>
      <c r="E3" s="3761"/>
      <c r="F3" s="3761"/>
      <c r="G3" s="3761"/>
      <c r="H3" s="3761"/>
      <c r="I3" s="61"/>
    </row>
    <row r="4" spans="1:25" ht="21" customHeight="1" x14ac:dyDescent="0.2">
      <c r="A4" s="3761" t="s">
        <v>1978</v>
      </c>
      <c r="B4" s="3761"/>
      <c r="C4" s="3761"/>
      <c r="D4" s="3761"/>
      <c r="E4" s="3761"/>
      <c r="F4" s="3761"/>
      <c r="G4" s="3761"/>
      <c r="H4" s="3761"/>
      <c r="I4" s="61"/>
    </row>
    <row r="5" spans="1:25" ht="21" customHeight="1" x14ac:dyDescent="0.35">
      <c r="A5" s="199">
        <v>-22</v>
      </c>
      <c r="B5" s="200" t="s">
        <v>566</v>
      </c>
      <c r="C5" s="201"/>
      <c r="D5" s="201"/>
      <c r="E5" s="332"/>
      <c r="F5" s="332"/>
      <c r="G5" s="4271"/>
      <c r="H5" s="4271"/>
    </row>
    <row r="6" spans="1:25" ht="14.25" customHeight="1" x14ac:dyDescent="0.2">
      <c r="A6" s="202"/>
      <c r="B6" s="203"/>
      <c r="G6" s="4272" t="s">
        <v>1193</v>
      </c>
      <c r="H6" s="4272"/>
    </row>
    <row r="7" spans="1:25" ht="20.45" customHeight="1" x14ac:dyDescent="0.2">
      <c r="A7" s="202"/>
      <c r="B7" s="4273" t="s">
        <v>567</v>
      </c>
      <c r="C7" s="4274" t="s">
        <v>180</v>
      </c>
      <c r="D7" s="4274"/>
      <c r="E7" s="4274" t="s">
        <v>190</v>
      </c>
      <c r="F7" s="4274"/>
      <c r="G7" s="4275" t="s">
        <v>387</v>
      </c>
      <c r="H7" s="4275"/>
    </row>
    <row r="8" spans="1:25" ht="20.45" customHeight="1" x14ac:dyDescent="0.2">
      <c r="A8" s="205"/>
      <c r="B8" s="4273"/>
      <c r="C8" s="206" t="s">
        <v>568</v>
      </c>
      <c r="D8" s="206" t="s">
        <v>569</v>
      </c>
      <c r="E8" s="334" t="s">
        <v>568</v>
      </c>
      <c r="F8" s="335" t="s">
        <v>569</v>
      </c>
      <c r="G8" s="336" t="s">
        <v>568</v>
      </c>
      <c r="H8" s="336" t="s">
        <v>569</v>
      </c>
    </row>
    <row r="9" spans="1:25" ht="23.45" customHeight="1" x14ac:dyDescent="0.2">
      <c r="B9" s="207" t="s">
        <v>15</v>
      </c>
      <c r="C9" s="270">
        <f>G9-E9</f>
        <v>5692535695826</v>
      </c>
      <c r="D9" s="269">
        <f>H9-F9</f>
        <v>0</v>
      </c>
      <c r="E9" s="426">
        <f>'ي_3_موجودي_نقد '!I15-1000000</f>
        <v>17088528830</v>
      </c>
      <c r="F9" s="337"/>
      <c r="G9" s="426">
        <f>صورت_وضعيت_مالي!F10</f>
        <v>5709624224656</v>
      </c>
      <c r="H9" s="338">
        <v>0</v>
      </c>
    </row>
    <row r="10" spans="1:25" ht="23.45" customHeight="1" x14ac:dyDescent="0.2">
      <c r="B10" s="487" t="s">
        <v>570</v>
      </c>
      <c r="C10" s="270">
        <f t="shared" ref="C10:C15" si="0">G10-E10</f>
        <v>1539900200521</v>
      </c>
      <c r="D10" s="269">
        <f t="shared" ref="D10:D15" si="1">H10-F10</f>
        <v>0</v>
      </c>
      <c r="E10" s="427">
        <f>'ي4_حساب_اسناددريافتني_ح_ا_ع (2'!J188</f>
        <v>335706210162</v>
      </c>
      <c r="F10" s="339"/>
      <c r="G10" s="427">
        <f>صورت_وضعيت_مالي!F11</f>
        <v>1875606410683</v>
      </c>
      <c r="H10" s="339"/>
    </row>
    <row r="11" spans="1:25" ht="23.45" customHeight="1" x14ac:dyDescent="0.2">
      <c r="B11" s="312" t="s">
        <v>16</v>
      </c>
      <c r="C11" s="270">
        <f t="shared" si="0"/>
        <v>703301751631</v>
      </c>
      <c r="D11" s="269">
        <f t="shared" si="1"/>
        <v>0</v>
      </c>
      <c r="E11" s="428">
        <f>'يادداشت_-5موجودی_جنسی__(2)'!Q82</f>
        <v>20077034697</v>
      </c>
      <c r="F11" s="337"/>
      <c r="G11" s="428">
        <f>'يادداشت_-5موجودی_جنسی__(2)'!Q83</f>
        <v>723378786328</v>
      </c>
      <c r="H11" s="337"/>
      <c r="Y11" s="2943" t="s">
        <v>2285</v>
      </c>
    </row>
    <row r="12" spans="1:25" ht="23.45" customHeight="1" x14ac:dyDescent="0.2">
      <c r="B12" s="312" t="s">
        <v>18</v>
      </c>
      <c r="C12" s="270">
        <f t="shared" si="0"/>
        <v>2752597320512</v>
      </c>
      <c r="D12" s="269">
        <f t="shared" si="1"/>
        <v>0</v>
      </c>
      <c r="E12" s="428">
        <f>'پيش پرداخت سرمايه اي يادداشت 6'!Q131+'پيش پرداخت يادداشت-6'!O34</f>
        <v>1393870668080</v>
      </c>
      <c r="F12" s="337"/>
      <c r="G12" s="428">
        <f>صورت_وضعيت_مالي!F13</f>
        <v>4146467988592</v>
      </c>
      <c r="H12" s="337"/>
      <c r="Y12" s="2943" t="s">
        <v>2286</v>
      </c>
    </row>
    <row r="13" spans="1:25" ht="23.45" customHeight="1" x14ac:dyDescent="0.4">
      <c r="B13" s="312" t="s">
        <v>571</v>
      </c>
      <c r="C13" s="270">
        <f t="shared" si="0"/>
        <v>52482005739803</v>
      </c>
      <c r="D13" s="269">
        <f t="shared" si="1"/>
        <v>0</v>
      </c>
      <c r="E13" s="428">
        <f>'یادداشت 7 دارایییی اصلاحی'!X456</f>
        <v>6360115630820</v>
      </c>
      <c r="F13" s="337"/>
      <c r="G13" s="428">
        <f>'یادداشت 7 دارایییی اصلاحی'!X457</f>
        <v>58842121370623</v>
      </c>
      <c r="H13" s="337"/>
      <c r="K13" s="1000"/>
      <c r="L13" s="1001"/>
      <c r="M13" s="1002"/>
      <c r="N13" s="1003"/>
      <c r="Y13" s="2943" t="s">
        <v>2287</v>
      </c>
    </row>
    <row r="14" spans="1:25" ht="23.45" customHeight="1" x14ac:dyDescent="0.4">
      <c r="B14" s="444" t="s">
        <v>924</v>
      </c>
      <c r="C14" s="270">
        <f t="shared" si="0"/>
        <v>9726004209979</v>
      </c>
      <c r="D14" s="269">
        <f t="shared" si="1"/>
        <v>0</v>
      </c>
      <c r="E14" s="428"/>
      <c r="F14" s="337"/>
      <c r="G14" s="426">
        <f>صورت_وضعيت_مالي!F16</f>
        <v>9726004209979</v>
      </c>
      <c r="H14" s="337"/>
      <c r="K14" s="1000"/>
      <c r="L14" s="1001"/>
      <c r="M14" s="1002"/>
      <c r="N14" s="1003"/>
      <c r="Y14" s="2943" t="s">
        <v>2288</v>
      </c>
    </row>
    <row r="15" spans="1:25" ht="23.45" customHeight="1" x14ac:dyDescent="0.4">
      <c r="B15" s="444" t="s">
        <v>925</v>
      </c>
      <c r="C15" s="270">
        <f t="shared" si="0"/>
        <v>7891981316476</v>
      </c>
      <c r="D15" s="269">
        <f t="shared" si="1"/>
        <v>0</v>
      </c>
      <c r="E15" s="428"/>
      <c r="F15" s="337"/>
      <c r="G15" s="428">
        <f>صورت_وضعيت_مالي!F15</f>
        <v>7891981316476</v>
      </c>
      <c r="H15" s="337"/>
      <c r="K15" s="1000"/>
      <c r="L15" s="1001"/>
      <c r="M15" s="1002"/>
      <c r="N15" s="1003"/>
      <c r="Y15" s="2943" t="s">
        <v>2289</v>
      </c>
    </row>
    <row r="16" spans="1:25" ht="23.45" customHeight="1" x14ac:dyDescent="0.4">
      <c r="B16" s="312" t="s">
        <v>1855</v>
      </c>
      <c r="C16" s="270">
        <f t="shared" ref="C16:D18" si="2">G16-E16</f>
        <v>0</v>
      </c>
      <c r="D16" s="269">
        <f t="shared" si="2"/>
        <v>10282691821454</v>
      </c>
      <c r="E16" s="371"/>
      <c r="F16" s="41">
        <f>'يادداشت 1-1-10 حسابهاي پرداخخخ '!R211+'يادداشت 12ح پ حاز ع غ مبادله ای'!D28</f>
        <v>1001314085035</v>
      </c>
      <c r="G16" s="337"/>
      <c r="H16" s="339">
        <f>صورت_وضعيت_مالي!N10</f>
        <v>11284005906489</v>
      </c>
      <c r="K16" s="1000"/>
      <c r="L16" s="1001"/>
      <c r="M16" s="1002"/>
      <c r="N16" s="1003"/>
      <c r="U16" s="103">
        <f>E19-F19</f>
        <v>-1241237475657</v>
      </c>
      <c r="Y16" s="2943" t="s">
        <v>2290</v>
      </c>
    </row>
    <row r="17" spans="2:25" ht="23.45" customHeight="1" x14ac:dyDescent="0.4">
      <c r="B17" s="312" t="s">
        <v>572</v>
      </c>
      <c r="C17" s="343">
        <f t="shared" si="2"/>
        <v>0</v>
      </c>
      <c r="D17" s="344">
        <f t="shared" si="2"/>
        <v>1156237234878</v>
      </c>
      <c r="E17" s="371"/>
      <c r="F17" s="337">
        <v>51252251333</v>
      </c>
      <c r="G17" s="337"/>
      <c r="H17" s="337">
        <f>صورت_وضعيت_مالي!N11</f>
        <v>1207489486211</v>
      </c>
      <c r="K17" s="1000"/>
      <c r="L17" s="1001"/>
      <c r="M17" s="1002">
        <f>D16+M19</f>
        <v>11523930104977</v>
      </c>
      <c r="N17" s="1003"/>
      <c r="Y17" s="2943" t="s">
        <v>2292</v>
      </c>
    </row>
    <row r="18" spans="2:25" ht="23.45" customHeight="1" thickBot="1" x14ac:dyDescent="0.45">
      <c r="B18" s="687" t="s">
        <v>573</v>
      </c>
      <c r="C18" s="688">
        <f t="shared" si="2"/>
        <v>0</v>
      </c>
      <c r="D18" s="685">
        <f t="shared" si="2"/>
        <v>68108157894893</v>
      </c>
      <c r="E18" s="339"/>
      <c r="F18" s="429">
        <f>'يادداشت 17 ارزش خالص'!AB564</f>
        <v>8315531211878</v>
      </c>
      <c r="G18" s="339"/>
      <c r="H18" s="430" cm="1">
        <f t="array" ref="H18:J18">'صورت_تغييرات_ (2)'!F18:H18</f>
        <v>76423689106771</v>
      </c>
      <c r="I18" s="103">
        <v>0</v>
      </c>
      <c r="J18" s="103">
        <v>0</v>
      </c>
      <c r="K18" s="1000"/>
      <c r="L18" s="1001"/>
      <c r="M18" s="1002"/>
      <c r="N18" s="1003"/>
      <c r="T18" s="103">
        <f>C19-D19</f>
        <v>1241238283523</v>
      </c>
      <c r="Y18" s="2943" t="s">
        <v>2293</v>
      </c>
    </row>
    <row r="19" spans="2:25" ht="23.45" customHeight="1" thickBot="1" x14ac:dyDescent="0.45">
      <c r="B19" s="678" t="s">
        <v>27</v>
      </c>
      <c r="C19" s="493">
        <f>SUM(C9:C18)-1000000</f>
        <v>80788325234748</v>
      </c>
      <c r="D19" s="493">
        <f>SUM(D9:D18)</f>
        <v>79547086951225</v>
      </c>
      <c r="E19" s="340">
        <f>SUM(E9:E18)+2000000</f>
        <v>8126860072589</v>
      </c>
      <c r="F19" s="340">
        <f>SUM(F9:F18)</f>
        <v>9368097548246</v>
      </c>
      <c r="G19" s="341">
        <f>SUM(G9:G18)+2000000</f>
        <v>88915186307337</v>
      </c>
      <c r="H19" s="342">
        <f>SUM(H9:H18)+1000000</f>
        <v>88915185499471</v>
      </c>
      <c r="K19" s="1004"/>
      <c r="L19" s="1001"/>
      <c r="M19" s="1002">
        <f>C19-D19</f>
        <v>1241238283523</v>
      </c>
      <c r="N19" s="1003"/>
      <c r="R19" s="103">
        <f>C19-D19</f>
        <v>1241238283523</v>
      </c>
      <c r="Y19" s="2943" t="s">
        <v>2294</v>
      </c>
    </row>
    <row r="20" spans="2:25" ht="23.45" customHeight="1" x14ac:dyDescent="0.4">
      <c r="B20" s="491" t="s">
        <v>574</v>
      </c>
      <c r="C20" s="675">
        <f>G20-E20</f>
        <v>0</v>
      </c>
      <c r="D20" s="675">
        <f>H20</f>
        <v>16551399000000</v>
      </c>
      <c r="E20" s="676"/>
      <c r="F20" s="677"/>
      <c r="G20" s="675">
        <f>K20-I20</f>
        <v>0</v>
      </c>
      <c r="H20" s="675">
        <v>16551399000000</v>
      </c>
      <c r="K20" s="1000"/>
      <c r="L20" s="1001"/>
      <c r="M20" s="1002"/>
      <c r="N20" s="1003"/>
      <c r="R20" s="103">
        <f>C19-D19</f>
        <v>1241238283523</v>
      </c>
      <c r="Y20" s="2943" t="s">
        <v>2295</v>
      </c>
    </row>
    <row r="21" spans="2:25" ht="23.45" customHeight="1" x14ac:dyDescent="0.4">
      <c r="B21" s="492" t="s">
        <v>575</v>
      </c>
      <c r="C21" s="494">
        <f>G21</f>
        <v>1514190000000</v>
      </c>
      <c r="D21" s="494">
        <f>H21-F21</f>
        <v>0</v>
      </c>
      <c r="E21" s="488"/>
      <c r="F21" s="269"/>
      <c r="G21" s="494">
        <v>1514190000000</v>
      </c>
      <c r="H21" s="494">
        <f>L21-J21</f>
        <v>0</v>
      </c>
      <c r="K21" s="1000"/>
      <c r="L21" s="1001"/>
      <c r="M21" s="1002"/>
      <c r="N21" s="1003"/>
      <c r="Y21" s="2943" t="s">
        <v>2296</v>
      </c>
    </row>
    <row r="22" spans="2:25" ht="23.45" customHeight="1" x14ac:dyDescent="0.4">
      <c r="B22" s="492" t="s">
        <v>576</v>
      </c>
      <c r="C22" s="494">
        <f>G22</f>
        <v>2272656148658</v>
      </c>
      <c r="D22" s="494">
        <f>H22-F22</f>
        <v>0</v>
      </c>
      <c r="E22" s="488"/>
      <c r="F22" s="269"/>
      <c r="G22" s="494">
        <v>2272656148658</v>
      </c>
      <c r="H22" s="494">
        <f>L22-J22</f>
        <v>0</v>
      </c>
      <c r="K22" s="1000"/>
      <c r="L22" s="1001"/>
      <c r="M22" s="1002"/>
      <c r="N22" s="1003"/>
      <c r="Y22" s="2943" t="s">
        <v>1810</v>
      </c>
    </row>
    <row r="23" spans="2:25" ht="23.45" customHeight="1" x14ac:dyDescent="0.4">
      <c r="B23" s="492" t="s">
        <v>577</v>
      </c>
      <c r="C23" s="494">
        <f>G23</f>
        <v>3659626463392</v>
      </c>
      <c r="D23" s="494">
        <f>H23-F23</f>
        <v>0</v>
      </c>
      <c r="E23" s="488"/>
      <c r="F23" s="269"/>
      <c r="G23" s="494">
        <v>3659626463392</v>
      </c>
      <c r="H23" s="494">
        <f>L23-J23</f>
        <v>0</v>
      </c>
      <c r="K23" s="1000"/>
      <c r="L23" s="1001"/>
      <c r="M23" s="1002"/>
      <c r="N23" s="1003"/>
      <c r="Y23" s="2943" t="s">
        <v>1354</v>
      </c>
    </row>
    <row r="24" spans="2:25" ht="23.45" customHeight="1" x14ac:dyDescent="0.4">
      <c r="B24" s="492" t="s">
        <v>578</v>
      </c>
      <c r="C24" s="494">
        <f>G24</f>
        <v>831713543218</v>
      </c>
      <c r="D24" s="494">
        <f>H24-F24</f>
        <v>0</v>
      </c>
      <c r="E24" s="488"/>
      <c r="F24" s="269"/>
      <c r="G24" s="675">
        <v>831713543218</v>
      </c>
      <c r="H24" s="675">
        <f>L24-J24</f>
        <v>0</v>
      </c>
      <c r="K24" s="1000"/>
      <c r="L24" s="1001"/>
      <c r="M24" s="1002"/>
      <c r="N24" s="1003"/>
      <c r="Y24" s="2943" t="s">
        <v>2298</v>
      </c>
    </row>
    <row r="25" spans="2:25" ht="23.45" customHeight="1" thickBot="1" x14ac:dyDescent="0.45">
      <c r="B25" s="492" t="s">
        <v>579</v>
      </c>
      <c r="C25" s="494">
        <f>G25</f>
        <v>8273212844732</v>
      </c>
      <c r="D25" s="679">
        <f>H25-F25</f>
        <v>0</v>
      </c>
      <c r="E25" s="680"/>
      <c r="F25" s="681"/>
      <c r="G25" s="679">
        <v>8273212844732</v>
      </c>
      <c r="H25" s="679">
        <f>L25-J25</f>
        <v>0</v>
      </c>
      <c r="K25" s="1000"/>
      <c r="L25" s="1001"/>
      <c r="M25" s="1005" t="s">
        <v>1354</v>
      </c>
      <c r="N25" s="1006" t="s">
        <v>1355</v>
      </c>
      <c r="O25" s="1007">
        <v>0</v>
      </c>
      <c r="P25" s="1007">
        <v>9625335000000</v>
      </c>
      <c r="Y25" s="2943" t="s">
        <v>1356</v>
      </c>
    </row>
    <row r="26" spans="2:25" ht="23.45" customHeight="1" thickBot="1" x14ac:dyDescent="0.45">
      <c r="B26" s="678" t="s">
        <v>27</v>
      </c>
      <c r="C26" s="682">
        <f t="shared" ref="C26:H26" si="3">SUM(C20:C25)</f>
        <v>16551399000000</v>
      </c>
      <c r="D26" s="490">
        <f t="shared" si="3"/>
        <v>16551399000000</v>
      </c>
      <c r="E26" s="489">
        <f t="shared" si="3"/>
        <v>0</v>
      </c>
      <c r="F26" s="489">
        <f t="shared" si="3"/>
        <v>0</v>
      </c>
      <c r="G26" s="683">
        <f>SUM(G20:G25)</f>
        <v>16551399000000</v>
      </c>
      <c r="H26" s="684">
        <f t="shared" si="3"/>
        <v>16551399000000</v>
      </c>
      <c r="K26" s="1000"/>
      <c r="L26" s="1001"/>
      <c r="M26" s="1005" t="s">
        <v>1356</v>
      </c>
      <c r="N26" s="1006" t="s">
        <v>1357</v>
      </c>
      <c r="O26" s="1007">
        <v>0</v>
      </c>
      <c r="P26" s="1007">
        <v>5570910869444</v>
      </c>
      <c r="Y26" s="2943" t="s">
        <v>1358</v>
      </c>
    </row>
    <row r="27" spans="2:25" ht="23.45" customHeight="1" x14ac:dyDescent="0.4">
      <c r="B27" s="2946" t="s">
        <v>580</v>
      </c>
      <c r="C27" s="1301">
        <f>G27</f>
        <v>8840014660824</v>
      </c>
      <c r="D27" s="1301">
        <f>H27-F27</f>
        <v>0</v>
      </c>
      <c r="E27" s="1301"/>
      <c r="F27" s="1301"/>
      <c r="G27" s="1301">
        <v>8840014660824</v>
      </c>
      <c r="H27" s="608"/>
      <c r="K27" s="1000"/>
      <c r="L27" s="1001"/>
      <c r="M27" s="1005" t="s">
        <v>1358</v>
      </c>
      <c r="N27" s="1006" t="s">
        <v>1359</v>
      </c>
      <c r="O27" s="1007">
        <v>1031596000000</v>
      </c>
      <c r="P27" s="1007">
        <v>0</v>
      </c>
      <c r="Y27" s="2943" t="s">
        <v>2299</v>
      </c>
    </row>
    <row r="28" spans="2:25" ht="23.45" customHeight="1" x14ac:dyDescent="0.4">
      <c r="B28" s="2944" t="s">
        <v>581</v>
      </c>
      <c r="C28" s="1300">
        <f>G28</f>
        <v>38360052203921</v>
      </c>
      <c r="D28" s="1300">
        <f>H28-F28</f>
        <v>0</v>
      </c>
      <c r="E28" s="1300"/>
      <c r="F28" s="1300"/>
      <c r="G28" s="2945">
        <v>38360052203921</v>
      </c>
      <c r="H28" s="592"/>
      <c r="K28" s="1000"/>
      <c r="L28" s="1001"/>
      <c r="M28" s="1005" t="s">
        <v>1360</v>
      </c>
      <c r="N28" s="1006" t="s">
        <v>1361</v>
      </c>
      <c r="O28" s="103"/>
      <c r="P28" s="1007">
        <v>0</v>
      </c>
      <c r="Y28" s="2943" t="s">
        <v>2300</v>
      </c>
    </row>
    <row r="29" spans="2:25" ht="23.45" customHeight="1" x14ac:dyDescent="0.4">
      <c r="B29" s="2945" t="s">
        <v>2291</v>
      </c>
      <c r="C29" s="1300">
        <f>G29</f>
        <v>59679088157062</v>
      </c>
      <c r="D29" s="1300"/>
      <c r="E29" s="1300"/>
      <c r="F29" s="1300"/>
      <c r="G29" s="2945">
        <v>59679088157062</v>
      </c>
      <c r="H29" s="592"/>
      <c r="K29" s="1000"/>
      <c r="L29" s="1001"/>
      <c r="M29" s="1005"/>
      <c r="N29" s="1006"/>
      <c r="O29" s="103"/>
      <c r="P29" s="1007"/>
      <c r="Y29" s="2943" t="s">
        <v>1360</v>
      </c>
    </row>
    <row r="30" spans="2:25" ht="23.45" customHeight="1" x14ac:dyDescent="0.4">
      <c r="B30" s="2944" t="s">
        <v>1900</v>
      </c>
      <c r="C30" s="1300">
        <f>G30</f>
        <v>29304937000000</v>
      </c>
      <c r="D30" s="1300"/>
      <c r="E30" s="1300"/>
      <c r="F30" s="1300"/>
      <c r="G30" s="2945">
        <v>29304937000000</v>
      </c>
      <c r="H30" s="592"/>
      <c r="K30" s="1000"/>
      <c r="L30" s="1001"/>
      <c r="M30" s="1005"/>
      <c r="N30" s="1006"/>
      <c r="O30" s="103"/>
      <c r="P30" s="1007"/>
      <c r="Y30" s="2943" t="s">
        <v>2301</v>
      </c>
    </row>
    <row r="31" spans="2:25" ht="23.45" customHeight="1" x14ac:dyDescent="0.4">
      <c r="B31" s="2944" t="s">
        <v>582</v>
      </c>
      <c r="C31" s="1300">
        <f>G31</f>
        <v>0</v>
      </c>
      <c r="D31" s="1300">
        <f>H31</f>
        <v>8840014660824</v>
      </c>
      <c r="E31" s="1300"/>
      <c r="F31" s="1300"/>
      <c r="G31" s="1300"/>
      <c r="H31" s="1300">
        <v>8840014660824</v>
      </c>
      <c r="K31" s="1008">
        <f>SUM(O31:O31)</f>
        <v>1574629104527</v>
      </c>
      <c r="L31" s="1001"/>
      <c r="M31" s="1005" t="s">
        <v>1362</v>
      </c>
      <c r="N31" s="1006" t="s">
        <v>1363</v>
      </c>
      <c r="O31" s="1007">
        <v>1574629104527</v>
      </c>
      <c r="P31" s="1007">
        <v>0</v>
      </c>
      <c r="Y31" s="2943" t="s">
        <v>2302</v>
      </c>
    </row>
    <row r="32" spans="2:25" ht="25.15" customHeight="1" x14ac:dyDescent="0.4">
      <c r="B32" s="2944" t="s">
        <v>583</v>
      </c>
      <c r="C32" s="1300">
        <f>G32-E32</f>
        <v>0</v>
      </c>
      <c r="D32" s="1300">
        <f>H32</f>
        <v>38360052203921</v>
      </c>
      <c r="E32" s="1300"/>
      <c r="F32" s="1300"/>
      <c r="G32" s="592"/>
      <c r="H32" s="2945">
        <v>38360052203921</v>
      </c>
      <c r="K32" s="1000"/>
      <c r="L32" s="1001"/>
      <c r="M32" s="1005" t="s">
        <v>1364</v>
      </c>
      <c r="N32" s="1006" t="s">
        <v>1365</v>
      </c>
      <c r="O32" s="1007">
        <v>3849551154911</v>
      </c>
      <c r="P32" s="1007">
        <v>0</v>
      </c>
      <c r="Y32" s="2943" t="s">
        <v>1362</v>
      </c>
    </row>
    <row r="33" spans="2:25" ht="25.15" customHeight="1" x14ac:dyDescent="0.4">
      <c r="B33" s="2945" t="s">
        <v>2297</v>
      </c>
      <c r="C33" s="1300"/>
      <c r="D33" s="1300">
        <f>H33</f>
        <v>59679088157062</v>
      </c>
      <c r="E33" s="1300"/>
      <c r="F33" s="1300"/>
      <c r="G33" s="592"/>
      <c r="H33" s="2945">
        <v>59679088157062</v>
      </c>
      <c r="K33" s="1000"/>
      <c r="L33" s="1001"/>
      <c r="M33" s="1005"/>
      <c r="N33" s="1006"/>
      <c r="O33" s="1007"/>
      <c r="P33" s="1007"/>
      <c r="Y33" s="2943" t="s">
        <v>2303</v>
      </c>
    </row>
    <row r="34" spans="2:25" ht="25.15" customHeight="1" thickBot="1" x14ac:dyDescent="0.45">
      <c r="B34" s="2947" t="s">
        <v>1901</v>
      </c>
      <c r="C34" s="1302"/>
      <c r="D34" s="1302">
        <f>H34</f>
        <v>29304937000000</v>
      </c>
      <c r="E34" s="1302"/>
      <c r="F34" s="1302"/>
      <c r="G34" s="604"/>
      <c r="H34" s="2948">
        <v>29304937000000</v>
      </c>
      <c r="K34" s="1000"/>
      <c r="L34" s="1001"/>
      <c r="M34" s="1005"/>
      <c r="N34" s="1006"/>
      <c r="O34" s="1007"/>
      <c r="P34" s="1007"/>
      <c r="Y34" s="2943" t="s">
        <v>2304</v>
      </c>
    </row>
    <row r="35" spans="2:25" ht="23.45" customHeight="1" thickBot="1" x14ac:dyDescent="0.45">
      <c r="B35" s="678" t="s">
        <v>27</v>
      </c>
      <c r="C35" s="686">
        <f>SUM(C27:C34)</f>
        <v>136184092021807</v>
      </c>
      <c r="D35" s="686">
        <f>SUM(D27:D34)</f>
        <v>136184092021807</v>
      </c>
      <c r="E35" s="686">
        <f t="shared" ref="E35:H35" si="4">SUM(E27:E34)</f>
        <v>0</v>
      </c>
      <c r="F35" s="686">
        <f t="shared" si="4"/>
        <v>0</v>
      </c>
      <c r="G35" s="686">
        <f>SUM(G27:G34)</f>
        <v>136184092021807</v>
      </c>
      <c r="H35" s="2949">
        <f t="shared" si="4"/>
        <v>136184092021807</v>
      </c>
      <c r="K35" s="1008">
        <f>SUM(O32:O35)</f>
        <v>8645509542409</v>
      </c>
      <c r="L35" s="1001"/>
      <c r="M35" s="1005" t="s">
        <v>1366</v>
      </c>
      <c r="N35" s="1006" t="s">
        <v>1367</v>
      </c>
      <c r="O35" s="1007">
        <v>4795958387498</v>
      </c>
      <c r="P35" s="1007">
        <v>0</v>
      </c>
      <c r="Y35" s="2943" t="s">
        <v>1364</v>
      </c>
    </row>
    <row r="36" spans="2:25" ht="23.45" customHeight="1" thickBot="1" x14ac:dyDescent="0.45">
      <c r="B36" s="244" t="s">
        <v>195</v>
      </c>
      <c r="C36" s="372">
        <f>C35+C26+C19+500000-1000000</f>
        <v>233523815756555</v>
      </c>
      <c r="D36" s="372">
        <f>D35+D26+D19</f>
        <v>232282577973032</v>
      </c>
      <c r="E36" s="372">
        <f>E35+E26+E19</f>
        <v>8126860072589</v>
      </c>
      <c r="F36" s="372">
        <f>F35+F26+F19</f>
        <v>9368097548246</v>
      </c>
      <c r="G36" s="372">
        <f>G35+G26+G19+500000</f>
        <v>241650677829144</v>
      </c>
      <c r="H36" s="372">
        <f>H35+H26+H19+1000000</f>
        <v>241650677521278</v>
      </c>
      <c r="K36" s="1000"/>
      <c r="L36" s="1001"/>
      <c r="N36" s="673"/>
      <c r="O36" s="673">
        <f>SUM(O25:O35)</f>
        <v>11251734646936</v>
      </c>
      <c r="P36" s="673">
        <f>SUM(P25:P35)</f>
        <v>15196245869444</v>
      </c>
      <c r="Y36" s="2943" t="s">
        <v>1366</v>
      </c>
    </row>
    <row r="37" spans="2:25" ht="14.45" customHeight="1" thickTop="1" x14ac:dyDescent="0.4">
      <c r="B37" s="4270" t="s">
        <v>2284</v>
      </c>
      <c r="C37" s="4270"/>
      <c r="D37" s="4270"/>
      <c r="E37" s="4270"/>
      <c r="F37" s="4270"/>
      <c r="G37" s="4270"/>
      <c r="H37" s="4270"/>
      <c r="K37" s="1000"/>
      <c r="N37" s="673"/>
      <c r="Y37" s="2943" t="s">
        <v>2305</v>
      </c>
    </row>
    <row r="38" spans="2:25" ht="17.25" x14ac:dyDescent="0.4">
      <c r="B38" s="103" t="s">
        <v>336</v>
      </c>
      <c r="K38" s="1000"/>
      <c r="N38" s="673"/>
    </row>
    <row r="39" spans="2:25" ht="17.25" x14ac:dyDescent="0.4">
      <c r="K39" s="1000"/>
      <c r="N39" s="673"/>
    </row>
    <row r="40" spans="2:25" ht="17.25" x14ac:dyDescent="0.4">
      <c r="K40" s="1000"/>
      <c r="N40" s="673"/>
    </row>
    <row r="41" spans="2:25" ht="17.25" x14ac:dyDescent="0.4">
      <c r="K41" s="1000"/>
    </row>
    <row r="42" spans="2:25" ht="17.25" x14ac:dyDescent="0.4">
      <c r="K42" s="1000"/>
    </row>
    <row r="43" spans="2:25" ht="17.25" x14ac:dyDescent="0.4">
      <c r="K43" s="1000"/>
    </row>
    <row r="44" spans="2:25" ht="17.25" x14ac:dyDescent="0.4">
      <c r="K44" s="1000"/>
    </row>
    <row r="45" spans="2:25" ht="17.25" x14ac:dyDescent="0.4">
      <c r="K45" s="1000"/>
    </row>
    <row r="46" spans="2:25" ht="17.25" x14ac:dyDescent="0.4">
      <c r="K46" s="1000"/>
    </row>
    <row r="47" spans="2:25" ht="17.25" x14ac:dyDescent="0.4">
      <c r="K47" s="1000"/>
    </row>
    <row r="49" spans="11:19" ht="17.25" x14ac:dyDescent="0.4">
      <c r="K49" s="1000"/>
    </row>
    <row r="50" spans="11:19" ht="17.25" x14ac:dyDescent="0.4">
      <c r="K50" s="1000"/>
    </row>
    <row r="52" spans="11:19" ht="17.25" x14ac:dyDescent="0.4">
      <c r="K52" s="1000"/>
    </row>
    <row r="53" spans="11:19" ht="17.25" x14ac:dyDescent="0.4">
      <c r="K53" s="1000"/>
    </row>
    <row r="56" spans="11:19" x14ac:dyDescent="0.2">
      <c r="S56" s="1191" t="s">
        <v>1810</v>
      </c>
    </row>
  </sheetData>
  <mergeCells count="11">
    <mergeCell ref="B37:H37"/>
    <mergeCell ref="A1:H1"/>
    <mergeCell ref="A2:H2"/>
    <mergeCell ref="A3:H3"/>
    <mergeCell ref="A4:H4"/>
    <mergeCell ref="G5:H5"/>
    <mergeCell ref="G6:H6"/>
    <mergeCell ref="B7:B8"/>
    <mergeCell ref="C7:D7"/>
    <mergeCell ref="E7:F7"/>
    <mergeCell ref="G7:H7"/>
  </mergeCells>
  <printOptions horizontalCentered="1"/>
  <pageMargins left="0.45866141700000002" right="0.45866141700000002" top="0.94488188976377996" bottom="0" header="0.31496062992126" footer="0.15748031496063"/>
  <pageSetup paperSize="9" scale="91" fitToWidth="0" fitToHeight="0" orientation="portrait" r:id="rId1"/>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C32"/>
  <sheetViews>
    <sheetView rightToLeft="1" workbookViewId="0">
      <selection activeCell="AQ22" sqref="AP22:AQ22"/>
    </sheetView>
  </sheetViews>
  <sheetFormatPr defaultColWidth="8.85546875" defaultRowHeight="17.25" x14ac:dyDescent="0.4"/>
  <cols>
    <col min="1" max="1" width="8.85546875" style="619"/>
    <col min="2" max="2" width="53.85546875" style="660" customWidth="1"/>
    <col min="3" max="3" width="19.140625" style="658" bestFit="1" customWidth="1"/>
    <col min="4" max="16384" width="8.85546875" style="619"/>
  </cols>
  <sheetData>
    <row r="1" spans="1:3" s="639" customFormat="1" ht="19.149999999999999" customHeight="1" x14ac:dyDescent="0.5">
      <c r="A1" s="656" t="s">
        <v>610</v>
      </c>
      <c r="B1" s="659" t="s">
        <v>596</v>
      </c>
      <c r="C1" s="661">
        <v>-10000000000</v>
      </c>
    </row>
    <row r="2" spans="1:3" s="639" customFormat="1" ht="19.149999999999999" customHeight="1" x14ac:dyDescent="0.5">
      <c r="A2" s="384" t="s">
        <v>622</v>
      </c>
      <c r="B2" s="377" t="s">
        <v>620</v>
      </c>
      <c r="C2" s="661">
        <v>-3050447472</v>
      </c>
    </row>
    <row r="3" spans="1:3" s="639" customFormat="1" ht="19.149999999999999" customHeight="1" x14ac:dyDescent="0.5">
      <c r="A3" s="384" t="s">
        <v>634</v>
      </c>
      <c r="B3" s="377" t="s">
        <v>598</v>
      </c>
      <c r="C3" s="661">
        <v>-335000000</v>
      </c>
    </row>
    <row r="4" spans="1:3" s="639" customFormat="1" ht="19.149999999999999" customHeight="1" x14ac:dyDescent="0.5">
      <c r="A4" s="384" t="s">
        <v>643</v>
      </c>
      <c r="B4" s="377" t="s">
        <v>632</v>
      </c>
      <c r="C4" s="661">
        <v>-3161451789</v>
      </c>
    </row>
    <row r="5" spans="1:3" s="639" customFormat="1" ht="19.149999999999999" customHeight="1" x14ac:dyDescent="0.5">
      <c r="A5" s="384" t="s">
        <v>608</v>
      </c>
      <c r="B5" s="377" t="s">
        <v>1145</v>
      </c>
      <c r="C5" s="661">
        <v>-277823900933</v>
      </c>
    </row>
    <row r="6" spans="1:3" s="639" customFormat="1" ht="19.149999999999999" customHeight="1" x14ac:dyDescent="0.5">
      <c r="A6" s="384" t="s">
        <v>609</v>
      </c>
      <c r="B6" s="377" t="s">
        <v>607</v>
      </c>
      <c r="C6" s="661">
        <v>-17028127716</v>
      </c>
    </row>
    <row r="7" spans="1:3" s="639" customFormat="1" ht="19.149999999999999" customHeight="1" x14ac:dyDescent="0.5">
      <c r="A7" s="662"/>
      <c r="B7" s="663"/>
      <c r="C7" s="661">
        <f>SUM(C1:C6)</f>
        <v>-311398927910</v>
      </c>
    </row>
    <row r="8" spans="1:3" s="639" customFormat="1" ht="19.149999999999999" customHeight="1" x14ac:dyDescent="0.5">
      <c r="B8" s="660"/>
      <c r="C8" s="657"/>
    </row>
    <row r="9" spans="1:3" s="639" customFormat="1" ht="12" customHeight="1" x14ac:dyDescent="0.5">
      <c r="B9" s="660"/>
      <c r="C9" s="657"/>
    </row>
    <row r="10" spans="1:3" s="639" customFormat="1" ht="12" customHeight="1" x14ac:dyDescent="0.5">
      <c r="B10" s="660"/>
      <c r="C10" s="657"/>
    </row>
    <row r="11" spans="1:3" s="639" customFormat="1" ht="12" customHeight="1" x14ac:dyDescent="0.5">
      <c r="B11" s="660"/>
      <c r="C11" s="657"/>
    </row>
    <row r="12" spans="1:3" s="639" customFormat="1" ht="12" customHeight="1" x14ac:dyDescent="0.5">
      <c r="B12" s="660"/>
      <c r="C12" s="657"/>
    </row>
    <row r="13" spans="1:3" s="639" customFormat="1" ht="12" customHeight="1" x14ac:dyDescent="0.5">
      <c r="B13" s="660"/>
      <c r="C13" s="657"/>
    </row>
    <row r="14" spans="1:3" s="639" customFormat="1" ht="12" customHeight="1" x14ac:dyDescent="0.5">
      <c r="B14" s="660"/>
      <c r="C14" s="657"/>
    </row>
    <row r="15" spans="1:3" s="639" customFormat="1" ht="12" customHeight="1" x14ac:dyDescent="0.5">
      <c r="B15" s="660"/>
      <c r="C15" s="657"/>
    </row>
    <row r="16" spans="1:3" s="639" customFormat="1" ht="12" customHeight="1" x14ac:dyDescent="0.5">
      <c r="B16" s="660"/>
      <c r="C16" s="657"/>
    </row>
    <row r="17" spans="2:3" s="639" customFormat="1" ht="12" customHeight="1" x14ac:dyDescent="0.5">
      <c r="B17" s="660"/>
      <c r="C17" s="657"/>
    </row>
    <row r="18" spans="2:3" s="639" customFormat="1" ht="12" customHeight="1" x14ac:dyDescent="0.5">
      <c r="B18" s="660"/>
      <c r="C18" s="657"/>
    </row>
    <row r="19" spans="2:3" s="639" customFormat="1" ht="12" customHeight="1" x14ac:dyDescent="0.5">
      <c r="B19" s="660"/>
      <c r="C19" s="657"/>
    </row>
    <row r="20" spans="2:3" s="639" customFormat="1" ht="12" customHeight="1" x14ac:dyDescent="0.5">
      <c r="B20" s="660"/>
      <c r="C20" s="657"/>
    </row>
    <row r="21" spans="2:3" s="639" customFormat="1" ht="12" customHeight="1" x14ac:dyDescent="0.5">
      <c r="B21" s="660"/>
      <c r="C21" s="657"/>
    </row>
    <row r="22" spans="2:3" s="639" customFormat="1" ht="12" customHeight="1" x14ac:dyDescent="0.5">
      <c r="B22" s="660"/>
      <c r="C22" s="657"/>
    </row>
    <row r="23" spans="2:3" s="639" customFormat="1" ht="12" customHeight="1" x14ac:dyDescent="0.5">
      <c r="B23" s="660"/>
      <c r="C23" s="657"/>
    </row>
    <row r="24" spans="2:3" s="639" customFormat="1" ht="12" customHeight="1" x14ac:dyDescent="0.5">
      <c r="B24" s="660"/>
      <c r="C24" s="657"/>
    </row>
    <row r="25" spans="2:3" s="639" customFormat="1" ht="12" customHeight="1" x14ac:dyDescent="0.5">
      <c r="B25" s="660"/>
      <c r="C25" s="657"/>
    </row>
    <row r="26" spans="2:3" s="639" customFormat="1" ht="12" customHeight="1" x14ac:dyDescent="0.5">
      <c r="B26" s="660"/>
      <c r="C26" s="657"/>
    </row>
    <row r="27" spans="2:3" s="639" customFormat="1" ht="12" customHeight="1" x14ac:dyDescent="0.5">
      <c r="B27" s="660"/>
      <c r="C27" s="657"/>
    </row>
    <row r="28" spans="2:3" s="639" customFormat="1" ht="12" customHeight="1" x14ac:dyDescent="0.5">
      <c r="B28" s="660"/>
      <c r="C28" s="657"/>
    </row>
    <row r="29" spans="2:3" s="639" customFormat="1" ht="12" customHeight="1" x14ac:dyDescent="0.5">
      <c r="B29" s="660"/>
      <c r="C29" s="657"/>
    </row>
    <row r="30" spans="2:3" s="639" customFormat="1" ht="12" customHeight="1" x14ac:dyDescent="0.5">
      <c r="B30" s="660"/>
      <c r="C30" s="657"/>
    </row>
    <row r="31" spans="2:3" s="639" customFormat="1" ht="12" customHeight="1" x14ac:dyDescent="0.5">
      <c r="B31" s="660"/>
      <c r="C31" s="657"/>
    </row>
    <row r="32" spans="2:3" s="639" customFormat="1" ht="12" customHeight="1" x14ac:dyDescent="0.5">
      <c r="B32" s="660"/>
      <c r="C32" s="657"/>
    </row>
  </sheetData>
  <pageMargins left="0.70866141732283472" right="0.70866141732283472" top="0.74803149606299213" bottom="0.74803149606299213"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
  <sheetViews>
    <sheetView rightToLeft="1" workbookViewId="0">
      <selection activeCell="AQ22" sqref="AP22:AQ22"/>
    </sheetView>
  </sheetViews>
  <sheetFormatPr defaultColWidth="8.85546875" defaultRowHeight="15" x14ac:dyDescent="0.35"/>
  <cols>
    <col min="1" max="16384" width="8.85546875" style="619"/>
  </cols>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R63"/>
  <sheetViews>
    <sheetView rightToLeft="1" view="pageBreakPreview" topLeftCell="A25" zoomScale="94" zoomScaleNormal="100" zoomScaleSheetLayoutView="94" workbookViewId="0">
      <selection activeCell="O26" sqref="O26"/>
    </sheetView>
  </sheetViews>
  <sheetFormatPr defaultColWidth="9.140625" defaultRowHeight="15" x14ac:dyDescent="0.35"/>
  <cols>
    <col min="1" max="1" width="2.140625" style="47" customWidth="1"/>
    <col min="2" max="2" width="12.5703125" style="47" customWidth="1"/>
    <col min="3" max="3" width="9.140625" style="47" customWidth="1"/>
    <col min="4" max="4" width="10" style="47" customWidth="1"/>
    <col min="5" max="5" width="5.5703125" style="49" customWidth="1"/>
    <col min="6" max="6" width="1.85546875" style="47" customWidth="1"/>
    <col min="7" max="7" width="12.140625" style="47" customWidth="1"/>
    <col min="8" max="8" width="1.42578125" style="47" customWidth="1"/>
    <col min="9" max="9" width="11.5703125" style="47" customWidth="1"/>
    <col min="10" max="10" width="0.85546875" style="47" customWidth="1"/>
    <col min="11" max="11" width="11.140625" style="47" customWidth="1"/>
    <col min="12" max="12" width="1.28515625" style="47" customWidth="1"/>
    <col min="13" max="13" width="10.28515625" style="47" customWidth="1"/>
    <col min="14" max="14" width="1.85546875" style="47" customWidth="1"/>
    <col min="15" max="17" width="9.140625" style="47" customWidth="1"/>
    <col min="18" max="16384" width="9.140625" style="47"/>
  </cols>
  <sheetData>
    <row r="1" spans="2:18" ht="19.149999999999999" customHeight="1" x14ac:dyDescent="0.55000000000000004">
      <c r="B1" s="3083" t="s">
        <v>32</v>
      </c>
      <c r="C1" s="3083"/>
      <c r="D1" s="3083"/>
      <c r="E1" s="3083"/>
      <c r="F1" s="3083"/>
      <c r="G1" s="3083"/>
      <c r="H1" s="3083"/>
      <c r="I1" s="3083"/>
      <c r="J1" s="3083"/>
      <c r="K1" s="3083"/>
      <c r="L1" s="3083"/>
      <c r="M1" s="3083"/>
    </row>
    <row r="2" spans="2:18" ht="19.149999999999999" customHeight="1" x14ac:dyDescent="0.35">
      <c r="B2" s="3060" t="s">
        <v>1</v>
      </c>
      <c r="C2" s="3060"/>
      <c r="D2" s="3060"/>
      <c r="E2" s="3060"/>
      <c r="F2" s="3060"/>
      <c r="G2" s="3060"/>
      <c r="H2" s="3060"/>
      <c r="I2" s="3060"/>
      <c r="J2" s="3060"/>
      <c r="K2" s="3060"/>
      <c r="L2" s="3060"/>
      <c r="M2" s="3060"/>
    </row>
    <row r="3" spans="2:18" ht="19.149999999999999" customHeight="1" x14ac:dyDescent="0.55000000000000004">
      <c r="B3" s="3083" t="s">
        <v>33</v>
      </c>
      <c r="C3" s="3083"/>
      <c r="D3" s="3083"/>
      <c r="E3" s="3083"/>
      <c r="F3" s="3083"/>
      <c r="G3" s="3083"/>
      <c r="H3" s="3083"/>
      <c r="I3" s="3083"/>
      <c r="J3" s="3083"/>
      <c r="K3" s="3083"/>
      <c r="L3" s="3083"/>
      <c r="M3" s="3083"/>
    </row>
    <row r="4" spans="2:18" ht="19.149999999999999" customHeight="1" x14ac:dyDescent="0.55000000000000004">
      <c r="B4" s="3084" t="s">
        <v>1383</v>
      </c>
      <c r="C4" s="3084"/>
      <c r="D4" s="3084"/>
      <c r="E4" s="3084"/>
      <c r="F4" s="3084"/>
      <c r="G4" s="3084"/>
      <c r="H4" s="3084"/>
      <c r="I4" s="3084"/>
      <c r="J4" s="3084"/>
      <c r="K4" s="3084"/>
      <c r="L4" s="3084"/>
      <c r="M4" s="3084"/>
    </row>
    <row r="5" spans="2:18" ht="19.149999999999999" customHeight="1" x14ac:dyDescent="0.45">
      <c r="B5" s="950"/>
      <c r="C5" s="950"/>
      <c r="D5" s="950"/>
      <c r="E5" s="950"/>
      <c r="F5" s="950"/>
      <c r="G5" s="950"/>
      <c r="H5" s="950"/>
      <c r="I5" s="950"/>
      <c r="J5" s="950"/>
      <c r="K5" s="3089" t="s">
        <v>1193</v>
      </c>
      <c r="L5" s="3089"/>
      <c r="M5" s="3089"/>
    </row>
    <row r="6" spans="2:18" ht="19.149999999999999" customHeight="1" x14ac:dyDescent="0.4">
      <c r="B6" s="951"/>
      <c r="C6" s="951"/>
      <c r="D6" s="949"/>
      <c r="E6" s="3087" t="s">
        <v>9</v>
      </c>
      <c r="F6" s="949"/>
      <c r="G6" s="3085" t="s">
        <v>34</v>
      </c>
      <c r="H6" s="3085"/>
      <c r="I6" s="3085"/>
      <c r="J6" s="949"/>
      <c r="K6" s="3086" t="s">
        <v>35</v>
      </c>
      <c r="L6" s="1023"/>
      <c r="M6" s="3086" t="s">
        <v>36</v>
      </c>
    </row>
    <row r="7" spans="2:18" ht="19.149999999999999" customHeight="1" x14ac:dyDescent="0.4">
      <c r="B7" s="949"/>
      <c r="C7" s="951"/>
      <c r="D7" s="949"/>
      <c r="E7" s="3088"/>
      <c r="F7" s="949"/>
      <c r="G7" s="1024" t="s">
        <v>37</v>
      </c>
      <c r="H7" s="949"/>
      <c r="I7" s="1024" t="s">
        <v>38</v>
      </c>
      <c r="J7" s="949"/>
      <c r="K7" s="3086"/>
      <c r="L7" s="1023"/>
      <c r="M7" s="3086"/>
    </row>
    <row r="8" spans="2:18" ht="19.149999999999999" customHeight="1" x14ac:dyDescent="0.4">
      <c r="B8" s="3" t="s">
        <v>39</v>
      </c>
      <c r="C8" s="951"/>
      <c r="D8" s="949"/>
      <c r="E8" s="949"/>
      <c r="F8" s="949"/>
      <c r="G8" s="949"/>
      <c r="H8" s="949"/>
      <c r="J8" s="949"/>
      <c r="K8" s="949"/>
      <c r="L8" s="949"/>
      <c r="M8" s="949"/>
      <c r="R8" s="949"/>
    </row>
    <row r="9" spans="2:18" ht="19.149999999999999" customHeight="1" x14ac:dyDescent="0.45">
      <c r="B9" s="3094" t="s">
        <v>1922</v>
      </c>
      <c r="C9" s="3094"/>
      <c r="D9" s="3094"/>
      <c r="E9" s="224">
        <v>12000000</v>
      </c>
      <c r="F9" s="224"/>
      <c r="G9" s="1025">
        <f>'ياد 20مقايسه عملكرد12ماهه_ب (2'!AJ142</f>
        <v>7117109000000</v>
      </c>
      <c r="H9" s="1025"/>
      <c r="I9" s="1025">
        <f>'ياد 20مقايسه عملكرد12ماهه_ب (2'!AK142</f>
        <v>7080128000000</v>
      </c>
      <c r="J9" s="1025"/>
      <c r="K9" s="1025">
        <f>'يادداشت 1-13وجوهدريافتي ازخزانه'!V54</f>
        <v>6175195000000</v>
      </c>
      <c r="L9" s="1025"/>
      <c r="M9" s="1025">
        <f>K9-I9</f>
        <v>-904933000000</v>
      </c>
    </row>
    <row r="10" spans="2:18" ht="19.149999999999999" customHeight="1" x14ac:dyDescent="0.45">
      <c r="B10" s="3094" t="s">
        <v>1306</v>
      </c>
      <c r="C10" s="3094"/>
      <c r="D10" s="3094"/>
      <c r="E10" s="224"/>
      <c r="F10" s="224"/>
      <c r="G10" s="1025">
        <f>'ياد 20مقايسه عملكرد12ماهه_ب (2'!AJ28</f>
        <v>46873812000000</v>
      </c>
      <c r="H10" s="1025"/>
      <c r="I10" s="1025">
        <f>'ياد 20مقايسه عملكرد12ماهه_ب (2'!AK28</f>
        <v>47680529000000</v>
      </c>
      <c r="J10" s="1025"/>
      <c r="K10" s="1025">
        <f>'يادداشت 15سایر درآمد ها و انتقا'!S37+'يادداشت 15سایر درآمد ها و انتقا'!P37+'يادداشت 15سایر درآمد ها و انتقا'!R31</f>
        <v>9813397300480</v>
      </c>
      <c r="L10" s="1025"/>
      <c r="M10" s="1025">
        <f>K10-I10</f>
        <v>-37867131699520</v>
      </c>
    </row>
    <row r="11" spans="2:18" ht="17.45" customHeight="1" x14ac:dyDescent="0.45">
      <c r="B11" s="3094" t="s">
        <v>977</v>
      </c>
      <c r="C11" s="3094"/>
      <c r="D11" s="3094"/>
      <c r="E11" s="224">
        <v>13000000</v>
      </c>
      <c r="F11" s="1026"/>
      <c r="G11" s="1025">
        <f>'ياد 20مقايسه عملكرد12ماهه_ب (2'!AJ193</f>
        <v>210210000000</v>
      </c>
      <c r="H11" s="1025"/>
      <c r="I11" s="1025">
        <f>'ياد 20مقايسه عملكرد12ماهه_ب (2'!AK193</f>
        <v>210210000000</v>
      </c>
      <c r="J11" s="1025"/>
      <c r="K11" s="1025"/>
      <c r="L11" s="1025"/>
      <c r="M11" s="1025">
        <f>K11-I11</f>
        <v>-210210000000</v>
      </c>
      <c r="P11" s="47">
        <f>'يادداشت 14وجوه ساير (2)'!H25</f>
        <v>271494910293</v>
      </c>
    </row>
    <row r="12" spans="2:18" ht="19.149999999999999" customHeight="1" x14ac:dyDescent="0.5">
      <c r="B12" s="951" t="s">
        <v>40</v>
      </c>
      <c r="C12" s="951"/>
      <c r="D12" s="949"/>
      <c r="E12" s="224">
        <v>21000000</v>
      </c>
      <c r="F12" s="949"/>
      <c r="G12" s="1027">
        <f>SUM(G9:G11)</f>
        <v>54201131000000</v>
      </c>
      <c r="H12" s="1028"/>
      <c r="I12" s="1027">
        <f>SUM(I9:I11)</f>
        <v>54970867000000</v>
      </c>
      <c r="J12" s="1028"/>
      <c r="K12" s="1027">
        <f>SUM(K9:K11)</f>
        <v>15988592300480</v>
      </c>
      <c r="L12" s="1028"/>
      <c r="M12" s="1027">
        <f>SUM(M9:M11)+1000000</f>
        <v>-38982273699520</v>
      </c>
    </row>
    <row r="13" spans="2:18" ht="19.149999999999999" customHeight="1" x14ac:dyDescent="0.4">
      <c r="B13" s="951"/>
      <c r="C13" s="951"/>
      <c r="D13" s="951"/>
      <c r="E13" s="949"/>
      <c r="F13" s="951"/>
      <c r="G13" s="1029"/>
      <c r="H13" s="1029"/>
      <c r="I13" s="1029"/>
      <c r="J13" s="1029"/>
      <c r="K13" s="1029"/>
      <c r="L13" s="1029"/>
      <c r="M13" s="1029"/>
    </row>
    <row r="14" spans="2:18" ht="19.149999999999999" customHeight="1" x14ac:dyDescent="0.4">
      <c r="B14" s="3" t="s">
        <v>41</v>
      </c>
      <c r="C14" s="951"/>
      <c r="D14" s="949"/>
      <c r="E14" s="949"/>
      <c r="F14" s="949"/>
      <c r="G14" s="1025"/>
      <c r="H14" s="1025"/>
      <c r="I14" s="1025"/>
      <c r="J14" s="1025"/>
      <c r="K14" s="1025"/>
      <c r="L14" s="1025"/>
      <c r="M14" s="1025"/>
    </row>
    <row r="15" spans="2:18" ht="19.149999999999999" customHeight="1" x14ac:dyDescent="0.4">
      <c r="B15" s="3"/>
      <c r="C15" s="951"/>
      <c r="D15" s="949"/>
      <c r="E15" s="949"/>
      <c r="F15" s="949"/>
      <c r="G15" s="1025"/>
      <c r="H15" s="1025"/>
      <c r="I15" s="1025"/>
      <c r="J15" s="1025"/>
      <c r="K15" s="1025"/>
      <c r="L15" s="1025"/>
      <c r="M15" s="1025"/>
    </row>
    <row r="16" spans="2:18" ht="19.149999999999999" customHeight="1" x14ac:dyDescent="0.45">
      <c r="B16" s="3093" t="s">
        <v>978</v>
      </c>
      <c r="C16" s="3093"/>
      <c r="D16" s="3093"/>
      <c r="E16" s="224"/>
      <c r="F16" s="1026"/>
      <c r="G16" s="1025">
        <f>-G9</f>
        <v>-7117109000000</v>
      </c>
      <c r="H16" s="1025"/>
      <c r="I16" s="1025">
        <f>-I9</f>
        <v>-7080128000000</v>
      </c>
      <c r="J16" s="1025"/>
      <c r="K16" s="1025">
        <f>-'ياد 20مقايسه عملكرد12ماهه_ب (2'!AH142</f>
        <v>-1713859767290</v>
      </c>
      <c r="L16" s="1025"/>
      <c r="M16" s="1025">
        <f>K16-I16</f>
        <v>5366268232710</v>
      </c>
    </row>
    <row r="17" spans="2:17" ht="19.149999999999999" customHeight="1" x14ac:dyDescent="0.45">
      <c r="B17" s="3093" t="s">
        <v>1307</v>
      </c>
      <c r="C17" s="3093"/>
      <c r="D17" s="3093"/>
      <c r="E17" s="224"/>
      <c r="F17" s="1026"/>
      <c r="G17" s="1025">
        <f>-G10</f>
        <v>-46873812000000</v>
      </c>
      <c r="H17" s="1025"/>
      <c r="I17" s="1025">
        <f>-I10</f>
        <v>-47680529000000</v>
      </c>
      <c r="J17" s="1025"/>
      <c r="K17" s="1025">
        <f>-'ياد 20مقايسه عملكرد12ماهه_ب (2'!AH28</f>
        <v>-8576568678082</v>
      </c>
      <c r="L17" s="1025"/>
      <c r="M17" s="1025">
        <f>K17-I17</f>
        <v>39103960321918</v>
      </c>
    </row>
    <row r="18" spans="2:17" ht="19.149999999999999" customHeight="1" x14ac:dyDescent="0.4">
      <c r="B18" s="3093" t="s">
        <v>979</v>
      </c>
      <c r="C18" s="3093"/>
      <c r="D18" s="3093"/>
      <c r="E18" s="949"/>
      <c r="F18" s="949"/>
      <c r="G18" s="1025">
        <f>-G11</f>
        <v>-210210000000</v>
      </c>
      <c r="H18" s="1025"/>
      <c r="I18" s="1025">
        <f>-I11</f>
        <v>-210210000000</v>
      </c>
      <c r="J18" s="1025"/>
      <c r="K18" s="1025">
        <f>-'ياد 20مقايسه عملكرد12ماهه_ب (2'!AH193</f>
        <v>4711228350</v>
      </c>
      <c r="L18" s="1025"/>
      <c r="M18" s="1025">
        <f>-(I18-K18)</f>
        <v>214921228350</v>
      </c>
      <c r="Q18" s="47">
        <f>K12+K19</f>
        <v>5702875083458</v>
      </c>
    </row>
    <row r="19" spans="2:17" ht="19.149999999999999" customHeight="1" x14ac:dyDescent="0.5">
      <c r="B19" s="951" t="s">
        <v>42</v>
      </c>
      <c r="C19" s="951"/>
      <c r="D19" s="949"/>
      <c r="E19" s="224">
        <v>21000000</v>
      </c>
      <c r="F19" s="949"/>
      <c r="G19" s="1030">
        <f>SUM(G16:G18)</f>
        <v>-54201131000000</v>
      </c>
      <c r="H19" s="1028"/>
      <c r="I19" s="1030">
        <f>SUM(I16:I18)</f>
        <v>-54970867000000</v>
      </c>
      <c r="J19" s="1028"/>
      <c r="K19" s="1030">
        <f>SUM(K16:K18)</f>
        <v>-10285717217022</v>
      </c>
      <c r="L19" s="1028"/>
      <c r="M19" s="1030">
        <f>SUM(M16:M18)</f>
        <v>44685149782978</v>
      </c>
    </row>
    <row r="20" spans="2:17" ht="19.149999999999999" customHeight="1" thickBot="1" x14ac:dyDescent="0.55000000000000004">
      <c r="B20" s="3092" t="s">
        <v>1923</v>
      </c>
      <c r="C20" s="3092"/>
      <c r="D20" s="949"/>
      <c r="E20" s="949"/>
      <c r="F20" s="949"/>
      <c r="G20" s="1031" t="s">
        <v>30</v>
      </c>
      <c r="H20" s="1028"/>
      <c r="I20" s="1031" t="s">
        <v>30</v>
      </c>
      <c r="J20" s="1028"/>
      <c r="K20" s="1031">
        <f>K12+K19</f>
        <v>5702875083458</v>
      </c>
      <c r="L20" s="1028"/>
      <c r="M20" s="1031">
        <f>-(-M19-M12)-1000000</f>
        <v>5702875083458</v>
      </c>
    </row>
    <row r="21" spans="2:17" ht="19.149999999999999" customHeight="1" thickTop="1" x14ac:dyDescent="0.5">
      <c r="C21" s="1026"/>
      <c r="D21" s="949"/>
      <c r="E21" s="949"/>
      <c r="F21" s="949"/>
      <c r="G21" s="1028"/>
      <c r="H21" s="1028"/>
      <c r="I21" s="1028"/>
      <c r="J21" s="1028"/>
      <c r="K21" s="1028"/>
      <c r="L21" s="1028"/>
      <c r="M21" s="1028"/>
    </row>
    <row r="22" spans="2:17" ht="19.149999999999999" customHeight="1" x14ac:dyDescent="0.5">
      <c r="B22" s="1026" t="s">
        <v>980</v>
      </c>
      <c r="C22" s="1032"/>
      <c r="D22" s="949"/>
      <c r="E22" s="949"/>
      <c r="F22" s="949"/>
      <c r="G22" s="1028"/>
      <c r="H22" s="1028"/>
      <c r="I22" s="1028"/>
      <c r="J22" s="1028"/>
      <c r="K22" s="1028"/>
      <c r="L22" s="1028"/>
      <c r="M22" s="1028"/>
    </row>
    <row r="23" spans="2:17" ht="19.149999999999999" customHeight="1" x14ac:dyDescent="0.5">
      <c r="B23" s="3093" t="s">
        <v>1194</v>
      </c>
      <c r="C23" s="3093"/>
      <c r="D23" s="3093"/>
      <c r="E23" s="949"/>
      <c r="F23" s="949"/>
      <c r="G23" s="1028">
        <f>'ي_3_موجودي_نقد '!K12</f>
        <v>3969269612140</v>
      </c>
      <c r="H23" s="1028"/>
      <c r="I23" s="1433">
        <f>-'ياد 20مقايسه عملكرد12ماهه_ب (2'!W143</f>
        <v>4533366612140</v>
      </c>
      <c r="J23" s="1028"/>
      <c r="K23" s="1028">
        <f>-'ياد 20مقايسه عملكرد12ماهه_ب (2'!W153+1000000</f>
        <v>4533367612140</v>
      </c>
      <c r="L23" s="1028"/>
      <c r="M23" s="1028">
        <v>0</v>
      </c>
    </row>
    <row r="24" spans="2:17" ht="19.149999999999999" customHeight="1" x14ac:dyDescent="0.5">
      <c r="B24" s="3093" t="s">
        <v>1196</v>
      </c>
      <c r="C24" s="3093"/>
      <c r="D24" s="3093"/>
      <c r="E24" s="949"/>
      <c r="F24" s="949"/>
      <c r="G24" s="1028">
        <f>'يادداشت 1-13وجوهدريافتي ازخزانه'!J54</f>
        <v>155091000000</v>
      </c>
      <c r="H24" s="1028"/>
      <c r="I24" s="1433">
        <f>G24</f>
        <v>155091000000</v>
      </c>
      <c r="J24" s="1028"/>
      <c r="K24" s="1028">
        <f>G24</f>
        <v>155091000000</v>
      </c>
      <c r="L24" s="1028"/>
      <c r="M24" s="1028">
        <v>0</v>
      </c>
      <c r="Q24" s="47">
        <f>'ياد 20مقايسه عملكرد12ماهه_ب (2'!Y194+'ياد 20مقايسه عملكرد12ماهه_ب (2'!AA194</f>
        <v>-2190742910293</v>
      </c>
    </row>
    <row r="25" spans="2:17" ht="19.149999999999999" customHeight="1" x14ac:dyDescent="0.5">
      <c r="B25" s="3094" t="s">
        <v>1306</v>
      </c>
      <c r="C25" s="3094"/>
      <c r="D25" s="3094"/>
      <c r="E25" s="1432"/>
      <c r="F25" s="1432"/>
      <c r="G25" s="1028" cm="1">
        <f t="array" ref="G25:H25">'يادداشت 15سایر درآمد ها و انتقا'!H37:I37+'يادداشت 15سایر درآمد ها و انتقا'!K37</f>
        <v>1764157000000</v>
      </c>
      <c r="H25" s="1028">
        <v>1545042000000</v>
      </c>
      <c r="I25" s="1433">
        <f>G25</f>
        <v>1764157000000</v>
      </c>
      <c r="J25" s="1028"/>
      <c r="K25" s="1028">
        <f>G25</f>
        <v>1764157000000</v>
      </c>
      <c r="L25" s="1028"/>
      <c r="M25" s="1028"/>
    </row>
    <row r="26" spans="2:17" ht="19.149999999999999" customHeight="1" x14ac:dyDescent="0.5">
      <c r="B26" s="3093" t="s">
        <v>1195</v>
      </c>
      <c r="C26" s="3093"/>
      <c r="D26" s="3093"/>
      <c r="E26" s="949"/>
      <c r="F26" s="949"/>
      <c r="G26" s="1028">
        <f>'ي_3_موجودي_نقد '!K15</f>
        <v>285837927503</v>
      </c>
      <c r="H26" s="1028"/>
      <c r="I26" s="1433">
        <f>G26</f>
        <v>285837927503</v>
      </c>
      <c r="J26" s="1028"/>
      <c r="K26" s="1028">
        <f>G26</f>
        <v>285837927503</v>
      </c>
      <c r="L26" s="1028"/>
      <c r="M26" s="1028">
        <v>0</v>
      </c>
      <c r="P26" s="47">
        <f>G23+G26</f>
        <v>4255107539643</v>
      </c>
    </row>
    <row r="27" spans="2:17" ht="19.149999999999999" customHeight="1" x14ac:dyDescent="0.5">
      <c r="B27" s="3093" t="s">
        <v>1308</v>
      </c>
      <c r="C27" s="3093"/>
      <c r="D27" s="3093"/>
      <c r="E27" s="949"/>
      <c r="F27" s="949"/>
      <c r="G27" s="1033">
        <f>SUM(G23:G26)</f>
        <v>6174355539643</v>
      </c>
      <c r="H27" s="1028"/>
      <c r="I27" s="1434">
        <f>SUM(I23:I26)</f>
        <v>6738452539643</v>
      </c>
      <c r="J27" s="1028">
        <f>SUM(J23:J26)</f>
        <v>0</v>
      </c>
      <c r="K27" s="1033">
        <f>SUM(K23:K26)</f>
        <v>6738453539643</v>
      </c>
      <c r="L27" s="1028"/>
      <c r="M27" s="1033">
        <v>0</v>
      </c>
      <c r="Q27" s="47">
        <f>'ياد 20مقايسه عملكرد12ماهه_ب (2'!Y143+'ياد 20مقايسه عملكرد12ماهه_ب (2'!AA143</f>
        <v>-1909248000000</v>
      </c>
    </row>
    <row r="28" spans="2:17" ht="19.149999999999999" customHeight="1" x14ac:dyDescent="0.5">
      <c r="B28" s="3093" t="s">
        <v>981</v>
      </c>
      <c r="C28" s="3093"/>
      <c r="D28" s="3093"/>
      <c r="E28" s="949"/>
      <c r="F28" s="949"/>
      <c r="G28" s="1034">
        <f>-G27</f>
        <v>-6174355539643</v>
      </c>
      <c r="H28" s="1028"/>
      <c r="I28" s="1435">
        <f>-I27</f>
        <v>-6738452539643</v>
      </c>
      <c r="J28" s="1028">
        <v>0</v>
      </c>
      <c r="K28" s="1034">
        <f>-K27</f>
        <v>-6738453539643</v>
      </c>
      <c r="L28" s="1028"/>
      <c r="M28" s="1034">
        <v>0</v>
      </c>
    </row>
    <row r="29" spans="2:17" ht="19.149999999999999" customHeight="1" x14ac:dyDescent="0.5">
      <c r="B29" s="3092" t="s">
        <v>1924</v>
      </c>
      <c r="C29" s="3092"/>
      <c r="D29" s="3092"/>
      <c r="E29" s="949"/>
      <c r="F29" s="949"/>
      <c r="G29" s="1028"/>
      <c r="H29" s="1028"/>
      <c r="I29" s="1028"/>
      <c r="J29" s="1028"/>
      <c r="K29" s="1028"/>
      <c r="L29" s="1028"/>
      <c r="M29" s="1028"/>
    </row>
    <row r="30" spans="2:17" ht="19.149999999999999" customHeight="1" x14ac:dyDescent="0.5">
      <c r="B30" s="3093" t="s">
        <v>982</v>
      </c>
      <c r="C30" s="3093"/>
      <c r="D30" s="3093"/>
      <c r="E30" s="949"/>
      <c r="F30" s="949"/>
      <c r="G30" s="1028">
        <v>0</v>
      </c>
      <c r="H30" s="1028"/>
      <c r="I30" s="1028">
        <v>0</v>
      </c>
      <c r="J30" s="1028"/>
      <c r="K30" s="1028">
        <f>'ي_3_موجودي_نقد '!I15+'ي_3_موجودي_نقد '!I12</f>
        <v>5702875083458</v>
      </c>
      <c r="L30" s="1028"/>
      <c r="M30" s="1028">
        <f>M20</f>
        <v>5702875083458</v>
      </c>
      <c r="P30" s="47">
        <f>K30-K20</f>
        <v>0</v>
      </c>
    </row>
    <row r="31" spans="2:17" ht="19.149999999999999" customHeight="1" thickBot="1" x14ac:dyDescent="0.55000000000000004">
      <c r="B31" s="3092" t="s">
        <v>983</v>
      </c>
      <c r="C31" s="3092"/>
      <c r="D31" s="3092"/>
      <c r="E31" s="949"/>
      <c r="F31" s="949"/>
      <c r="G31" s="1035">
        <v>0</v>
      </c>
      <c r="H31" s="1028"/>
      <c r="I31" s="1035">
        <v>0</v>
      </c>
      <c r="J31" s="1028"/>
      <c r="K31" s="1035">
        <f>K20</f>
        <v>5702875083458</v>
      </c>
      <c r="L31" s="1028"/>
      <c r="M31" s="1035">
        <f>M20</f>
        <v>5702875083458</v>
      </c>
    </row>
    <row r="32" spans="2:17" ht="19.149999999999999" customHeight="1" thickTop="1" x14ac:dyDescent="0.5">
      <c r="B32" s="1032"/>
      <c r="C32" s="1032"/>
      <c r="D32" s="949"/>
      <c r="E32" s="949"/>
      <c r="F32" s="949"/>
      <c r="G32" s="952"/>
      <c r="H32" s="952"/>
      <c r="I32" s="952"/>
      <c r="J32" s="952"/>
      <c r="K32" s="952"/>
      <c r="L32" s="952"/>
      <c r="M32" s="952"/>
    </row>
    <row r="33" spans="1:14" ht="19.149999999999999" customHeight="1" x14ac:dyDescent="0.35">
      <c r="B33" s="3091" t="s">
        <v>1941</v>
      </c>
      <c r="C33" s="3091"/>
      <c r="D33" s="3091"/>
      <c r="E33" s="3091"/>
      <c r="F33" s="3091"/>
      <c r="G33" s="3091"/>
      <c r="H33" s="3091"/>
      <c r="I33" s="3091"/>
      <c r="J33" s="3091"/>
      <c r="K33" s="3091"/>
      <c r="L33" s="3091"/>
      <c r="M33" s="3091"/>
    </row>
    <row r="34" spans="1:14" ht="19.149999999999999" customHeight="1" x14ac:dyDescent="0.35">
      <c r="B34" s="755"/>
      <c r="C34" s="755"/>
      <c r="D34" s="755"/>
      <c r="E34" s="755"/>
      <c r="F34" s="755"/>
      <c r="G34" s="755"/>
      <c r="H34" s="755"/>
      <c r="I34" s="755"/>
      <c r="J34" s="755"/>
      <c r="K34" s="755"/>
      <c r="L34" s="755"/>
      <c r="M34" s="755"/>
    </row>
    <row r="35" spans="1:14" ht="19.149999999999999" customHeight="1" x14ac:dyDescent="0.35">
      <c r="B35" s="755"/>
      <c r="C35" s="755"/>
      <c r="D35" s="755"/>
      <c r="E35" s="755"/>
      <c r="F35" s="755"/>
      <c r="G35" s="755"/>
      <c r="H35" s="755"/>
      <c r="I35" s="755"/>
      <c r="J35" s="755"/>
      <c r="K35" s="755"/>
      <c r="L35" s="755"/>
      <c r="M35" s="755"/>
    </row>
    <row r="36" spans="1:14" ht="19.149999999999999" customHeight="1" x14ac:dyDescent="0.35">
      <c r="B36" s="755"/>
      <c r="C36" s="755"/>
      <c r="D36" s="755"/>
      <c r="E36" s="755"/>
      <c r="F36" s="755"/>
      <c r="G36" s="755"/>
      <c r="H36" s="755"/>
      <c r="I36" s="755"/>
      <c r="J36" s="755"/>
      <c r="K36" s="755"/>
      <c r="L36" s="755"/>
      <c r="M36" s="755"/>
    </row>
    <row r="37" spans="1:14" ht="19.149999999999999" customHeight="1" x14ac:dyDescent="0.35">
      <c r="B37" s="755"/>
      <c r="C37" s="755"/>
      <c r="D37" s="755"/>
      <c r="E37" s="755"/>
      <c r="F37" s="755"/>
      <c r="G37" s="755"/>
      <c r="H37" s="755"/>
      <c r="I37" s="755"/>
      <c r="J37" s="755"/>
      <c r="K37" s="755"/>
      <c r="L37" s="755"/>
      <c r="M37" s="755"/>
    </row>
    <row r="38" spans="1:14" ht="12" customHeight="1" x14ac:dyDescent="0.35">
      <c r="B38" s="755"/>
      <c r="C38" s="755"/>
      <c r="D38" s="755"/>
      <c r="E38" s="755"/>
      <c r="F38" s="755"/>
      <c r="G38" s="755"/>
      <c r="H38" s="755"/>
      <c r="I38" s="755"/>
      <c r="J38" s="755"/>
      <c r="K38" s="755"/>
      <c r="L38" s="755"/>
      <c r="M38" s="755"/>
    </row>
    <row r="39" spans="1:14" ht="19.149999999999999" customHeight="1" x14ac:dyDescent="0.5">
      <c r="A39" s="3090">
        <v>5000000</v>
      </c>
      <c r="B39" s="3090"/>
      <c r="C39" s="3090"/>
      <c r="D39" s="3090"/>
      <c r="E39" s="3090"/>
      <c r="F39" s="3090"/>
      <c r="G39" s="3090"/>
      <c r="H39" s="3090"/>
      <c r="I39" s="3090"/>
      <c r="J39" s="3090"/>
      <c r="K39" s="3090"/>
      <c r="L39" s="3090"/>
      <c r="M39" s="3090"/>
      <c r="N39" s="3090"/>
    </row>
    <row r="40" spans="1:14" ht="17.25" x14ac:dyDescent="0.4">
      <c r="B40" s="951"/>
      <c r="C40" s="951"/>
      <c r="D40" s="951"/>
      <c r="E40" s="949"/>
      <c r="F40" s="951"/>
      <c r="G40" s="951"/>
      <c r="H40" s="951"/>
      <c r="I40" s="951"/>
      <c r="J40" s="951"/>
      <c r="K40" s="951"/>
      <c r="L40" s="951"/>
      <c r="M40" s="951"/>
    </row>
    <row r="41" spans="1:14" ht="17.25" x14ac:dyDescent="0.4">
      <c r="B41" s="951"/>
      <c r="C41" s="951"/>
      <c r="D41" s="951"/>
      <c r="E41" s="949"/>
      <c r="F41" s="951"/>
      <c r="G41" s="951"/>
      <c r="H41" s="951"/>
      <c r="I41" s="951"/>
      <c r="J41" s="951"/>
      <c r="K41" s="951"/>
      <c r="L41" s="951"/>
      <c r="M41" s="951"/>
    </row>
    <row r="42" spans="1:14" ht="17.25" x14ac:dyDescent="0.4">
      <c r="B42" s="951"/>
      <c r="C42" s="951"/>
      <c r="D42" s="951"/>
      <c r="E42" s="949"/>
      <c r="F42" s="951"/>
      <c r="G42" s="951"/>
      <c r="H42" s="951"/>
      <c r="I42" s="951"/>
      <c r="J42" s="951"/>
      <c r="K42" s="951"/>
      <c r="L42" s="951"/>
      <c r="M42" s="951"/>
    </row>
    <row r="43" spans="1:14" ht="17.25" x14ac:dyDescent="0.4">
      <c r="B43" s="951"/>
      <c r="C43" s="951"/>
      <c r="D43" s="951"/>
      <c r="E43" s="949"/>
      <c r="F43" s="951"/>
      <c r="G43" s="951"/>
      <c r="H43" s="951"/>
      <c r="I43" s="951"/>
      <c r="J43" s="951"/>
      <c r="K43" s="951"/>
      <c r="L43" s="951"/>
      <c r="M43" s="951"/>
    </row>
    <row r="44" spans="1:14" ht="17.25" x14ac:dyDescent="0.4">
      <c r="B44" s="951"/>
      <c r="C44" s="951"/>
      <c r="D44" s="951"/>
      <c r="E44" s="949"/>
      <c r="F44" s="951"/>
      <c r="G44" s="951"/>
      <c r="H44" s="951"/>
      <c r="I44" s="951"/>
      <c r="J44" s="951"/>
      <c r="K44" s="951"/>
      <c r="L44" s="951"/>
      <c r="M44" s="951"/>
    </row>
    <row r="45" spans="1:14" ht="17.25" hidden="1" x14ac:dyDescent="0.4">
      <c r="B45" s="951"/>
      <c r="C45" s="951"/>
      <c r="D45" s="951"/>
      <c r="E45" s="949"/>
      <c r="F45" s="951"/>
      <c r="G45" s="951"/>
      <c r="H45" s="951"/>
      <c r="I45" s="951"/>
      <c r="J45" s="951"/>
      <c r="K45" s="951">
        <f>K31-K20</f>
        <v>0</v>
      </c>
      <c r="L45" s="951"/>
      <c r="M45" s="963"/>
    </row>
    <row r="46" spans="1:14" ht="17.25" hidden="1" x14ac:dyDescent="0.4">
      <c r="B46" s="951"/>
      <c r="C46" s="951"/>
      <c r="D46" s="951"/>
      <c r="E46" s="949"/>
      <c r="F46" s="951"/>
      <c r="G46" s="951"/>
      <c r="H46" s="951"/>
      <c r="I46" s="951"/>
      <c r="J46" s="951"/>
      <c r="K46" s="951"/>
      <c r="L46" s="951"/>
      <c r="M46" s="951"/>
    </row>
    <row r="47" spans="1:14" ht="17.25" hidden="1" x14ac:dyDescent="0.4">
      <c r="B47" s="951"/>
      <c r="C47" s="951"/>
      <c r="D47" s="951"/>
      <c r="E47" s="949"/>
      <c r="F47" s="951"/>
      <c r="G47" s="951"/>
      <c r="H47" s="951"/>
      <c r="I47" s="951"/>
      <c r="J47" s="951"/>
      <c r="K47" s="951"/>
      <c r="L47" s="951"/>
      <c r="M47" s="951"/>
    </row>
    <row r="48" spans="1:14" ht="17.25" hidden="1" x14ac:dyDescent="0.4">
      <c r="B48" s="951"/>
      <c r="C48" s="951"/>
      <c r="D48" s="951"/>
      <c r="E48" s="949"/>
      <c r="F48" s="951"/>
      <c r="G48" s="951"/>
      <c r="H48" s="951"/>
      <c r="I48" s="951"/>
      <c r="J48" s="951"/>
      <c r="K48" s="951"/>
      <c r="L48" s="951"/>
      <c r="M48" s="951"/>
    </row>
    <row r="49" spans="2:13" ht="17.25" hidden="1" x14ac:dyDescent="0.4">
      <c r="B49" s="951"/>
      <c r="C49" s="951"/>
      <c r="D49" s="951"/>
      <c r="E49" s="949"/>
      <c r="F49" s="951"/>
      <c r="G49" s="951"/>
      <c r="H49" s="951"/>
      <c r="I49" s="951"/>
      <c r="J49" s="951"/>
      <c r="K49" s="951"/>
      <c r="L49" s="951"/>
      <c r="M49" s="951"/>
    </row>
    <row r="50" spans="2:13" ht="21.75" hidden="1" x14ac:dyDescent="0.5">
      <c r="B50" s="3093" t="s">
        <v>984</v>
      </c>
      <c r="C50" s="3093"/>
      <c r="D50" s="3093"/>
      <c r="E50" s="949"/>
      <c r="F50" s="949"/>
      <c r="G50" s="1028" t="e">
        <f>-#REF!</f>
        <v>#REF!</v>
      </c>
      <c r="H50" s="1028"/>
      <c r="I50" s="1028">
        <v>121319000000</v>
      </c>
      <c r="J50" s="1028"/>
      <c r="K50" s="1028">
        <v>121319000000</v>
      </c>
      <c r="L50" s="1028"/>
      <c r="M50" s="1028">
        <v>0</v>
      </c>
    </row>
    <row r="51" spans="2:13" ht="17.25" hidden="1" x14ac:dyDescent="0.4">
      <c r="B51" s="951"/>
      <c r="C51" s="951"/>
      <c r="D51" s="951"/>
      <c r="E51" s="949"/>
      <c r="F51" s="951"/>
      <c r="G51" s="951"/>
      <c r="H51" s="951"/>
      <c r="I51" s="951"/>
      <c r="J51" s="951"/>
      <c r="K51" s="951"/>
      <c r="L51" s="951"/>
      <c r="M51" s="951"/>
    </row>
    <row r="52" spans="2:13" ht="21.75" hidden="1" x14ac:dyDescent="0.5">
      <c r="B52" s="3093" t="s">
        <v>985</v>
      </c>
      <c r="C52" s="3093"/>
      <c r="D52" s="3093"/>
      <c r="E52" s="949"/>
      <c r="F52" s="949"/>
      <c r="G52" s="1028" t="e">
        <f>-#REF!</f>
        <v>#REF!</v>
      </c>
      <c r="H52" s="1028"/>
      <c r="I52" s="1028">
        <v>4725000000</v>
      </c>
      <c r="J52" s="1028"/>
      <c r="K52" s="1028">
        <v>4725000000</v>
      </c>
      <c r="L52" s="1028"/>
      <c r="M52" s="1028">
        <v>0</v>
      </c>
    </row>
    <row r="53" spans="2:13" ht="17.25" hidden="1" x14ac:dyDescent="0.4">
      <c r="B53" s="951"/>
      <c r="C53" s="951"/>
      <c r="D53" s="951"/>
      <c r="E53" s="949"/>
      <c r="F53" s="951"/>
      <c r="G53" s="951"/>
      <c r="H53" s="951"/>
      <c r="I53" s="951"/>
      <c r="J53" s="951"/>
      <c r="K53" s="951"/>
      <c r="L53" s="951"/>
      <c r="M53" s="951"/>
    </row>
    <row r="54" spans="2:13" ht="17.25" hidden="1" x14ac:dyDescent="0.4">
      <c r="B54" s="951"/>
      <c r="C54" s="951"/>
      <c r="D54" s="951"/>
      <c r="E54" s="949"/>
      <c r="F54" s="951"/>
      <c r="G54" s="951"/>
      <c r="H54" s="951"/>
      <c r="I54" s="951"/>
      <c r="J54" s="951"/>
      <c r="K54" s="951"/>
      <c r="L54" s="951"/>
      <c r="M54" s="951"/>
    </row>
    <row r="55" spans="2:13" ht="17.25" hidden="1" x14ac:dyDescent="0.4">
      <c r="B55" s="951"/>
      <c r="C55" s="951"/>
      <c r="D55" s="951"/>
      <c r="E55" s="949"/>
      <c r="F55" s="951"/>
      <c r="G55" s="951"/>
      <c r="H55" s="951"/>
      <c r="I55" s="951"/>
      <c r="J55" s="951"/>
      <c r="K55" s="951"/>
      <c r="L55" s="951"/>
      <c r="M55" s="951"/>
    </row>
    <row r="56" spans="2:13" ht="17.25" x14ac:dyDescent="0.4">
      <c r="B56" s="951"/>
      <c r="C56" s="951"/>
      <c r="D56" s="951"/>
      <c r="E56" s="949"/>
      <c r="F56" s="951"/>
      <c r="G56" s="951"/>
      <c r="H56" s="951"/>
      <c r="I56" s="951"/>
      <c r="J56" s="951"/>
      <c r="K56" s="951"/>
      <c r="L56" s="951"/>
      <c r="M56" s="951"/>
    </row>
    <row r="57" spans="2:13" ht="17.25" x14ac:dyDescent="0.4">
      <c r="B57" s="951"/>
      <c r="C57" s="951"/>
      <c r="D57" s="951"/>
      <c r="E57" s="949"/>
      <c r="F57" s="951"/>
      <c r="G57" s="951"/>
      <c r="H57" s="951"/>
      <c r="I57" s="951"/>
      <c r="J57" s="951"/>
      <c r="K57" s="951"/>
      <c r="L57" s="951"/>
      <c r="M57" s="951"/>
    </row>
    <row r="58" spans="2:13" ht="17.25" x14ac:dyDescent="0.4">
      <c r="B58" s="951"/>
      <c r="C58" s="951"/>
      <c r="D58" s="951"/>
      <c r="E58" s="949"/>
      <c r="F58" s="951"/>
      <c r="G58" s="951"/>
      <c r="H58" s="951"/>
      <c r="I58" s="951"/>
      <c r="J58" s="951"/>
      <c r="K58" s="951"/>
      <c r="L58" s="951"/>
      <c r="M58" s="951"/>
    </row>
    <row r="59" spans="2:13" ht="17.25" x14ac:dyDescent="0.4">
      <c r="B59" s="951"/>
      <c r="C59" s="951"/>
      <c r="D59" s="951"/>
      <c r="E59" s="949"/>
      <c r="F59" s="951"/>
      <c r="G59" s="951"/>
      <c r="H59" s="951"/>
      <c r="I59" s="951"/>
      <c r="J59" s="951"/>
      <c r="K59" s="951"/>
      <c r="L59" s="951"/>
      <c r="M59" s="951"/>
    </row>
    <row r="60" spans="2:13" ht="17.25" x14ac:dyDescent="0.4">
      <c r="B60" s="951"/>
      <c r="C60" s="951"/>
      <c r="D60" s="951"/>
      <c r="E60" s="949"/>
      <c r="F60" s="951"/>
      <c r="G60" s="951"/>
      <c r="H60" s="951"/>
      <c r="I60" s="951"/>
      <c r="J60" s="951"/>
      <c r="K60" s="951"/>
      <c r="L60" s="951"/>
      <c r="M60" s="951"/>
    </row>
    <row r="61" spans="2:13" ht="17.25" x14ac:dyDescent="0.4">
      <c r="B61" s="951"/>
      <c r="C61" s="951"/>
      <c r="D61" s="951"/>
      <c r="E61" s="949"/>
      <c r="F61" s="951"/>
      <c r="G61" s="951"/>
      <c r="H61" s="951"/>
      <c r="I61" s="951"/>
      <c r="J61" s="951"/>
      <c r="K61" s="951"/>
      <c r="L61" s="951"/>
      <c r="M61" s="951"/>
    </row>
    <row r="62" spans="2:13" ht="21.75" x14ac:dyDescent="0.5">
      <c r="B62" s="3090">
        <v>4</v>
      </c>
      <c r="C62" s="3090"/>
      <c r="D62" s="3090"/>
      <c r="E62" s="3090"/>
      <c r="F62" s="3090"/>
      <c r="G62" s="3090"/>
      <c r="H62" s="3090"/>
      <c r="I62" s="3090"/>
      <c r="J62" s="3090"/>
      <c r="K62" s="3090"/>
      <c r="L62" s="3090"/>
      <c r="M62" s="3090"/>
    </row>
    <row r="63" spans="2:13" x14ac:dyDescent="0.35">
      <c r="B63" s="51"/>
      <c r="C63" s="51"/>
      <c r="D63" s="51"/>
      <c r="E63" s="1036"/>
      <c r="F63" s="51"/>
      <c r="G63" s="51"/>
      <c r="H63" s="51"/>
      <c r="I63" s="51"/>
      <c r="J63" s="51"/>
      <c r="K63" s="51"/>
      <c r="L63" s="51"/>
      <c r="M63" s="51"/>
    </row>
  </sheetData>
  <mergeCells count="30">
    <mergeCell ref="B18:D18"/>
    <mergeCell ref="B17:D17"/>
    <mergeCell ref="B29:D29"/>
    <mergeCell ref="B9:D9"/>
    <mergeCell ref="B30:D30"/>
    <mergeCell ref="B23:D23"/>
    <mergeCell ref="B26:D26"/>
    <mergeCell ref="B24:D24"/>
    <mergeCell ref="B27:D27"/>
    <mergeCell ref="B11:D11"/>
    <mergeCell ref="B16:D16"/>
    <mergeCell ref="B10:D10"/>
    <mergeCell ref="B20:C20"/>
    <mergeCell ref="B28:D28"/>
    <mergeCell ref="B25:D25"/>
    <mergeCell ref="B62:M62"/>
    <mergeCell ref="B33:M33"/>
    <mergeCell ref="B31:D31"/>
    <mergeCell ref="B50:D50"/>
    <mergeCell ref="B52:D52"/>
    <mergeCell ref="A39:N39"/>
    <mergeCell ref="B1:M1"/>
    <mergeCell ref="B3:M3"/>
    <mergeCell ref="B4:M4"/>
    <mergeCell ref="G6:I6"/>
    <mergeCell ref="K6:K7"/>
    <mergeCell ref="B2:M2"/>
    <mergeCell ref="M6:M7"/>
    <mergeCell ref="E6:E7"/>
    <mergeCell ref="K5:M5"/>
  </mergeCells>
  <pageMargins left="0.70866141732283505" right="0.70866141732283505" top="0.62992125984252001" bottom="0.74803149606299202" header="0.31496062992126" footer="0.31496062992126"/>
  <pageSetup scale="97" fitToWidth="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M41"/>
  <sheetViews>
    <sheetView rightToLeft="1" topLeftCell="A17" zoomScaleNormal="100" workbookViewId="0">
      <selection activeCell="G30" sqref="G30"/>
    </sheetView>
  </sheetViews>
  <sheetFormatPr defaultColWidth="9.140625" defaultRowHeight="13.5" customHeight="1" x14ac:dyDescent="0.35"/>
  <cols>
    <col min="1" max="1" width="5.5703125" style="1" customWidth="1"/>
    <col min="2" max="2" width="23" style="2" customWidth="1"/>
    <col min="3" max="3" width="3.5703125" style="1" customWidth="1"/>
    <col min="4" max="4" width="2.5703125" style="1" customWidth="1"/>
    <col min="5" max="5" width="10.5703125" style="57" customWidth="1"/>
    <col min="6" max="6" width="2.140625" style="57" customWidth="1"/>
    <col min="7" max="7" width="9.140625" style="1" customWidth="1"/>
    <col min="8" max="8" width="34.85546875" style="1" customWidth="1"/>
    <col min="9" max="9" width="2.5703125" style="1" customWidth="1"/>
    <col min="10" max="16384" width="9.140625" style="1"/>
  </cols>
  <sheetData>
    <row r="1" spans="1:13" ht="18.75" customHeight="1" x14ac:dyDescent="0.35">
      <c r="A1" s="3054" t="s">
        <v>44</v>
      </c>
      <c r="B1" s="3054"/>
      <c r="C1" s="3054"/>
      <c r="D1" s="3054"/>
      <c r="E1" s="3054"/>
      <c r="F1" s="3054"/>
      <c r="G1" s="3054"/>
      <c r="H1" s="3054"/>
      <c r="I1" s="52"/>
      <c r="J1" s="52"/>
      <c r="K1" s="52"/>
    </row>
    <row r="2" spans="1:13" ht="18.75" customHeight="1" x14ac:dyDescent="0.35">
      <c r="A2" s="3054" t="s">
        <v>45</v>
      </c>
      <c r="B2" s="3054"/>
      <c r="C2" s="3054"/>
      <c r="D2" s="3054"/>
      <c r="E2" s="3054"/>
      <c r="F2" s="3054"/>
      <c r="G2" s="3054"/>
      <c r="H2" s="3054"/>
      <c r="I2" s="52"/>
      <c r="J2" s="52"/>
      <c r="K2" s="52"/>
    </row>
    <row r="3" spans="1:13" ht="18.75" customHeight="1" x14ac:dyDescent="0.35">
      <c r="A3" s="3054" t="s">
        <v>46</v>
      </c>
      <c r="B3" s="3054"/>
      <c r="C3" s="3054"/>
      <c r="D3" s="3054"/>
      <c r="E3" s="3054"/>
      <c r="F3" s="3054"/>
      <c r="G3" s="3054"/>
      <c r="H3" s="3054"/>
      <c r="I3" s="52"/>
      <c r="J3" s="52"/>
      <c r="K3" s="52"/>
    </row>
    <row r="4" spans="1:13" ht="18.75" customHeight="1" x14ac:dyDescent="0.45">
      <c r="A4" s="3077" t="s">
        <v>1384</v>
      </c>
      <c r="B4" s="3077"/>
      <c r="C4" s="3077"/>
      <c r="D4" s="3077"/>
      <c r="E4" s="3077"/>
      <c r="F4" s="3077"/>
      <c r="G4" s="3077"/>
      <c r="H4" s="3077"/>
      <c r="I4" s="53"/>
      <c r="J4" s="53"/>
      <c r="K4" s="53"/>
    </row>
    <row r="5" spans="1:13" ht="17.25" customHeight="1" x14ac:dyDescent="0.45">
      <c r="A5" s="950"/>
      <c r="B5" s="950"/>
      <c r="C5" s="950"/>
      <c r="D5" s="950"/>
      <c r="E5" s="950"/>
      <c r="F5" s="950"/>
      <c r="G5" s="53"/>
      <c r="H5" s="53"/>
      <c r="I5" s="53"/>
      <c r="J5" s="53"/>
      <c r="K5" s="53"/>
    </row>
    <row r="6" spans="1:13" ht="16.5" customHeight="1" x14ac:dyDescent="0.45">
      <c r="A6" s="950"/>
      <c r="B6" s="950"/>
      <c r="C6" s="950"/>
      <c r="D6" s="950"/>
      <c r="E6" s="950"/>
      <c r="F6" s="950"/>
      <c r="G6" s="53"/>
      <c r="H6" s="53"/>
      <c r="I6" s="53"/>
      <c r="J6" s="53"/>
      <c r="K6" s="53"/>
    </row>
    <row r="7" spans="1:13" ht="25.5" customHeight="1" x14ac:dyDescent="0.4">
      <c r="A7" s="3100" t="s">
        <v>986</v>
      </c>
      <c r="B7" s="3100"/>
      <c r="C7" s="3100"/>
      <c r="D7" s="3100"/>
      <c r="E7" s="3100"/>
      <c r="F7" s="3100"/>
      <c r="G7" s="21"/>
      <c r="H7" s="21"/>
    </row>
    <row r="8" spans="1:13" ht="9" customHeight="1" x14ac:dyDescent="0.4">
      <c r="A8" s="859"/>
      <c r="B8" s="859"/>
      <c r="C8" s="859"/>
      <c r="D8" s="859"/>
      <c r="E8" s="859"/>
      <c r="F8" s="859"/>
      <c r="G8" s="21"/>
      <c r="H8" s="21"/>
    </row>
    <row r="9" spans="1:13" s="55" customFormat="1" ht="25.5" customHeight="1" x14ac:dyDescent="0.45">
      <c r="A9" s="3095" t="s">
        <v>47</v>
      </c>
      <c r="B9" s="3095"/>
      <c r="C9" s="3095"/>
      <c r="D9" s="3095"/>
      <c r="E9" s="3095"/>
      <c r="F9" s="3095"/>
      <c r="G9" s="54"/>
      <c r="H9" s="54"/>
    </row>
    <row r="10" spans="1:13" ht="127.15" customHeight="1" x14ac:dyDescent="0.4">
      <c r="A10" s="21"/>
      <c r="B10" s="3097" t="s">
        <v>1197</v>
      </c>
      <c r="C10" s="3097"/>
      <c r="D10" s="3097"/>
      <c r="E10" s="3097"/>
      <c r="F10" s="3097"/>
      <c r="G10" s="3097"/>
      <c r="H10" s="3097"/>
      <c r="M10" s="745"/>
    </row>
    <row r="11" spans="1:13" ht="28.5" customHeight="1" x14ac:dyDescent="0.4">
      <c r="A11" s="21"/>
      <c r="B11" s="979"/>
      <c r="C11" s="979"/>
      <c r="D11" s="979"/>
      <c r="E11" s="979"/>
      <c r="F11" s="979"/>
      <c r="G11" s="979"/>
      <c r="H11" s="979"/>
      <c r="M11" s="745"/>
    </row>
    <row r="12" spans="1:13" s="55" customFormat="1" ht="25.5" customHeight="1" x14ac:dyDescent="0.45">
      <c r="A12" s="3095" t="s">
        <v>48</v>
      </c>
      <c r="B12" s="3095"/>
      <c r="C12" s="3095"/>
      <c r="D12" s="3095"/>
      <c r="E12" s="3095"/>
      <c r="F12" s="3095"/>
      <c r="G12" s="54"/>
      <c r="H12" s="54"/>
    </row>
    <row r="13" spans="1:13" ht="58.9" customHeight="1" x14ac:dyDescent="0.4">
      <c r="A13" s="21"/>
      <c r="B13" s="3097" t="s">
        <v>987</v>
      </c>
      <c r="C13" s="3097"/>
      <c r="D13" s="3097"/>
      <c r="E13" s="3097"/>
      <c r="F13" s="3097"/>
      <c r="G13" s="3097"/>
      <c r="H13" s="3097"/>
      <c r="M13" s="745"/>
    </row>
    <row r="14" spans="1:13" ht="30" customHeight="1" x14ac:dyDescent="0.4">
      <c r="A14" s="21"/>
      <c r="B14" s="979"/>
      <c r="C14" s="979"/>
      <c r="D14" s="979"/>
      <c r="E14" s="979"/>
      <c r="F14" s="979"/>
      <c r="G14" s="979"/>
      <c r="H14" s="979"/>
      <c r="M14" s="745"/>
    </row>
    <row r="15" spans="1:13" ht="25.5" customHeight="1" x14ac:dyDescent="0.4">
      <c r="A15" s="3095" t="s">
        <v>1926</v>
      </c>
      <c r="B15" s="3095"/>
      <c r="C15" s="3095"/>
      <c r="D15" s="3095"/>
      <c r="E15" s="3095"/>
      <c r="F15" s="3095"/>
      <c r="G15" s="21"/>
      <c r="H15" s="21"/>
    </row>
    <row r="16" spans="1:13" s="57" customFormat="1" ht="40.15" customHeight="1" x14ac:dyDescent="0.2">
      <c r="A16" s="56"/>
      <c r="B16" s="3099" t="s">
        <v>1927</v>
      </c>
      <c r="C16" s="3099"/>
      <c r="D16" s="3099"/>
      <c r="E16" s="3099"/>
      <c r="F16" s="3099"/>
      <c r="G16" s="3099"/>
      <c r="H16" s="3099"/>
    </row>
    <row r="17" spans="1:8" s="57" customFormat="1" ht="19.149999999999999" customHeight="1" x14ac:dyDescent="0.2">
      <c r="A17" s="56"/>
      <c r="B17" s="954"/>
      <c r="C17" s="954"/>
      <c r="D17" s="954"/>
      <c r="E17" s="954"/>
      <c r="F17" s="954"/>
      <c r="G17" s="954"/>
      <c r="H17" s="954"/>
    </row>
    <row r="18" spans="1:8" s="57" customFormat="1" ht="19.149999999999999" customHeight="1" x14ac:dyDescent="0.2">
      <c r="A18" s="56"/>
      <c r="B18" s="954"/>
      <c r="C18" s="954"/>
      <c r="D18" s="954"/>
      <c r="E18" s="954"/>
      <c r="F18" s="954"/>
      <c r="G18" s="954"/>
      <c r="H18" s="954"/>
    </row>
    <row r="19" spans="1:8" ht="12.75" customHeight="1" x14ac:dyDescent="0.5">
      <c r="A19" s="21"/>
      <c r="B19" s="19"/>
      <c r="C19" s="19"/>
      <c r="D19" s="19"/>
      <c r="E19" s="209" t="s">
        <v>2217</v>
      </c>
      <c r="F19" s="210"/>
      <c r="G19" s="209" t="s">
        <v>1385</v>
      </c>
      <c r="H19" s="19"/>
    </row>
    <row r="20" spans="1:8" ht="16.5" customHeight="1" x14ac:dyDescent="0.5">
      <c r="A20" s="21"/>
      <c r="B20" s="20"/>
      <c r="C20" s="19"/>
      <c r="D20" s="19"/>
      <c r="E20" s="184" t="s">
        <v>50</v>
      </c>
      <c r="F20" s="184"/>
      <c r="G20" s="184" t="s">
        <v>50</v>
      </c>
      <c r="H20" s="19"/>
    </row>
    <row r="21" spans="1:8" ht="18.75" customHeight="1" thickBot="1" x14ac:dyDescent="0.55000000000000004">
      <c r="B21" s="3098" t="s">
        <v>1198</v>
      </c>
      <c r="C21" s="3098"/>
      <c r="D21" s="19"/>
      <c r="E21" s="211" t="s">
        <v>1814</v>
      </c>
      <c r="F21" s="210"/>
      <c r="G21" s="211" t="s">
        <v>1814</v>
      </c>
      <c r="H21" s="19"/>
    </row>
    <row r="22" spans="1:8" ht="18.75" customHeight="1" thickTop="1" x14ac:dyDescent="0.5">
      <c r="B22" s="1426"/>
      <c r="C22" s="1426"/>
      <c r="D22" s="19"/>
      <c r="E22" s="1427"/>
      <c r="F22" s="210"/>
      <c r="G22" s="1427"/>
      <c r="H22" s="19"/>
    </row>
    <row r="23" spans="1:8" ht="13.5" customHeight="1" x14ac:dyDescent="0.5">
      <c r="B23" s="20"/>
      <c r="C23" s="19"/>
      <c r="D23" s="19"/>
      <c r="E23" s="210"/>
      <c r="F23" s="210"/>
      <c r="G23" s="212"/>
      <c r="H23" s="19"/>
    </row>
    <row r="24" spans="1:8" ht="20.25" customHeight="1" x14ac:dyDescent="0.35">
      <c r="A24" s="3097" t="s">
        <v>1928</v>
      </c>
      <c r="B24" s="3097"/>
      <c r="C24" s="3097"/>
      <c r="D24" s="3097"/>
      <c r="E24" s="3097"/>
      <c r="F24" s="3097"/>
      <c r="G24" s="3097"/>
      <c r="H24" s="3097"/>
    </row>
    <row r="25" spans="1:8" ht="27.6" customHeight="1" x14ac:dyDescent="0.35">
      <c r="A25" s="3097"/>
      <c r="B25" s="3097"/>
      <c r="C25" s="3097"/>
      <c r="D25" s="3097"/>
      <c r="E25" s="3097"/>
      <c r="F25" s="3097"/>
      <c r="G25" s="3097"/>
      <c r="H25" s="3097"/>
    </row>
    <row r="26" spans="1:8" ht="13.5" customHeight="1" x14ac:dyDescent="0.35">
      <c r="A26" s="695"/>
      <c r="B26" s="1"/>
      <c r="E26" s="1"/>
      <c r="F26" s="1"/>
    </row>
    <row r="27" spans="1:8" ht="13.5" customHeight="1" x14ac:dyDescent="0.35">
      <c r="E27" s="59"/>
      <c r="F27" s="59"/>
      <c r="G27" s="60"/>
    </row>
    <row r="28" spans="1:8" ht="13.5" customHeight="1" x14ac:dyDescent="0.35">
      <c r="E28" s="59"/>
      <c r="F28" s="59"/>
      <c r="G28" s="60"/>
    </row>
    <row r="29" spans="1:8" ht="13.5" customHeight="1" x14ac:dyDescent="0.35">
      <c r="E29" s="59"/>
      <c r="F29" s="59"/>
      <c r="G29" s="60"/>
    </row>
    <row r="30" spans="1:8" ht="13.5" customHeight="1" x14ac:dyDescent="0.35">
      <c r="E30" s="59"/>
      <c r="F30" s="59"/>
      <c r="G30" s="60"/>
    </row>
    <row r="31" spans="1:8" ht="13.5" customHeight="1" x14ac:dyDescent="0.35">
      <c r="E31" s="59"/>
      <c r="F31" s="59"/>
      <c r="G31" s="60"/>
    </row>
    <row r="32" spans="1:8" ht="13.5" customHeight="1" x14ac:dyDescent="0.35">
      <c r="A32" s="3096">
        <v>6</v>
      </c>
      <c r="B32" s="3096"/>
      <c r="C32" s="3096"/>
      <c r="D32" s="3096"/>
      <c r="E32" s="3096"/>
      <c r="F32" s="3096"/>
      <c r="G32" s="3096"/>
      <c r="H32" s="3096"/>
    </row>
    <row r="33" spans="1:8" ht="13.5" customHeight="1" x14ac:dyDescent="0.35">
      <c r="A33" s="3096"/>
      <c r="B33" s="3096"/>
      <c r="C33" s="3096"/>
      <c r="D33" s="3096"/>
      <c r="E33" s="3096"/>
      <c r="F33" s="3096"/>
      <c r="G33" s="3096"/>
      <c r="H33" s="3096"/>
    </row>
    <row r="34" spans="1:8" ht="13.5" customHeight="1" x14ac:dyDescent="0.35">
      <c r="B34" s="1"/>
      <c r="E34" s="1"/>
      <c r="F34" s="1"/>
    </row>
    <row r="41" spans="1:8" ht="13.5" customHeight="1" x14ac:dyDescent="0.35">
      <c r="A41" s="696" t="s">
        <v>1374</v>
      </c>
    </row>
  </sheetData>
  <mergeCells count="14">
    <mergeCell ref="A1:H1"/>
    <mergeCell ref="A2:H2"/>
    <mergeCell ref="A3:H3"/>
    <mergeCell ref="A4:H4"/>
    <mergeCell ref="A7:F7"/>
    <mergeCell ref="A9:F9"/>
    <mergeCell ref="A32:H33"/>
    <mergeCell ref="B10:H10"/>
    <mergeCell ref="A12:F12"/>
    <mergeCell ref="B13:H13"/>
    <mergeCell ref="A15:F15"/>
    <mergeCell ref="B21:C21"/>
    <mergeCell ref="B16:H16"/>
    <mergeCell ref="A24:H25"/>
  </mergeCells>
  <printOptions horizontalCentered="1"/>
  <pageMargins left="0.55118110236220497" right="0.82677165354330695" top="0.94488188976377996" bottom="0.94488188976377996" header="0.511811023622047" footer="0.39370078740157499"/>
  <pageSetup paperSize="9" scale="82" fitToWidth="0"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3AC3B-F513-4981-94F2-7FDF262CA25F}">
  <dimension ref="B1:AG172"/>
  <sheetViews>
    <sheetView rightToLeft="1" tabSelected="1" topLeftCell="D135" zoomScale="112" zoomScaleNormal="112" zoomScaleSheetLayoutView="56" workbookViewId="0">
      <selection activeCell="D140" sqref="A140:XFD143"/>
    </sheetView>
  </sheetViews>
  <sheetFormatPr defaultColWidth="11" defaultRowHeight="15" x14ac:dyDescent="0.35"/>
  <cols>
    <col min="1" max="1" width="0.42578125" style="2956" customWidth="1"/>
    <col min="2" max="2" width="3" style="2956" customWidth="1"/>
    <col min="3" max="3" width="2.28515625" style="2956" customWidth="1"/>
    <col min="4" max="4" width="9.28515625" style="3023" customWidth="1"/>
    <col min="5" max="5" width="21.85546875" style="3024" customWidth="1"/>
    <col min="6" max="6" width="5.85546875" style="3023" customWidth="1"/>
    <col min="7" max="7" width="7.5703125" style="3025" customWidth="1"/>
    <col min="8" max="8" width="5.28515625" style="3025" customWidth="1"/>
    <col min="9" max="10" width="5.5703125" style="3025" customWidth="1"/>
    <col min="11" max="13" width="6" style="3025" customWidth="1"/>
    <col min="14" max="14" width="6.42578125" style="3025" customWidth="1"/>
    <col min="15" max="15" width="5.42578125" style="3025" customWidth="1"/>
    <col min="16" max="17" width="5.85546875" style="3025" customWidth="1"/>
    <col min="18" max="18" width="3.85546875" style="3023" customWidth="1"/>
    <col min="19" max="19" width="4.140625" style="3023" customWidth="1"/>
    <col min="20" max="20" width="4.42578125" style="3023" customWidth="1"/>
    <col min="21" max="21" width="4.28515625" style="3023" customWidth="1"/>
    <col min="22" max="22" width="4.7109375" style="3023" customWidth="1"/>
    <col min="23" max="23" width="5" style="3023" customWidth="1"/>
    <col min="24" max="25" width="0.28515625" style="2956" customWidth="1"/>
    <col min="26" max="26" width="0.42578125" style="2956" customWidth="1"/>
    <col min="27" max="16384" width="11" style="2956"/>
  </cols>
  <sheetData>
    <row r="1" spans="2:33" ht="18.600000000000001" customHeight="1" x14ac:dyDescent="0.45">
      <c r="D1" s="3101" t="s">
        <v>32</v>
      </c>
      <c r="E1" s="3101"/>
      <c r="F1" s="3101"/>
      <c r="G1" s="3101"/>
      <c r="H1" s="3101"/>
      <c r="I1" s="3101"/>
      <c r="J1" s="3101"/>
      <c r="K1" s="3101"/>
      <c r="L1" s="3101"/>
      <c r="M1" s="3101"/>
      <c r="N1" s="3101"/>
      <c r="O1" s="3101"/>
      <c r="P1" s="3101"/>
      <c r="Q1" s="3101"/>
      <c r="R1" s="3101"/>
      <c r="S1" s="3101"/>
      <c r="T1" s="3101"/>
      <c r="U1" s="3101"/>
      <c r="V1" s="3101"/>
      <c r="W1" s="3101"/>
    </row>
    <row r="2" spans="2:33" ht="18.600000000000001" customHeight="1" x14ac:dyDescent="0.45">
      <c r="D2" s="3101" t="s">
        <v>51</v>
      </c>
      <c r="E2" s="3101"/>
      <c r="F2" s="3101"/>
      <c r="G2" s="3101"/>
      <c r="H2" s="3101"/>
      <c r="I2" s="3101"/>
      <c r="J2" s="3101"/>
      <c r="K2" s="3101"/>
      <c r="L2" s="3101"/>
      <c r="M2" s="3101"/>
      <c r="N2" s="3101"/>
      <c r="O2" s="3101"/>
      <c r="P2" s="3101"/>
      <c r="Q2" s="3101"/>
      <c r="R2" s="3101"/>
      <c r="S2" s="3101"/>
      <c r="T2" s="3101"/>
      <c r="U2" s="3101"/>
      <c r="V2" s="3101"/>
      <c r="W2" s="3101"/>
    </row>
    <row r="3" spans="2:33" ht="18.600000000000001" customHeight="1" x14ac:dyDescent="0.45">
      <c r="D3" s="3101" t="s">
        <v>52</v>
      </c>
      <c r="E3" s="3101"/>
      <c r="F3" s="3101"/>
      <c r="G3" s="3101"/>
      <c r="H3" s="3101"/>
      <c r="I3" s="3101"/>
      <c r="J3" s="3101"/>
      <c r="K3" s="3101"/>
      <c r="L3" s="3101"/>
      <c r="M3" s="3101"/>
      <c r="N3" s="3101"/>
      <c r="O3" s="3101"/>
      <c r="P3" s="3101"/>
      <c r="Q3" s="3101"/>
      <c r="R3" s="3101"/>
      <c r="S3" s="3101"/>
      <c r="T3" s="3101"/>
      <c r="U3" s="3101"/>
      <c r="V3" s="3101"/>
      <c r="W3" s="3101"/>
    </row>
    <row r="4" spans="2:33" ht="18.600000000000001" customHeight="1" x14ac:dyDescent="0.45">
      <c r="D4" s="3101" t="s">
        <v>2004</v>
      </c>
      <c r="E4" s="3101"/>
      <c r="F4" s="3101"/>
      <c r="G4" s="3101"/>
      <c r="H4" s="3101"/>
      <c r="I4" s="3101"/>
      <c r="J4" s="3101"/>
      <c r="K4" s="3101"/>
      <c r="L4" s="3101"/>
      <c r="M4" s="3101"/>
      <c r="N4" s="3101"/>
      <c r="O4" s="3101"/>
      <c r="P4" s="3101"/>
      <c r="Q4" s="3101"/>
      <c r="R4" s="3101"/>
      <c r="S4" s="3101"/>
      <c r="T4" s="3101"/>
      <c r="U4" s="3101"/>
      <c r="V4" s="3101"/>
      <c r="W4" s="3101"/>
    </row>
    <row r="5" spans="2:33" ht="25.15" hidden="1" customHeight="1" x14ac:dyDescent="0.4">
      <c r="D5" s="2957"/>
      <c r="E5" s="2958"/>
      <c r="F5" s="2957"/>
      <c r="G5" s="2959"/>
      <c r="H5" s="2959"/>
      <c r="I5" s="2959"/>
      <c r="J5" s="2959"/>
      <c r="K5" s="2959"/>
      <c r="L5" s="2959"/>
      <c r="M5" s="2959"/>
      <c r="N5" s="2959"/>
      <c r="O5" s="2959"/>
      <c r="P5" s="2959"/>
      <c r="Q5" s="2959"/>
      <c r="R5" s="2957"/>
      <c r="S5" s="2957"/>
      <c r="T5" s="2957"/>
      <c r="U5" s="2957"/>
      <c r="V5" s="2957"/>
      <c r="W5" s="2957"/>
    </row>
    <row r="6" spans="2:33" ht="9" customHeight="1" x14ac:dyDescent="0.4">
      <c r="D6" s="2957"/>
      <c r="E6" s="2958"/>
      <c r="F6" s="2957"/>
      <c r="G6" s="2959"/>
      <c r="H6" s="2959"/>
      <c r="I6" s="2959"/>
      <c r="J6" s="2959"/>
      <c r="K6" s="2959"/>
      <c r="L6" s="2959"/>
      <c r="M6" s="2959"/>
      <c r="N6" s="2959"/>
      <c r="O6" s="2959"/>
      <c r="P6" s="2959"/>
      <c r="Q6" s="2959"/>
      <c r="R6" s="2957"/>
      <c r="S6" s="2957"/>
      <c r="T6" s="2957"/>
      <c r="U6" s="2957"/>
      <c r="V6" s="2957"/>
      <c r="W6" s="2957"/>
    </row>
    <row r="7" spans="2:33" ht="18" x14ac:dyDescent="0.4">
      <c r="D7" s="3102" t="s">
        <v>1331</v>
      </c>
      <c r="E7" s="3102"/>
      <c r="F7" s="3102"/>
      <c r="G7" s="3102"/>
      <c r="H7" s="3102"/>
      <c r="I7" s="3102"/>
      <c r="J7" s="3030"/>
      <c r="K7" s="2960"/>
      <c r="L7" s="2960"/>
      <c r="M7" s="2960"/>
      <c r="N7" s="2960"/>
      <c r="O7" s="2960"/>
      <c r="P7" s="2960"/>
      <c r="Q7" s="2960"/>
      <c r="R7" s="2961"/>
      <c r="S7" s="2961"/>
      <c r="T7" s="2961"/>
      <c r="U7" s="2961"/>
      <c r="V7" s="2961"/>
      <c r="W7" s="2961"/>
    </row>
    <row r="8" spans="2:33" ht="18" x14ac:dyDescent="0.4">
      <c r="D8" s="3102" t="s">
        <v>1344</v>
      </c>
      <c r="E8" s="3102"/>
      <c r="F8" s="3102"/>
      <c r="G8" s="3102"/>
      <c r="H8" s="2962"/>
      <c r="I8" s="2963"/>
      <c r="J8" s="2963"/>
      <c r="K8" s="2963"/>
      <c r="L8" s="2963"/>
      <c r="M8" s="2963"/>
      <c r="N8" s="2963"/>
      <c r="O8" s="2963"/>
      <c r="P8" s="2963"/>
      <c r="Q8" s="2963"/>
      <c r="R8" s="2964"/>
      <c r="S8" s="2964"/>
      <c r="T8" s="2964"/>
      <c r="U8" s="3103" t="s">
        <v>194</v>
      </c>
      <c r="V8" s="3103"/>
      <c r="W8" s="3103"/>
      <c r="AE8" s="2965"/>
      <c r="AF8" s="2965"/>
      <c r="AG8" s="2965"/>
    </row>
    <row r="9" spans="2:33" s="2966" customFormat="1" ht="44.45" customHeight="1" x14ac:dyDescent="0.2">
      <c r="B9" s="3120" t="s">
        <v>1294</v>
      </c>
      <c r="C9" s="3110" t="s">
        <v>1185</v>
      </c>
      <c r="D9" s="4286" t="s">
        <v>53</v>
      </c>
      <c r="E9" s="4286" t="s">
        <v>54</v>
      </c>
      <c r="F9" s="4284" t="s">
        <v>55</v>
      </c>
      <c r="G9" s="4282" t="s">
        <v>56</v>
      </c>
      <c r="H9" s="4293" t="s">
        <v>1018</v>
      </c>
      <c r="I9" s="4291" t="s">
        <v>57</v>
      </c>
      <c r="J9" s="3117"/>
      <c r="K9" s="4292"/>
      <c r="L9" s="4288" t="s">
        <v>2234</v>
      </c>
      <c r="M9" s="4289"/>
      <c r="N9" s="4290"/>
      <c r="O9" s="3118" t="s">
        <v>2235</v>
      </c>
      <c r="P9" s="3116"/>
      <c r="Q9" s="3119"/>
      <c r="R9" s="3107" t="s">
        <v>58</v>
      </c>
      <c r="S9" s="3107" t="s">
        <v>59</v>
      </c>
      <c r="T9" s="3107" t="s">
        <v>60</v>
      </c>
      <c r="U9" s="3107" t="s">
        <v>61</v>
      </c>
      <c r="V9" s="3107" t="s">
        <v>1295</v>
      </c>
      <c r="W9" s="3107" t="s">
        <v>62</v>
      </c>
    </row>
    <row r="10" spans="2:33" s="2966" customFormat="1" ht="75.75" customHeight="1" x14ac:dyDescent="0.2">
      <c r="B10" s="3121"/>
      <c r="C10" s="3122"/>
      <c r="D10" s="4287"/>
      <c r="E10" s="4287"/>
      <c r="F10" s="4285"/>
      <c r="G10" s="4283"/>
      <c r="H10" s="4294"/>
      <c r="I10" s="3038" t="s">
        <v>998</v>
      </c>
      <c r="J10" s="3033" t="s">
        <v>999</v>
      </c>
      <c r="K10" s="3033" t="s">
        <v>1303</v>
      </c>
      <c r="L10" s="2967" t="s">
        <v>998</v>
      </c>
      <c r="M10" s="3033" t="s">
        <v>999</v>
      </c>
      <c r="N10" s="3035" t="s">
        <v>1799</v>
      </c>
      <c r="O10" s="2968" t="s">
        <v>998</v>
      </c>
      <c r="P10" s="2968" t="s">
        <v>999</v>
      </c>
      <c r="Q10" s="2968" t="s">
        <v>417</v>
      </c>
      <c r="R10" s="3108"/>
      <c r="S10" s="3108"/>
      <c r="T10" s="3108"/>
      <c r="U10" s="3108"/>
      <c r="V10" s="3109"/>
      <c r="W10" s="3108"/>
    </row>
    <row r="11" spans="2:33" s="4312" customFormat="1" ht="29.25" customHeight="1" x14ac:dyDescent="0.35">
      <c r="B11" s="4342">
        <v>1</v>
      </c>
      <c r="C11" s="4343" t="s">
        <v>1186</v>
      </c>
      <c r="D11" s="609" t="s">
        <v>2068</v>
      </c>
      <c r="E11" s="1012" t="s">
        <v>2425</v>
      </c>
      <c r="F11" s="4344" t="s">
        <v>1107</v>
      </c>
      <c r="G11" s="507">
        <v>577993000000</v>
      </c>
      <c r="H11" s="507">
        <v>110000000000</v>
      </c>
      <c r="I11" s="507">
        <v>70000000000</v>
      </c>
      <c r="J11" s="507"/>
      <c r="K11" s="507">
        <f>I11+J11</f>
        <v>70000000000</v>
      </c>
      <c r="L11" s="507">
        <v>70000000000</v>
      </c>
      <c r="M11" s="507"/>
      <c r="N11" s="507">
        <f>L11+M11</f>
        <v>70000000000</v>
      </c>
      <c r="O11" s="507"/>
      <c r="P11" s="507"/>
      <c r="Q11" s="507">
        <f>O11+P11</f>
        <v>0</v>
      </c>
      <c r="R11" s="609">
        <v>2</v>
      </c>
      <c r="S11" s="609">
        <v>1396</v>
      </c>
      <c r="T11" s="609">
        <v>1405</v>
      </c>
      <c r="U11" s="4345" t="s">
        <v>65</v>
      </c>
      <c r="V11" s="4346" t="s">
        <v>1296</v>
      </c>
      <c r="W11" s="4345" t="s">
        <v>1304</v>
      </c>
    </row>
    <row r="12" spans="2:33" s="4312" customFormat="1" ht="29.25" customHeight="1" x14ac:dyDescent="0.35">
      <c r="B12" s="4342">
        <v>2</v>
      </c>
      <c r="C12" s="4347"/>
      <c r="D12" s="609" t="s">
        <v>2069</v>
      </c>
      <c r="E12" s="1012" t="s">
        <v>2422</v>
      </c>
      <c r="F12" s="4344" t="s">
        <v>1107</v>
      </c>
      <c r="G12" s="507">
        <v>410645000000</v>
      </c>
      <c r="H12" s="507">
        <v>50000000000</v>
      </c>
      <c r="I12" s="507">
        <v>20000000000</v>
      </c>
      <c r="J12" s="507"/>
      <c r="K12" s="507">
        <f t="shared" ref="K12:K21" si="0">I12+J12</f>
        <v>20000000000</v>
      </c>
      <c r="L12" s="507">
        <v>20000000000</v>
      </c>
      <c r="M12" s="507"/>
      <c r="N12" s="507">
        <f t="shared" ref="N12:N21" si="1">L12+M12</f>
        <v>20000000000</v>
      </c>
      <c r="O12" s="507"/>
      <c r="P12" s="507"/>
      <c r="Q12" s="507">
        <f t="shared" ref="Q12:Q21" si="2">O12+P12</f>
        <v>0</v>
      </c>
      <c r="R12" s="609">
        <v>3</v>
      </c>
      <c r="S12" s="609">
        <v>1388</v>
      </c>
      <c r="T12" s="609">
        <v>1406</v>
      </c>
      <c r="U12" s="4348"/>
      <c r="V12" s="4348"/>
      <c r="W12" s="4348"/>
    </row>
    <row r="13" spans="2:33" s="4312" customFormat="1" ht="29.25" customHeight="1" x14ac:dyDescent="0.35">
      <c r="B13" s="4342"/>
      <c r="C13" s="4347"/>
      <c r="D13" s="609" t="s">
        <v>2071</v>
      </c>
      <c r="E13" s="1012" t="s">
        <v>2048</v>
      </c>
      <c r="F13" s="4344" t="s">
        <v>1107</v>
      </c>
      <c r="G13" s="610">
        <v>214410000000</v>
      </c>
      <c r="H13" s="507">
        <v>20000000000</v>
      </c>
      <c r="I13" s="507">
        <v>19433000000</v>
      </c>
      <c r="J13" s="507"/>
      <c r="K13" s="507">
        <f t="shared" ref="K13" si="3">I13+J13</f>
        <v>19433000000</v>
      </c>
      <c r="L13" s="507">
        <v>19433000000</v>
      </c>
      <c r="M13" s="507"/>
      <c r="N13" s="507">
        <f t="shared" ref="N13" si="4">L13+M13</f>
        <v>19433000000</v>
      </c>
      <c r="O13" s="507"/>
      <c r="P13" s="507"/>
      <c r="Q13" s="507">
        <f t="shared" ref="Q13" si="5">O13+P13</f>
        <v>0</v>
      </c>
      <c r="R13" s="609">
        <v>2</v>
      </c>
      <c r="S13" s="609">
        <v>1390</v>
      </c>
      <c r="T13" s="609">
        <v>1407</v>
      </c>
      <c r="U13" s="4348"/>
      <c r="V13" s="4348"/>
      <c r="W13" s="4348"/>
    </row>
    <row r="14" spans="2:33" s="4312" customFormat="1" ht="29.25" customHeight="1" x14ac:dyDescent="0.35">
      <c r="B14" s="4342">
        <v>3</v>
      </c>
      <c r="C14" s="4347"/>
      <c r="D14" s="609">
        <v>1307002010</v>
      </c>
      <c r="E14" s="1012" t="s">
        <v>79</v>
      </c>
      <c r="F14" s="4344" t="s">
        <v>2236</v>
      </c>
      <c r="G14" s="610">
        <v>41076920000000</v>
      </c>
      <c r="H14" s="507">
        <v>1945261000000</v>
      </c>
      <c r="I14" s="507">
        <v>1945261000000</v>
      </c>
      <c r="J14" s="507"/>
      <c r="K14" s="507">
        <f t="shared" si="0"/>
        <v>1945261000000</v>
      </c>
      <c r="L14" s="507">
        <v>1945261000000</v>
      </c>
      <c r="M14" s="507"/>
      <c r="N14" s="507">
        <f t="shared" si="1"/>
        <v>1945261000000</v>
      </c>
      <c r="O14" s="507">
        <v>6740000000</v>
      </c>
      <c r="P14" s="507">
        <v>134128000000</v>
      </c>
      <c r="Q14" s="507">
        <f t="shared" si="2"/>
        <v>140868000000</v>
      </c>
      <c r="R14" s="609">
        <v>2</v>
      </c>
      <c r="S14" s="609">
        <v>1385</v>
      </c>
      <c r="T14" s="609">
        <v>1407</v>
      </c>
      <c r="U14" s="4348"/>
      <c r="V14" s="4348"/>
      <c r="W14" s="4348"/>
    </row>
    <row r="15" spans="2:33" s="4312" customFormat="1" ht="29.25" customHeight="1" x14ac:dyDescent="0.35">
      <c r="B15" s="4342">
        <v>5</v>
      </c>
      <c r="C15" s="4347"/>
      <c r="D15" s="609">
        <v>1503002046</v>
      </c>
      <c r="E15" s="1012" t="s">
        <v>2418</v>
      </c>
      <c r="F15" s="4344" t="s">
        <v>2236</v>
      </c>
      <c r="G15" s="610">
        <v>21298170000000</v>
      </c>
      <c r="H15" s="507">
        <v>557800000000</v>
      </c>
      <c r="I15" s="507">
        <v>327800000000</v>
      </c>
      <c r="J15" s="507"/>
      <c r="K15" s="507">
        <f t="shared" si="0"/>
        <v>327800000000</v>
      </c>
      <c r="L15" s="507">
        <v>327800000000</v>
      </c>
      <c r="M15" s="507"/>
      <c r="N15" s="507">
        <f t="shared" si="1"/>
        <v>327800000000</v>
      </c>
      <c r="O15" s="507"/>
      <c r="P15" s="507">
        <v>48000000000</v>
      </c>
      <c r="Q15" s="507">
        <f t="shared" si="2"/>
        <v>48000000000</v>
      </c>
      <c r="R15" s="609">
        <v>1</v>
      </c>
      <c r="S15" s="609">
        <v>1367</v>
      </c>
      <c r="T15" s="609">
        <v>1408</v>
      </c>
      <c r="U15" s="4349" t="s">
        <v>2419</v>
      </c>
      <c r="V15" s="4348"/>
      <c r="W15" s="4348"/>
    </row>
    <row r="16" spans="2:33" s="4312" customFormat="1" ht="29.25" customHeight="1" x14ac:dyDescent="0.35">
      <c r="B16" s="4342">
        <v>6</v>
      </c>
      <c r="C16" s="4347"/>
      <c r="D16" s="609">
        <v>1503002096</v>
      </c>
      <c r="E16" s="1012" t="s">
        <v>586</v>
      </c>
      <c r="F16" s="4344" t="s">
        <v>2236</v>
      </c>
      <c r="G16" s="1018">
        <v>3654884000000</v>
      </c>
      <c r="H16" s="507">
        <v>28733000000</v>
      </c>
      <c r="I16" s="507"/>
      <c r="J16" s="507"/>
      <c r="K16" s="507">
        <f t="shared" si="0"/>
        <v>0</v>
      </c>
      <c r="L16" s="507"/>
      <c r="M16" s="507"/>
      <c r="N16" s="507">
        <f t="shared" si="1"/>
        <v>0</v>
      </c>
      <c r="O16" s="507"/>
      <c r="P16" s="507">
        <v>3860000000</v>
      </c>
      <c r="Q16" s="507">
        <f t="shared" si="2"/>
        <v>3860000000</v>
      </c>
      <c r="R16" s="609">
        <v>1</v>
      </c>
      <c r="S16" s="609">
        <v>1382</v>
      </c>
      <c r="T16" s="609">
        <v>1405</v>
      </c>
      <c r="U16" s="4348" t="s">
        <v>65</v>
      </c>
      <c r="V16" s="4348"/>
      <c r="W16" s="4348"/>
    </row>
    <row r="17" spans="2:23" s="4312" customFormat="1" ht="29.25" customHeight="1" x14ac:dyDescent="0.35">
      <c r="B17" s="4342">
        <v>7</v>
      </c>
      <c r="C17" s="4347"/>
      <c r="D17" s="609">
        <v>1503002173</v>
      </c>
      <c r="E17" s="1012" t="s">
        <v>2415</v>
      </c>
      <c r="F17" s="4344" t="s">
        <v>2236</v>
      </c>
      <c r="G17" s="507">
        <v>8824489000000</v>
      </c>
      <c r="H17" s="507">
        <v>310000000000</v>
      </c>
      <c r="I17" s="507"/>
      <c r="J17" s="507"/>
      <c r="K17" s="507">
        <f t="shared" si="0"/>
        <v>0</v>
      </c>
      <c r="L17" s="507"/>
      <c r="M17" s="507"/>
      <c r="N17" s="507">
        <f t="shared" si="1"/>
        <v>0</v>
      </c>
      <c r="O17" s="507"/>
      <c r="P17" s="507">
        <v>16000000000</v>
      </c>
      <c r="Q17" s="507">
        <f t="shared" si="2"/>
        <v>16000000000</v>
      </c>
      <c r="R17" s="609">
        <v>1</v>
      </c>
      <c r="S17" s="609">
        <v>1381</v>
      </c>
      <c r="T17" s="609">
        <v>1407</v>
      </c>
      <c r="U17" s="4348"/>
      <c r="V17" s="4348"/>
      <c r="W17" s="4348"/>
    </row>
    <row r="18" spans="2:23" s="4312" customFormat="1" ht="29.25" customHeight="1" x14ac:dyDescent="0.35">
      <c r="B18" s="4342">
        <v>8</v>
      </c>
      <c r="C18" s="4347"/>
      <c r="D18" s="611">
        <v>1503002067</v>
      </c>
      <c r="E18" s="1012" t="s">
        <v>2414</v>
      </c>
      <c r="F18" s="4344" t="s">
        <v>2236</v>
      </c>
      <c r="G18" s="507">
        <v>3400088000000</v>
      </c>
      <c r="H18" s="507">
        <v>16419000000</v>
      </c>
      <c r="I18" s="507">
        <v>8558000000</v>
      </c>
      <c r="J18" s="507"/>
      <c r="K18" s="507">
        <f t="shared" si="0"/>
        <v>8558000000</v>
      </c>
      <c r="L18" s="507">
        <v>8558000000</v>
      </c>
      <c r="M18" s="507"/>
      <c r="N18" s="507">
        <f t="shared" si="1"/>
        <v>8558000000</v>
      </c>
      <c r="O18" s="507">
        <v>922000000</v>
      </c>
      <c r="P18" s="507">
        <v>1538000000</v>
      </c>
      <c r="Q18" s="507">
        <f t="shared" si="2"/>
        <v>2460000000</v>
      </c>
      <c r="R18" s="609">
        <v>1</v>
      </c>
      <c r="S18" s="609">
        <v>1388</v>
      </c>
      <c r="T18" s="609">
        <v>1407</v>
      </c>
      <c r="U18" s="4348"/>
      <c r="V18" s="4348"/>
      <c r="W18" s="4348"/>
    </row>
    <row r="19" spans="2:23" s="4341" customFormat="1" ht="29.25" customHeight="1" x14ac:dyDescent="0.35">
      <c r="B19" s="4463">
        <v>9</v>
      </c>
      <c r="C19" s="4347"/>
      <c r="D19" s="4464">
        <v>1307006001</v>
      </c>
      <c r="E19" s="4465" t="s">
        <v>87</v>
      </c>
      <c r="F19" s="4337" t="s">
        <v>1297</v>
      </c>
      <c r="G19" s="4466">
        <v>1038816000000</v>
      </c>
      <c r="H19" s="4466">
        <v>70000000000</v>
      </c>
      <c r="I19" s="4466">
        <v>70000000000</v>
      </c>
      <c r="J19" s="4466"/>
      <c r="K19" s="4467">
        <f t="shared" si="0"/>
        <v>70000000000</v>
      </c>
      <c r="L19" s="4467">
        <v>70000000000</v>
      </c>
      <c r="M19" s="4467"/>
      <c r="N19" s="4467">
        <f t="shared" si="1"/>
        <v>70000000000</v>
      </c>
      <c r="O19" s="4466">
        <v>157653000000</v>
      </c>
      <c r="P19" s="4466">
        <v>457833000000</v>
      </c>
      <c r="Q19" s="4467">
        <f t="shared" si="2"/>
        <v>615486000000</v>
      </c>
      <c r="R19" s="4337">
        <v>1</v>
      </c>
      <c r="S19" s="4337">
        <v>1388</v>
      </c>
      <c r="T19" s="4337">
        <v>1403</v>
      </c>
      <c r="U19" s="4348"/>
      <c r="V19" s="4348"/>
      <c r="W19" s="4348"/>
    </row>
    <row r="20" spans="2:23" s="4312" customFormat="1" ht="29.25" customHeight="1" x14ac:dyDescent="0.35">
      <c r="B20" s="4342">
        <v>10</v>
      </c>
      <c r="C20" s="4347"/>
      <c r="D20" s="609">
        <v>1503003006</v>
      </c>
      <c r="E20" s="1012" t="s">
        <v>2412</v>
      </c>
      <c r="F20" s="4344" t="s">
        <v>2237</v>
      </c>
      <c r="G20" s="505">
        <v>9652497000000</v>
      </c>
      <c r="H20" s="505">
        <v>1862400000000</v>
      </c>
      <c r="I20" s="505">
        <v>862400000000</v>
      </c>
      <c r="J20" s="505"/>
      <c r="K20" s="507">
        <f t="shared" si="0"/>
        <v>862400000000</v>
      </c>
      <c r="L20" s="507">
        <v>862400000000</v>
      </c>
      <c r="M20" s="507"/>
      <c r="N20" s="507">
        <f t="shared" si="1"/>
        <v>862400000000</v>
      </c>
      <c r="O20" s="505"/>
      <c r="P20" s="505">
        <v>567377000000</v>
      </c>
      <c r="Q20" s="507">
        <f t="shared" si="2"/>
        <v>567377000000</v>
      </c>
      <c r="R20" s="504">
        <v>33</v>
      </c>
      <c r="S20" s="504">
        <v>1393</v>
      </c>
      <c r="T20" s="504">
        <v>1407</v>
      </c>
      <c r="U20" s="4348"/>
      <c r="V20" s="4348"/>
      <c r="W20" s="4348"/>
    </row>
    <row r="21" spans="2:23" s="4312" customFormat="1" ht="29.25" customHeight="1" x14ac:dyDescent="0.35">
      <c r="B21" s="4342">
        <v>11</v>
      </c>
      <c r="C21" s="4350"/>
      <c r="D21" s="689" t="s">
        <v>2049</v>
      </c>
      <c r="E21" s="689" t="s">
        <v>2410</v>
      </c>
      <c r="F21" s="504" t="s">
        <v>80</v>
      </c>
      <c r="G21" s="505">
        <v>3037139000000</v>
      </c>
      <c r="H21" s="505">
        <v>1196000000000</v>
      </c>
      <c r="I21" s="505">
        <v>1136000000000</v>
      </c>
      <c r="J21" s="505"/>
      <c r="K21" s="507">
        <f t="shared" si="0"/>
        <v>1136000000000</v>
      </c>
      <c r="L21" s="507">
        <v>1136000000000</v>
      </c>
      <c r="M21" s="507"/>
      <c r="N21" s="507">
        <f t="shared" si="1"/>
        <v>1136000000000</v>
      </c>
      <c r="O21" s="505"/>
      <c r="P21" s="505"/>
      <c r="Q21" s="507">
        <f t="shared" si="2"/>
        <v>0</v>
      </c>
      <c r="R21" s="504">
        <v>11</v>
      </c>
      <c r="S21" s="504">
        <v>1385</v>
      </c>
      <c r="T21" s="504">
        <v>1403</v>
      </c>
      <c r="U21" s="4351"/>
      <c r="V21" s="4351"/>
      <c r="W21" s="4351"/>
    </row>
    <row r="22" spans="2:23" s="4312" customFormat="1" ht="29.25" customHeight="1" x14ac:dyDescent="0.35">
      <c r="B22" s="4352" t="s">
        <v>94</v>
      </c>
      <c r="C22" s="4353"/>
      <c r="D22" s="4353"/>
      <c r="E22" s="4354"/>
      <c r="F22" s="4355"/>
      <c r="G22" s="4356">
        <f>SUM(G11:G21)</f>
        <v>93186051000000</v>
      </c>
      <c r="H22" s="4356">
        <f>SUM(H11:H21)</f>
        <v>6166613000000</v>
      </c>
      <c r="I22" s="4356">
        <f>SUM(I11:I21)</f>
        <v>4459452000000</v>
      </c>
      <c r="J22" s="4356"/>
      <c r="K22" s="4356">
        <f>SUM(K11:K21)</f>
        <v>4459452000000</v>
      </c>
      <c r="L22" s="4356">
        <f>SUM(L11:L21)</f>
        <v>4459452000000</v>
      </c>
      <c r="M22" s="4356"/>
      <c r="N22" s="4356">
        <f>SUM(N11:N21)</f>
        <v>4459452000000</v>
      </c>
      <c r="O22" s="4356">
        <f>SUM(O14:O21)</f>
        <v>165315000000</v>
      </c>
      <c r="P22" s="4356">
        <f>SUM(P14:P21)</f>
        <v>1228736000000</v>
      </c>
      <c r="Q22" s="4356">
        <f>SUM(Q11:Q21)</f>
        <v>1394051000000</v>
      </c>
      <c r="R22" s="4357"/>
      <c r="S22" s="4358"/>
      <c r="T22" s="4358"/>
      <c r="U22" s="4358"/>
      <c r="V22" s="4358"/>
      <c r="W22" s="4359"/>
    </row>
    <row r="23" spans="2:23" s="4312" customFormat="1" ht="30" customHeight="1" x14ac:dyDescent="0.4">
      <c r="B23" s="4360"/>
      <c r="C23" s="4361"/>
      <c r="D23" s="4318"/>
      <c r="E23" s="4362"/>
      <c r="F23" s="4318"/>
      <c r="G23" s="4363"/>
      <c r="H23" s="4363"/>
      <c r="I23" s="4363"/>
      <c r="J23" s="4363"/>
      <c r="K23" s="4363">
        <v>7000000</v>
      </c>
      <c r="L23" s="4363"/>
      <c r="M23" s="4363"/>
      <c r="N23" s="4363"/>
      <c r="O23" s="4363"/>
      <c r="P23" s="4363"/>
      <c r="Q23" s="4363"/>
      <c r="R23" s="4364"/>
      <c r="S23" s="4364"/>
      <c r="T23" s="4364"/>
      <c r="U23" s="4364"/>
      <c r="V23" s="4364"/>
      <c r="W23" s="4364"/>
    </row>
    <row r="24" spans="2:23" s="4312" customFormat="1" ht="25.15" customHeight="1" x14ac:dyDescent="0.45">
      <c r="B24" s="4360"/>
      <c r="C24" s="4360"/>
      <c r="D24" s="4326" t="s">
        <v>32</v>
      </c>
      <c r="E24" s="4326"/>
      <c r="F24" s="4326"/>
      <c r="G24" s="4326"/>
      <c r="H24" s="4326"/>
      <c r="I24" s="4326"/>
      <c r="J24" s="4326"/>
      <c r="K24" s="4326"/>
      <c r="L24" s="4326"/>
      <c r="M24" s="4326"/>
      <c r="N24" s="4326"/>
      <c r="O24" s="4326"/>
      <c r="P24" s="4326"/>
      <c r="Q24" s="4326"/>
      <c r="R24" s="4326"/>
      <c r="S24" s="4326"/>
      <c r="T24" s="4326"/>
      <c r="U24" s="4326"/>
      <c r="V24" s="4326"/>
      <c r="W24" s="4326"/>
    </row>
    <row r="25" spans="2:23" s="4312" customFormat="1" ht="25.15" customHeight="1" x14ac:dyDescent="0.45">
      <c r="B25" s="4360"/>
      <c r="C25" s="4360"/>
      <c r="D25" s="4326" t="s">
        <v>51</v>
      </c>
      <c r="E25" s="4326"/>
      <c r="F25" s="4326"/>
      <c r="G25" s="4326"/>
      <c r="H25" s="4326"/>
      <c r="I25" s="4326"/>
      <c r="J25" s="4326"/>
      <c r="K25" s="4326"/>
      <c r="L25" s="4326"/>
      <c r="M25" s="4326"/>
      <c r="N25" s="4326"/>
      <c r="O25" s="4326"/>
      <c r="P25" s="4326"/>
      <c r="Q25" s="4326"/>
      <c r="R25" s="4326"/>
      <c r="S25" s="4326"/>
      <c r="T25" s="4326"/>
      <c r="U25" s="4326"/>
      <c r="V25" s="4326"/>
      <c r="W25" s="4326"/>
    </row>
    <row r="26" spans="2:23" s="4312" customFormat="1" ht="25.15" customHeight="1" x14ac:dyDescent="0.45">
      <c r="B26" s="4360"/>
      <c r="C26" s="4360"/>
      <c r="D26" s="4326" t="s">
        <v>52</v>
      </c>
      <c r="E26" s="4326"/>
      <c r="F26" s="4326"/>
      <c r="G26" s="4326"/>
      <c r="H26" s="4326"/>
      <c r="I26" s="4326"/>
      <c r="J26" s="4326"/>
      <c r="K26" s="4326"/>
      <c r="L26" s="4326"/>
      <c r="M26" s="4326"/>
      <c r="N26" s="4326"/>
      <c r="O26" s="4326"/>
      <c r="P26" s="4326"/>
      <c r="Q26" s="4326"/>
      <c r="R26" s="4326"/>
      <c r="S26" s="4326"/>
      <c r="T26" s="4326"/>
      <c r="U26" s="4326"/>
      <c r="V26" s="4326"/>
      <c r="W26" s="4326"/>
    </row>
    <row r="27" spans="2:23" s="4312" customFormat="1" ht="25.15" customHeight="1" x14ac:dyDescent="0.45">
      <c r="B27" s="4360"/>
      <c r="C27" s="4360"/>
      <c r="D27" s="4326" t="s">
        <v>2004</v>
      </c>
      <c r="E27" s="4326"/>
      <c r="F27" s="4326"/>
      <c r="G27" s="4326"/>
      <c r="H27" s="4326"/>
      <c r="I27" s="4326"/>
      <c r="J27" s="4326"/>
      <c r="K27" s="4326"/>
      <c r="L27" s="4326"/>
      <c r="M27" s="4326"/>
      <c r="N27" s="4326"/>
      <c r="O27" s="4326"/>
      <c r="P27" s="4326"/>
      <c r="Q27" s="4326"/>
      <c r="R27" s="4326"/>
      <c r="S27" s="4326"/>
      <c r="T27" s="4326"/>
      <c r="U27" s="4326"/>
      <c r="V27" s="4326"/>
      <c r="W27" s="4326"/>
    </row>
    <row r="28" spans="2:23" s="4312" customFormat="1" ht="20.45" customHeight="1" x14ac:dyDescent="0.4">
      <c r="B28" s="4360"/>
      <c r="C28" s="4360"/>
      <c r="D28" s="4365" t="s">
        <v>1072</v>
      </c>
      <c r="E28" s="4365"/>
      <c r="F28" s="4365"/>
      <c r="G28" s="4365"/>
      <c r="H28" s="4365"/>
      <c r="I28" s="4366"/>
      <c r="J28" s="4366"/>
      <c r="K28" s="4366"/>
      <c r="L28" s="4366"/>
      <c r="M28" s="4366"/>
      <c r="N28" s="4366"/>
      <c r="O28" s="4366"/>
      <c r="P28" s="4366"/>
      <c r="Q28" s="4366"/>
      <c r="R28" s="4327"/>
      <c r="S28" s="4327"/>
      <c r="T28" s="4327"/>
      <c r="U28" s="4327"/>
      <c r="V28" s="4367" t="s">
        <v>194</v>
      </c>
      <c r="W28" s="4367"/>
    </row>
    <row r="29" spans="2:23" s="4312" customFormat="1" ht="41.45" customHeight="1" x14ac:dyDescent="0.35">
      <c r="B29" s="4368" t="s">
        <v>1294</v>
      </c>
      <c r="C29" s="4343" t="s">
        <v>1185</v>
      </c>
      <c r="D29" s="4369" t="s">
        <v>53</v>
      </c>
      <c r="E29" s="4369" t="s">
        <v>54</v>
      </c>
      <c r="F29" s="4370" t="s">
        <v>55</v>
      </c>
      <c r="G29" s="4371" t="s">
        <v>56</v>
      </c>
      <c r="H29" s="4372" t="s">
        <v>1018</v>
      </c>
      <c r="I29" s="4373" t="s">
        <v>57</v>
      </c>
      <c r="J29" s="4374"/>
      <c r="K29" s="4375"/>
      <c r="L29" s="4376" t="s">
        <v>2234</v>
      </c>
      <c r="M29" s="4377"/>
      <c r="N29" s="4378"/>
      <c r="O29" s="4379" t="s">
        <v>2235</v>
      </c>
      <c r="P29" s="4380"/>
      <c r="Q29" s="4381"/>
      <c r="R29" s="4382" t="s">
        <v>58</v>
      </c>
      <c r="S29" s="4382" t="s">
        <v>59</v>
      </c>
      <c r="T29" s="4382" t="s">
        <v>60</v>
      </c>
      <c r="U29" s="4382" t="s">
        <v>61</v>
      </c>
      <c r="V29" s="4382" t="s">
        <v>1295</v>
      </c>
      <c r="W29" s="4382" t="s">
        <v>62</v>
      </c>
    </row>
    <row r="30" spans="2:23" s="4312" customFormat="1" ht="114.6" customHeight="1" x14ac:dyDescent="0.35">
      <c r="B30" s="4383"/>
      <c r="C30" s="4350"/>
      <c r="D30" s="4384"/>
      <c r="E30" s="4384"/>
      <c r="F30" s="4385"/>
      <c r="G30" s="4386"/>
      <c r="H30" s="4387"/>
      <c r="I30" s="4388" t="s">
        <v>998</v>
      </c>
      <c r="J30" s="4389" t="s">
        <v>999</v>
      </c>
      <c r="K30" s="4390" t="s">
        <v>1303</v>
      </c>
      <c r="L30" s="4388" t="s">
        <v>998</v>
      </c>
      <c r="M30" s="4389" t="s">
        <v>999</v>
      </c>
      <c r="N30" s="4391" t="s">
        <v>1799</v>
      </c>
      <c r="O30" s="4390" t="s">
        <v>998</v>
      </c>
      <c r="P30" s="4390" t="s">
        <v>999</v>
      </c>
      <c r="Q30" s="4390" t="s">
        <v>417</v>
      </c>
      <c r="R30" s="4392"/>
      <c r="S30" s="4392"/>
      <c r="T30" s="4392"/>
      <c r="U30" s="4393"/>
      <c r="V30" s="4392"/>
      <c r="W30" s="4393"/>
    </row>
    <row r="31" spans="2:23" s="4312" customFormat="1" ht="32.25" customHeight="1" x14ac:dyDescent="0.35">
      <c r="B31" s="4394" t="s">
        <v>181</v>
      </c>
      <c r="C31" s="4395"/>
      <c r="D31" s="4395"/>
      <c r="E31" s="4396"/>
      <c r="F31" s="4397"/>
      <c r="G31" s="506">
        <f>G22</f>
        <v>93186051000000</v>
      </c>
      <c r="H31" s="506">
        <f>H22</f>
        <v>6166613000000</v>
      </c>
      <c r="I31" s="1013">
        <f>I22</f>
        <v>4459452000000</v>
      </c>
      <c r="J31" s="507"/>
      <c r="K31" s="507">
        <f>SUM(I31:I31)</f>
        <v>4459452000000</v>
      </c>
      <c r="L31" s="507">
        <f t="shared" ref="L31:Q31" si="6">L22</f>
        <v>4459452000000</v>
      </c>
      <c r="M31" s="507"/>
      <c r="N31" s="4398">
        <f t="shared" si="6"/>
        <v>4459452000000</v>
      </c>
      <c r="O31" s="506">
        <f t="shared" si="6"/>
        <v>165315000000</v>
      </c>
      <c r="P31" s="506">
        <f t="shared" si="6"/>
        <v>1228736000000</v>
      </c>
      <c r="Q31" s="506">
        <f t="shared" si="6"/>
        <v>1394051000000</v>
      </c>
      <c r="R31" s="506"/>
      <c r="S31" s="506"/>
      <c r="T31" s="1013"/>
      <c r="U31" s="4399" t="s">
        <v>65</v>
      </c>
      <c r="V31" s="4400" t="s">
        <v>1296</v>
      </c>
      <c r="W31" s="4399" t="s">
        <v>1304</v>
      </c>
    </row>
    <row r="32" spans="2:23" s="4312" customFormat="1" ht="29.25" customHeight="1" x14ac:dyDescent="0.35">
      <c r="B32" s="4401">
        <v>12</v>
      </c>
      <c r="C32" s="4402" t="s">
        <v>1186</v>
      </c>
      <c r="D32" s="689" t="s">
        <v>2062</v>
      </c>
      <c r="E32" s="1012" t="s">
        <v>2407</v>
      </c>
      <c r="F32" s="504" t="s">
        <v>80</v>
      </c>
      <c r="G32" s="505">
        <v>295000000000</v>
      </c>
      <c r="H32" s="505">
        <v>295000000000</v>
      </c>
      <c r="I32" s="4403">
        <v>145000000000</v>
      </c>
      <c r="J32" s="505"/>
      <c r="K32" s="507">
        <f>I32+J32</f>
        <v>145000000000</v>
      </c>
      <c r="L32" s="507">
        <v>145000000000</v>
      </c>
      <c r="M32" s="507"/>
      <c r="N32" s="4398">
        <f>L32+M32</f>
        <v>145000000000</v>
      </c>
      <c r="O32" s="505"/>
      <c r="P32" s="505"/>
      <c r="Q32" s="506">
        <f>O32+P32</f>
        <v>0</v>
      </c>
      <c r="R32" s="504">
        <v>26</v>
      </c>
      <c r="S32" s="504">
        <v>1403</v>
      </c>
      <c r="T32" s="504">
        <v>1403</v>
      </c>
      <c r="U32" s="4404"/>
      <c r="V32" s="4404"/>
      <c r="W32" s="4404"/>
    </row>
    <row r="33" spans="2:23" s="4312" customFormat="1" ht="29.25" customHeight="1" x14ac:dyDescent="0.35">
      <c r="B33" s="4405">
        <v>13</v>
      </c>
      <c r="C33" s="4406"/>
      <c r="D33" s="689" t="s">
        <v>2067</v>
      </c>
      <c r="E33" s="1012" t="s">
        <v>2403</v>
      </c>
      <c r="F33" s="504" t="s">
        <v>2239</v>
      </c>
      <c r="G33" s="505">
        <v>737421000000</v>
      </c>
      <c r="H33" s="505">
        <v>193000000000</v>
      </c>
      <c r="I33" s="4403">
        <v>130747000000</v>
      </c>
      <c r="J33" s="505"/>
      <c r="K33" s="507">
        <f t="shared" ref="K33:K40" si="7">I33+J33</f>
        <v>130747000000</v>
      </c>
      <c r="L33" s="507">
        <v>130747000000</v>
      </c>
      <c r="M33" s="507"/>
      <c r="N33" s="4398">
        <f t="shared" ref="N33:N40" si="8">L33+M33</f>
        <v>130747000000</v>
      </c>
      <c r="O33" s="505"/>
      <c r="P33" s="505"/>
      <c r="Q33" s="506">
        <f t="shared" ref="Q33:Q40" si="9">O33+P33</f>
        <v>0</v>
      </c>
      <c r="R33" s="504">
        <v>4</v>
      </c>
      <c r="S33" s="504">
        <v>1395</v>
      </c>
      <c r="T33" s="504">
        <v>1405</v>
      </c>
      <c r="U33" s="4404"/>
      <c r="V33" s="4404"/>
      <c r="W33" s="4404"/>
    </row>
    <row r="34" spans="2:23" s="4312" customFormat="1" ht="29.25" customHeight="1" x14ac:dyDescent="0.35">
      <c r="B34" s="4401">
        <v>14</v>
      </c>
      <c r="C34" s="4406"/>
      <c r="D34" s="2931" t="s">
        <v>2053</v>
      </c>
      <c r="E34" s="1012" t="s">
        <v>2402</v>
      </c>
      <c r="F34" s="504" t="s">
        <v>80</v>
      </c>
      <c r="G34" s="505">
        <v>1312575000000</v>
      </c>
      <c r="H34" s="505">
        <v>330000000000</v>
      </c>
      <c r="I34" s="4403">
        <v>314700000000</v>
      </c>
      <c r="J34" s="505"/>
      <c r="K34" s="507">
        <f t="shared" si="7"/>
        <v>314700000000</v>
      </c>
      <c r="L34" s="507">
        <v>314700000000</v>
      </c>
      <c r="M34" s="507"/>
      <c r="N34" s="4398">
        <f t="shared" si="8"/>
        <v>314700000000</v>
      </c>
      <c r="O34" s="505"/>
      <c r="P34" s="505"/>
      <c r="Q34" s="506">
        <f t="shared" si="9"/>
        <v>0</v>
      </c>
      <c r="R34" s="504">
        <v>8</v>
      </c>
      <c r="S34" s="504">
        <v>1390</v>
      </c>
      <c r="T34" s="504">
        <v>1406</v>
      </c>
      <c r="U34" s="4404"/>
      <c r="V34" s="4404"/>
      <c r="W34" s="4404"/>
    </row>
    <row r="35" spans="2:23" s="4312" customFormat="1" ht="29.25" customHeight="1" x14ac:dyDescent="0.35">
      <c r="B35" s="4405">
        <v>15</v>
      </c>
      <c r="C35" s="4406"/>
      <c r="D35" s="609" t="s">
        <v>2058</v>
      </c>
      <c r="E35" s="1012" t="s">
        <v>2400</v>
      </c>
      <c r="F35" s="609" t="s">
        <v>80</v>
      </c>
      <c r="G35" s="505">
        <v>1373685000000</v>
      </c>
      <c r="H35" s="505">
        <v>280000000000</v>
      </c>
      <c r="I35" s="4403">
        <v>236042000000</v>
      </c>
      <c r="J35" s="505"/>
      <c r="K35" s="507">
        <f t="shared" si="7"/>
        <v>236042000000</v>
      </c>
      <c r="L35" s="507">
        <v>236042000000</v>
      </c>
      <c r="M35" s="507"/>
      <c r="N35" s="4398">
        <f t="shared" si="8"/>
        <v>236042000000</v>
      </c>
      <c r="O35" s="505"/>
      <c r="P35" s="505"/>
      <c r="Q35" s="506">
        <f t="shared" si="9"/>
        <v>0</v>
      </c>
      <c r="R35" s="504">
        <v>15</v>
      </c>
      <c r="S35" s="504">
        <v>1390</v>
      </c>
      <c r="T35" s="504">
        <v>1405</v>
      </c>
      <c r="U35" s="4404"/>
      <c r="V35" s="4404"/>
      <c r="W35" s="4404"/>
    </row>
    <row r="36" spans="2:23" s="4312" customFormat="1" ht="29.25" customHeight="1" x14ac:dyDescent="0.35">
      <c r="B36" s="4401">
        <v>16</v>
      </c>
      <c r="C36" s="4406"/>
      <c r="D36" s="609" t="s">
        <v>2051</v>
      </c>
      <c r="E36" s="1012" t="s">
        <v>2399</v>
      </c>
      <c r="F36" s="4407" t="s">
        <v>80</v>
      </c>
      <c r="G36" s="505">
        <v>973937000000</v>
      </c>
      <c r="H36" s="505">
        <v>593000000000</v>
      </c>
      <c r="I36" s="4403">
        <v>562975000000</v>
      </c>
      <c r="J36" s="505"/>
      <c r="K36" s="507">
        <f t="shared" si="7"/>
        <v>562975000000</v>
      </c>
      <c r="L36" s="507">
        <v>562975000000</v>
      </c>
      <c r="M36" s="507"/>
      <c r="N36" s="4398">
        <f t="shared" si="8"/>
        <v>562975000000</v>
      </c>
      <c r="O36" s="505"/>
      <c r="P36" s="505"/>
      <c r="Q36" s="506">
        <f t="shared" si="9"/>
        <v>0</v>
      </c>
      <c r="R36" s="504">
        <v>7</v>
      </c>
      <c r="S36" s="504">
        <v>1393</v>
      </c>
      <c r="T36" s="504">
        <v>1404</v>
      </c>
      <c r="U36" s="4404"/>
      <c r="V36" s="4404"/>
      <c r="W36" s="4404"/>
    </row>
    <row r="37" spans="2:23" s="4312" customFormat="1" ht="29.25" customHeight="1" x14ac:dyDescent="0.35">
      <c r="B37" s="4405">
        <v>17</v>
      </c>
      <c r="C37" s="4406"/>
      <c r="D37" s="609" t="s">
        <v>2050</v>
      </c>
      <c r="E37" s="1012" t="s">
        <v>2397</v>
      </c>
      <c r="F37" s="4344" t="s">
        <v>80</v>
      </c>
      <c r="G37" s="505">
        <v>4047317000000</v>
      </c>
      <c r="H37" s="505">
        <v>863019000000</v>
      </c>
      <c r="I37" s="4403">
        <v>670714000000</v>
      </c>
      <c r="J37" s="505"/>
      <c r="K37" s="507">
        <f t="shared" si="7"/>
        <v>670714000000</v>
      </c>
      <c r="L37" s="507">
        <v>670714000000</v>
      </c>
      <c r="M37" s="507"/>
      <c r="N37" s="4398">
        <f t="shared" si="8"/>
        <v>670714000000</v>
      </c>
      <c r="O37" s="505"/>
      <c r="P37" s="505"/>
      <c r="Q37" s="506">
        <f t="shared" si="9"/>
        <v>0</v>
      </c>
      <c r="R37" s="504">
        <v>35</v>
      </c>
      <c r="S37" s="504">
        <v>1389</v>
      </c>
      <c r="T37" s="504">
        <v>1407</v>
      </c>
      <c r="U37" s="4404"/>
      <c r="V37" s="4404"/>
      <c r="W37" s="4404"/>
    </row>
    <row r="38" spans="2:23" s="4312" customFormat="1" ht="29.25" customHeight="1" x14ac:dyDescent="0.35">
      <c r="B38" s="4401">
        <v>18</v>
      </c>
      <c r="C38" s="4406"/>
      <c r="D38" s="609" t="s">
        <v>2055</v>
      </c>
      <c r="E38" s="1012" t="s">
        <v>2396</v>
      </c>
      <c r="F38" s="4344" t="s">
        <v>80</v>
      </c>
      <c r="G38" s="505">
        <v>2809351000000</v>
      </c>
      <c r="H38" s="505">
        <v>380000000000</v>
      </c>
      <c r="I38" s="4403">
        <v>315548000000</v>
      </c>
      <c r="J38" s="505"/>
      <c r="K38" s="507">
        <f t="shared" si="7"/>
        <v>315548000000</v>
      </c>
      <c r="L38" s="507">
        <v>315548000000</v>
      </c>
      <c r="M38" s="507"/>
      <c r="N38" s="4398">
        <f t="shared" si="8"/>
        <v>315548000000</v>
      </c>
      <c r="O38" s="505"/>
      <c r="P38" s="505"/>
      <c r="Q38" s="506">
        <f t="shared" si="9"/>
        <v>0</v>
      </c>
      <c r="R38" s="504">
        <v>11</v>
      </c>
      <c r="S38" s="504">
        <v>1396</v>
      </c>
      <c r="T38" s="504">
        <v>1407</v>
      </c>
      <c r="U38" s="4404"/>
      <c r="V38" s="4404"/>
      <c r="W38" s="4404"/>
    </row>
    <row r="39" spans="2:23" s="4312" customFormat="1" ht="29.25" customHeight="1" x14ac:dyDescent="0.35">
      <c r="B39" s="4405">
        <v>19</v>
      </c>
      <c r="C39" s="4406"/>
      <c r="D39" s="609" t="s">
        <v>2064</v>
      </c>
      <c r="E39" s="1012" t="s">
        <v>2392</v>
      </c>
      <c r="F39" s="4397" t="s">
        <v>80</v>
      </c>
      <c r="G39" s="505">
        <v>198936000000</v>
      </c>
      <c r="H39" s="505">
        <v>50000000000</v>
      </c>
      <c r="I39" s="4403">
        <v>50000000000</v>
      </c>
      <c r="J39" s="505"/>
      <c r="K39" s="507">
        <f t="shared" si="7"/>
        <v>50000000000</v>
      </c>
      <c r="L39" s="507">
        <v>50000000000</v>
      </c>
      <c r="M39" s="507"/>
      <c r="N39" s="4398">
        <f t="shared" si="8"/>
        <v>50000000000</v>
      </c>
      <c r="O39" s="505"/>
      <c r="P39" s="505"/>
      <c r="Q39" s="506">
        <f t="shared" si="9"/>
        <v>0</v>
      </c>
      <c r="R39" s="504">
        <v>2</v>
      </c>
      <c r="S39" s="504">
        <v>1396</v>
      </c>
      <c r="T39" s="504">
        <v>1406</v>
      </c>
      <c r="U39" s="4404"/>
      <c r="V39" s="4404"/>
      <c r="W39" s="4404"/>
    </row>
    <row r="40" spans="2:23" s="4312" customFormat="1" ht="29.25" customHeight="1" x14ac:dyDescent="0.35">
      <c r="B40" s="4401">
        <v>20</v>
      </c>
      <c r="C40" s="4408"/>
      <c r="D40" s="609" t="s">
        <v>2056</v>
      </c>
      <c r="E40" s="1012" t="s">
        <v>2391</v>
      </c>
      <c r="F40" s="4409" t="s">
        <v>80</v>
      </c>
      <c r="G40" s="505">
        <v>1830620000000</v>
      </c>
      <c r="H40" s="505">
        <v>534000000000</v>
      </c>
      <c r="I40" s="4403">
        <v>534000000000</v>
      </c>
      <c r="J40" s="505"/>
      <c r="K40" s="507">
        <f t="shared" si="7"/>
        <v>534000000000</v>
      </c>
      <c r="L40" s="507">
        <v>534000000000</v>
      </c>
      <c r="M40" s="507"/>
      <c r="N40" s="4398">
        <f t="shared" si="8"/>
        <v>534000000000</v>
      </c>
      <c r="O40" s="505"/>
      <c r="P40" s="505"/>
      <c r="Q40" s="506">
        <f t="shared" si="9"/>
        <v>0</v>
      </c>
      <c r="R40" s="504">
        <v>1</v>
      </c>
      <c r="S40" s="504">
        <v>1390</v>
      </c>
      <c r="T40" s="504">
        <v>1404</v>
      </c>
      <c r="U40" s="4410"/>
      <c r="V40" s="4410"/>
      <c r="W40" s="4410"/>
    </row>
    <row r="41" spans="2:23" s="4312" customFormat="1" ht="29.25" customHeight="1" x14ac:dyDescent="0.4">
      <c r="B41" s="4411" t="s">
        <v>94</v>
      </c>
      <c r="C41" s="4412"/>
      <c r="D41" s="4412"/>
      <c r="E41" s="4413"/>
      <c r="F41" s="4414"/>
      <c r="G41" s="4415">
        <f t="shared" ref="G41:Q41" si="10">SUM(G31:G40)</f>
        <v>106764893000000</v>
      </c>
      <c r="H41" s="4415">
        <f t="shared" si="10"/>
        <v>9684632000000</v>
      </c>
      <c r="I41" s="4416">
        <f t="shared" si="10"/>
        <v>7419178000000</v>
      </c>
      <c r="J41" s="505"/>
      <c r="K41" s="505">
        <f t="shared" si="10"/>
        <v>7419178000000</v>
      </c>
      <c r="L41" s="505">
        <f t="shared" si="10"/>
        <v>7419178000000</v>
      </c>
      <c r="M41" s="505"/>
      <c r="N41" s="4417">
        <f t="shared" si="10"/>
        <v>7419178000000</v>
      </c>
      <c r="O41" s="4415">
        <f t="shared" si="10"/>
        <v>165315000000</v>
      </c>
      <c r="P41" s="4415">
        <f t="shared" si="10"/>
        <v>1228736000000</v>
      </c>
      <c r="Q41" s="4415">
        <f t="shared" si="10"/>
        <v>1394051000000</v>
      </c>
      <c r="R41" s="4418"/>
      <c r="S41" s="4419"/>
      <c r="T41" s="4419"/>
      <c r="U41" s="4419"/>
      <c r="V41" s="4419"/>
      <c r="W41" s="4420"/>
    </row>
    <row r="42" spans="2:23" s="4312" customFormat="1" ht="37.9" hidden="1" customHeight="1" x14ac:dyDescent="0.4">
      <c r="B42" s="4421"/>
      <c r="C42" s="4422"/>
      <c r="D42" s="4423"/>
      <c r="E42" s="4424"/>
      <c r="F42" s="4318"/>
      <c r="G42" s="4363"/>
      <c r="H42" s="4363"/>
      <c r="I42" s="4363"/>
      <c r="J42" s="4363"/>
      <c r="K42" s="4363"/>
      <c r="L42" s="4363"/>
      <c r="M42" s="4363"/>
      <c r="N42" s="4363"/>
      <c r="O42" s="4363"/>
      <c r="P42" s="4363"/>
      <c r="Q42" s="4363"/>
      <c r="R42" s="4364"/>
      <c r="S42" s="4364"/>
      <c r="T42" s="4364"/>
      <c r="U42" s="4364"/>
      <c r="V42" s="4364"/>
      <c r="W42" s="4364"/>
    </row>
    <row r="43" spans="2:23" s="4312" customFormat="1" ht="38.25" hidden="1" customHeight="1" x14ac:dyDescent="0.4">
      <c r="B43" s="4360"/>
      <c r="C43" s="4425"/>
      <c r="D43" s="4423"/>
      <c r="E43" s="4424"/>
      <c r="F43" s="4318"/>
      <c r="G43" s="4363"/>
      <c r="H43" s="4363"/>
      <c r="I43" s="4363"/>
      <c r="J43" s="4363"/>
      <c r="K43" s="4363"/>
      <c r="L43" s="4363"/>
      <c r="M43" s="4363"/>
      <c r="N43" s="4363"/>
      <c r="O43" s="4363"/>
      <c r="P43" s="4363"/>
      <c r="Q43" s="4363"/>
      <c r="R43" s="4364"/>
      <c r="S43" s="4364"/>
      <c r="T43" s="4364"/>
      <c r="U43" s="4364"/>
      <c r="V43" s="4364"/>
      <c r="W43" s="4364"/>
    </row>
    <row r="44" spans="2:23" s="4312" customFormat="1" ht="14.45" customHeight="1" x14ac:dyDescent="0.4">
      <c r="B44" s="4360"/>
      <c r="C44" s="4425"/>
      <c r="D44" s="4423"/>
      <c r="E44" s="4424"/>
      <c r="F44" s="4318"/>
      <c r="G44" s="4363"/>
      <c r="H44" s="4363"/>
      <c r="I44" s="4363"/>
      <c r="J44" s="4363"/>
      <c r="K44" s="4363"/>
      <c r="L44" s="4363"/>
      <c r="M44" s="4363"/>
      <c r="N44" s="4363"/>
      <c r="O44" s="4363"/>
      <c r="P44" s="4363"/>
      <c r="Q44" s="4363"/>
      <c r="R44" s="4364"/>
      <c r="S44" s="4364"/>
      <c r="T44" s="4364"/>
      <c r="U44" s="4364"/>
      <c r="V44" s="4364"/>
      <c r="W44" s="4364"/>
    </row>
    <row r="45" spans="2:23" s="4312" customFormat="1" ht="24" customHeight="1" x14ac:dyDescent="0.4">
      <c r="B45" s="4360"/>
      <c r="C45" s="4425"/>
      <c r="D45" s="4423"/>
      <c r="E45" s="4424"/>
      <c r="F45" s="4318"/>
      <c r="G45" s="4363"/>
      <c r="H45" s="4363"/>
      <c r="I45" s="4363"/>
      <c r="J45" s="4363"/>
      <c r="K45" s="4363">
        <v>8000000</v>
      </c>
      <c r="L45" s="4363"/>
      <c r="M45" s="4363"/>
      <c r="N45" s="4363"/>
      <c r="O45" s="4363"/>
      <c r="P45" s="4363"/>
      <c r="Q45" s="4363"/>
      <c r="R45" s="4364"/>
      <c r="S45" s="4364"/>
      <c r="T45" s="4364"/>
      <c r="U45" s="4364"/>
      <c r="V45" s="4364"/>
      <c r="W45" s="4364"/>
    </row>
    <row r="46" spans="2:23" s="4312" customFormat="1" ht="24" customHeight="1" x14ac:dyDescent="0.45">
      <c r="D46" s="4326" t="s">
        <v>32</v>
      </c>
      <c r="E46" s="4326"/>
      <c r="F46" s="4326"/>
      <c r="G46" s="4326"/>
      <c r="H46" s="4326"/>
      <c r="I46" s="4326"/>
      <c r="J46" s="4326"/>
      <c r="K46" s="4326"/>
      <c r="L46" s="4326"/>
      <c r="M46" s="4326"/>
      <c r="N46" s="4326"/>
      <c r="O46" s="4326"/>
      <c r="P46" s="4326"/>
      <c r="Q46" s="4326"/>
      <c r="R46" s="4326"/>
      <c r="S46" s="4326"/>
      <c r="T46" s="4326"/>
      <c r="U46" s="4326"/>
      <c r="V46" s="4326"/>
      <c r="W46" s="4326"/>
    </row>
    <row r="47" spans="2:23" s="4312" customFormat="1" ht="24" customHeight="1" x14ac:dyDescent="0.45">
      <c r="D47" s="4326" t="s">
        <v>51</v>
      </c>
      <c r="E47" s="4326"/>
      <c r="F47" s="4326"/>
      <c r="G47" s="4326"/>
      <c r="H47" s="4326"/>
      <c r="I47" s="4326"/>
      <c r="J47" s="4326"/>
      <c r="K47" s="4326"/>
      <c r="L47" s="4326"/>
      <c r="M47" s="4326"/>
      <c r="N47" s="4326"/>
      <c r="O47" s="4326"/>
      <c r="P47" s="4326"/>
      <c r="Q47" s="4326"/>
      <c r="R47" s="4326"/>
      <c r="S47" s="4326"/>
      <c r="T47" s="4326"/>
      <c r="U47" s="4326"/>
      <c r="V47" s="4326"/>
      <c r="W47" s="4326"/>
    </row>
    <row r="48" spans="2:23" s="4312" customFormat="1" ht="24" customHeight="1" x14ac:dyDescent="0.45">
      <c r="D48" s="4326" t="s">
        <v>52</v>
      </c>
      <c r="E48" s="4326"/>
      <c r="F48" s="4326"/>
      <c r="G48" s="4326"/>
      <c r="H48" s="4326"/>
      <c r="I48" s="4326"/>
      <c r="J48" s="4326"/>
      <c r="K48" s="4326"/>
      <c r="L48" s="4326"/>
      <c r="M48" s="4326"/>
      <c r="N48" s="4326"/>
      <c r="O48" s="4326"/>
      <c r="P48" s="4326"/>
      <c r="Q48" s="4326"/>
      <c r="R48" s="4326"/>
      <c r="S48" s="4326"/>
      <c r="T48" s="4326"/>
      <c r="U48" s="4326"/>
      <c r="V48" s="4326"/>
      <c r="W48" s="4326"/>
    </row>
    <row r="49" spans="2:26" s="4312" customFormat="1" ht="24" customHeight="1" x14ac:dyDescent="0.45">
      <c r="D49" s="4326" t="s">
        <v>2240</v>
      </c>
      <c r="E49" s="4326"/>
      <c r="F49" s="4326"/>
      <c r="G49" s="4326"/>
      <c r="H49" s="4326"/>
      <c r="I49" s="4326"/>
      <c r="J49" s="4326"/>
      <c r="K49" s="4326"/>
      <c r="L49" s="4326"/>
      <c r="M49" s="4326"/>
      <c r="N49" s="4326"/>
      <c r="O49" s="4326"/>
      <c r="P49" s="4326"/>
      <c r="Q49" s="4326"/>
      <c r="R49" s="4326"/>
      <c r="S49" s="4326"/>
      <c r="T49" s="4326"/>
      <c r="U49" s="4326"/>
      <c r="V49" s="4326"/>
      <c r="W49" s="4326"/>
    </row>
    <row r="50" spans="2:26" s="4312" customFormat="1" ht="15.75" x14ac:dyDescent="0.4">
      <c r="D50" s="4365" t="s">
        <v>1072</v>
      </c>
      <c r="E50" s="4365"/>
      <c r="F50" s="4365"/>
      <c r="G50" s="4365"/>
      <c r="H50" s="4424"/>
      <c r="I50" s="4366"/>
      <c r="J50" s="4366"/>
      <c r="K50" s="4366"/>
      <c r="L50" s="4366"/>
      <c r="M50" s="4366"/>
      <c r="N50" s="4366"/>
      <c r="O50" s="4366"/>
      <c r="P50" s="4366"/>
      <c r="Q50" s="4366"/>
      <c r="R50" s="4327"/>
      <c r="S50" s="4327"/>
      <c r="T50" s="4327"/>
      <c r="U50" s="4327"/>
      <c r="V50" s="4367" t="s">
        <v>194</v>
      </c>
      <c r="W50" s="4367"/>
    </row>
    <row r="51" spans="2:26" s="4312" customFormat="1" ht="43.15" customHeight="1" x14ac:dyDescent="0.35">
      <c r="B51" s="4368" t="s">
        <v>1294</v>
      </c>
      <c r="C51" s="4343" t="s">
        <v>1185</v>
      </c>
      <c r="D51" s="4369" t="s">
        <v>53</v>
      </c>
      <c r="E51" s="4369" t="s">
        <v>54</v>
      </c>
      <c r="F51" s="4370" t="s">
        <v>55</v>
      </c>
      <c r="G51" s="4371" t="s">
        <v>56</v>
      </c>
      <c r="H51" s="4426" t="s">
        <v>1018</v>
      </c>
      <c r="I51" s="4373" t="s">
        <v>57</v>
      </c>
      <c r="J51" s="4374"/>
      <c r="K51" s="4375"/>
      <c r="L51" s="4376" t="s">
        <v>2234</v>
      </c>
      <c r="M51" s="4377"/>
      <c r="N51" s="4378"/>
      <c r="O51" s="4379" t="s">
        <v>2235</v>
      </c>
      <c r="P51" s="4380"/>
      <c r="Q51" s="4381"/>
      <c r="R51" s="4382" t="s">
        <v>58</v>
      </c>
      <c r="S51" s="4382" t="s">
        <v>59</v>
      </c>
      <c r="T51" s="4382" t="s">
        <v>60</v>
      </c>
      <c r="U51" s="4382" t="s">
        <v>61</v>
      </c>
      <c r="V51" s="4382" t="s">
        <v>1295</v>
      </c>
      <c r="W51" s="4382" t="s">
        <v>62</v>
      </c>
    </row>
    <row r="52" spans="2:26" s="4312" customFormat="1" ht="96.75" customHeight="1" x14ac:dyDescent="0.35">
      <c r="B52" s="4383"/>
      <c r="C52" s="4350"/>
      <c r="D52" s="4384"/>
      <c r="E52" s="4384"/>
      <c r="F52" s="4385"/>
      <c r="G52" s="4386"/>
      <c r="H52" s="4387"/>
      <c r="I52" s="4388" t="s">
        <v>998</v>
      </c>
      <c r="J52" s="4389" t="s">
        <v>999</v>
      </c>
      <c r="K52" s="4390" t="s">
        <v>1303</v>
      </c>
      <c r="L52" s="4388" t="s">
        <v>998</v>
      </c>
      <c r="M52" s="4389" t="s">
        <v>999</v>
      </c>
      <c r="N52" s="4391" t="s">
        <v>1799</v>
      </c>
      <c r="O52" s="4390" t="s">
        <v>998</v>
      </c>
      <c r="P52" s="4390" t="s">
        <v>999</v>
      </c>
      <c r="Q52" s="4390" t="s">
        <v>417</v>
      </c>
      <c r="R52" s="4392"/>
      <c r="S52" s="4392"/>
      <c r="T52" s="4392"/>
      <c r="U52" s="4393"/>
      <c r="V52" s="4392"/>
      <c r="W52" s="4393"/>
    </row>
    <row r="53" spans="2:26" s="4436" customFormat="1" ht="27" customHeight="1" x14ac:dyDescent="0.35">
      <c r="B53" s="4427" t="s">
        <v>181</v>
      </c>
      <c r="C53" s="4428"/>
      <c r="D53" s="4428"/>
      <c r="E53" s="4429"/>
      <c r="F53" s="4430"/>
      <c r="G53" s="508">
        <f>G41</f>
        <v>106764893000000</v>
      </c>
      <c r="H53" s="508">
        <f>H41</f>
        <v>9684632000000</v>
      </c>
      <c r="I53" s="4431">
        <f>I41</f>
        <v>7419178000000</v>
      </c>
      <c r="J53" s="507"/>
      <c r="K53" s="507">
        <f>K41</f>
        <v>7419178000000</v>
      </c>
      <c r="L53" s="507">
        <f>L41</f>
        <v>7419178000000</v>
      </c>
      <c r="M53" s="507"/>
      <c r="N53" s="4432">
        <f>N41</f>
        <v>7419178000000</v>
      </c>
      <c r="O53" s="508">
        <f>O41</f>
        <v>165315000000</v>
      </c>
      <c r="P53" s="508">
        <f>P41</f>
        <v>1228736000000</v>
      </c>
      <c r="Q53" s="508">
        <f>Q41</f>
        <v>1394051000000</v>
      </c>
      <c r="R53" s="4433"/>
      <c r="S53" s="4433"/>
      <c r="T53" s="4434"/>
      <c r="U53" s="4345" t="s">
        <v>65</v>
      </c>
      <c r="V53" s="4346" t="s">
        <v>1296</v>
      </c>
      <c r="W53" s="4435" t="s">
        <v>1304</v>
      </c>
    </row>
    <row r="54" spans="2:26" s="4436" customFormat="1" ht="29.25" customHeight="1" x14ac:dyDescent="0.35">
      <c r="B54" s="4437">
        <v>21</v>
      </c>
      <c r="C54" s="4343" t="s">
        <v>1298</v>
      </c>
      <c r="D54" s="609" t="s">
        <v>2061</v>
      </c>
      <c r="E54" s="1012" t="s">
        <v>2390</v>
      </c>
      <c r="F54" s="4409" t="s">
        <v>80</v>
      </c>
      <c r="G54" s="507">
        <v>1252869000000</v>
      </c>
      <c r="H54" s="507">
        <v>205000000000</v>
      </c>
      <c r="I54" s="1436">
        <v>151930000000</v>
      </c>
      <c r="J54" s="507"/>
      <c r="K54" s="507">
        <f>I54+J54</f>
        <v>151930000000</v>
      </c>
      <c r="L54" s="507">
        <v>151930000000</v>
      </c>
      <c r="M54" s="507"/>
      <c r="N54" s="4438">
        <f>L54+M54</f>
        <v>151930000000</v>
      </c>
      <c r="O54" s="507"/>
      <c r="P54" s="507"/>
      <c r="Q54" s="508">
        <f>O54+P54</f>
        <v>0</v>
      </c>
      <c r="R54" s="609">
        <v>7</v>
      </c>
      <c r="S54" s="609">
        <v>1392</v>
      </c>
      <c r="T54" s="4439">
        <v>1406</v>
      </c>
      <c r="U54" s="4348"/>
      <c r="V54" s="4348"/>
      <c r="W54" s="4440"/>
    </row>
    <row r="55" spans="2:26" s="4436" customFormat="1" ht="29.25" customHeight="1" x14ac:dyDescent="0.35">
      <c r="B55" s="4437">
        <v>22</v>
      </c>
      <c r="C55" s="4347"/>
      <c r="D55" s="609" t="s">
        <v>2052</v>
      </c>
      <c r="E55" s="1012" t="s">
        <v>2389</v>
      </c>
      <c r="F55" s="4409" t="s">
        <v>80</v>
      </c>
      <c r="G55" s="612">
        <v>1758116000000</v>
      </c>
      <c r="H55" s="612">
        <v>507200000000</v>
      </c>
      <c r="I55" s="4441">
        <v>418200000000</v>
      </c>
      <c r="J55" s="507"/>
      <c r="K55" s="507">
        <f t="shared" ref="K55:K63" si="11">I55+J55</f>
        <v>418200000000</v>
      </c>
      <c r="L55" s="507">
        <v>418200000000</v>
      </c>
      <c r="M55" s="507"/>
      <c r="N55" s="4438">
        <f t="shared" ref="N55:N63" si="12">L55+M55</f>
        <v>418200000000</v>
      </c>
      <c r="O55" s="612"/>
      <c r="P55" s="612"/>
      <c r="Q55" s="508">
        <f t="shared" ref="Q55:Q63" si="13">O55+P55</f>
        <v>0</v>
      </c>
      <c r="R55" s="4407">
        <v>12</v>
      </c>
      <c r="S55" s="4407">
        <v>1391</v>
      </c>
      <c r="T55" s="4442">
        <v>1406</v>
      </c>
      <c r="U55" s="4348"/>
      <c r="V55" s="4348"/>
      <c r="W55" s="4440"/>
    </row>
    <row r="56" spans="2:26" s="4436" customFormat="1" ht="29.25" customHeight="1" x14ac:dyDescent="0.35">
      <c r="B56" s="4437">
        <v>23</v>
      </c>
      <c r="C56" s="4347"/>
      <c r="D56" s="609" t="s">
        <v>2057</v>
      </c>
      <c r="E56" s="1012" t="s">
        <v>2387</v>
      </c>
      <c r="F56" s="4409" t="s">
        <v>1107</v>
      </c>
      <c r="G56" s="507">
        <v>1234251000000</v>
      </c>
      <c r="H56" s="507">
        <v>318000000000</v>
      </c>
      <c r="I56" s="1436">
        <v>313500000000</v>
      </c>
      <c r="J56" s="507"/>
      <c r="K56" s="507">
        <f t="shared" si="11"/>
        <v>313500000000</v>
      </c>
      <c r="L56" s="507">
        <v>313500000000</v>
      </c>
      <c r="M56" s="507"/>
      <c r="N56" s="4438">
        <f t="shared" si="12"/>
        <v>313500000000</v>
      </c>
      <c r="O56" s="507"/>
      <c r="P56" s="507"/>
      <c r="Q56" s="508">
        <f t="shared" si="13"/>
        <v>0</v>
      </c>
      <c r="R56" s="609">
        <v>4</v>
      </c>
      <c r="S56" s="609">
        <v>1391</v>
      </c>
      <c r="T56" s="4439">
        <v>1405</v>
      </c>
      <c r="U56" s="4348"/>
      <c r="V56" s="4348"/>
      <c r="W56" s="4440"/>
    </row>
    <row r="57" spans="2:26" s="4436" customFormat="1" ht="29.25" customHeight="1" x14ac:dyDescent="0.35">
      <c r="B57" s="4437">
        <v>24</v>
      </c>
      <c r="C57" s="4347"/>
      <c r="D57" s="609" t="s">
        <v>2054</v>
      </c>
      <c r="E57" s="1012" t="s">
        <v>2385</v>
      </c>
      <c r="F57" s="4397" t="s">
        <v>80</v>
      </c>
      <c r="G57" s="613">
        <v>977259000000</v>
      </c>
      <c r="H57" s="613">
        <v>286300000000</v>
      </c>
      <c r="I57" s="1436">
        <v>285661000000</v>
      </c>
      <c r="J57" s="507"/>
      <c r="K57" s="507">
        <f t="shared" si="11"/>
        <v>285661000000</v>
      </c>
      <c r="L57" s="507">
        <v>285661000000</v>
      </c>
      <c r="M57" s="507"/>
      <c r="N57" s="4438">
        <f t="shared" si="12"/>
        <v>285661000000</v>
      </c>
      <c r="O57" s="4443"/>
      <c r="P57" s="4443"/>
      <c r="Q57" s="508">
        <f t="shared" si="13"/>
        <v>0</v>
      </c>
      <c r="R57" s="609">
        <v>4</v>
      </c>
      <c r="S57" s="609">
        <v>1390</v>
      </c>
      <c r="T57" s="4439">
        <v>1406</v>
      </c>
      <c r="U57" s="4348"/>
      <c r="V57" s="4348"/>
      <c r="W57" s="4440"/>
    </row>
    <row r="58" spans="2:26" s="4436" customFormat="1" ht="29.25" customHeight="1" x14ac:dyDescent="0.35">
      <c r="B58" s="4437">
        <v>25</v>
      </c>
      <c r="C58" s="4347"/>
      <c r="D58" s="609" t="s">
        <v>2063</v>
      </c>
      <c r="E58" s="1012" t="s">
        <v>2382</v>
      </c>
      <c r="F58" s="4397" t="s">
        <v>80</v>
      </c>
      <c r="G58" s="613">
        <v>244948000000</v>
      </c>
      <c r="H58" s="613">
        <v>104609000000</v>
      </c>
      <c r="I58" s="1436">
        <v>100000000000</v>
      </c>
      <c r="J58" s="507"/>
      <c r="K58" s="507">
        <f t="shared" si="11"/>
        <v>100000000000</v>
      </c>
      <c r="L58" s="507">
        <v>100000000000</v>
      </c>
      <c r="M58" s="507"/>
      <c r="N58" s="4438">
        <f t="shared" si="12"/>
        <v>100000000000</v>
      </c>
      <c r="O58" s="507"/>
      <c r="P58" s="507"/>
      <c r="Q58" s="508">
        <f t="shared" si="13"/>
        <v>0</v>
      </c>
      <c r="R58" s="4409">
        <v>3</v>
      </c>
      <c r="S58" s="4409">
        <v>1396</v>
      </c>
      <c r="T58" s="4444">
        <v>1404</v>
      </c>
      <c r="U58" s="4348"/>
      <c r="V58" s="4348"/>
      <c r="W58" s="4440"/>
      <c r="X58" s="4445"/>
      <c r="Y58" s="4445"/>
      <c r="Z58" s="4445"/>
    </row>
    <row r="59" spans="2:26" s="4436" customFormat="1" ht="29.25" customHeight="1" x14ac:dyDescent="0.35">
      <c r="B59" s="4437">
        <v>26</v>
      </c>
      <c r="C59" s="4347"/>
      <c r="D59" s="609" t="s">
        <v>2066</v>
      </c>
      <c r="E59" s="1012" t="s">
        <v>2380</v>
      </c>
      <c r="F59" s="4397" t="s">
        <v>1107</v>
      </c>
      <c r="G59" s="506">
        <v>189668000000</v>
      </c>
      <c r="H59" s="506">
        <v>35000000000</v>
      </c>
      <c r="I59" s="1013">
        <v>35000000000</v>
      </c>
      <c r="J59" s="507"/>
      <c r="K59" s="507">
        <f t="shared" si="11"/>
        <v>35000000000</v>
      </c>
      <c r="L59" s="507">
        <v>35000000000</v>
      </c>
      <c r="M59" s="507"/>
      <c r="N59" s="4438">
        <f t="shared" si="12"/>
        <v>35000000000</v>
      </c>
      <c r="O59" s="507"/>
      <c r="P59" s="507"/>
      <c r="Q59" s="508">
        <f t="shared" si="13"/>
        <v>0</v>
      </c>
      <c r="R59" s="4409">
        <v>1</v>
      </c>
      <c r="S59" s="4409">
        <v>1394</v>
      </c>
      <c r="T59" s="4444">
        <v>1403</v>
      </c>
      <c r="U59" s="4348"/>
      <c r="V59" s="4348"/>
      <c r="W59" s="4440"/>
    </row>
    <row r="60" spans="2:26" s="4436" customFormat="1" ht="29.25" customHeight="1" x14ac:dyDescent="0.35">
      <c r="B60" s="4437">
        <v>27</v>
      </c>
      <c r="C60" s="4347"/>
      <c r="D60" s="609" t="s">
        <v>2059</v>
      </c>
      <c r="E60" s="1012" t="s">
        <v>2378</v>
      </c>
      <c r="F60" s="4397" t="s">
        <v>80</v>
      </c>
      <c r="G60" s="506">
        <v>375000000000</v>
      </c>
      <c r="H60" s="506">
        <v>375000000000</v>
      </c>
      <c r="I60" s="1013">
        <v>346100000000</v>
      </c>
      <c r="J60" s="507"/>
      <c r="K60" s="507">
        <f t="shared" si="11"/>
        <v>346100000000</v>
      </c>
      <c r="L60" s="507">
        <v>346100000000</v>
      </c>
      <c r="M60" s="507"/>
      <c r="N60" s="4438">
        <f t="shared" si="12"/>
        <v>346100000000</v>
      </c>
      <c r="O60" s="507"/>
      <c r="P60" s="507"/>
      <c r="Q60" s="508">
        <f t="shared" si="13"/>
        <v>0</v>
      </c>
      <c r="R60" s="4409">
        <v>12</v>
      </c>
      <c r="S60" s="4409">
        <v>1403</v>
      </c>
      <c r="T60" s="4444">
        <v>1403</v>
      </c>
      <c r="U60" s="4348"/>
      <c r="V60" s="4348"/>
      <c r="W60" s="4440"/>
    </row>
    <row r="61" spans="2:26" s="4436" customFormat="1" ht="29.25" customHeight="1" x14ac:dyDescent="0.35">
      <c r="B61" s="4437">
        <v>28</v>
      </c>
      <c r="C61" s="4347"/>
      <c r="D61" s="689" t="s">
        <v>2065</v>
      </c>
      <c r="E61" s="1012" t="s">
        <v>2374</v>
      </c>
      <c r="F61" s="504" t="s">
        <v>80</v>
      </c>
      <c r="G61" s="506">
        <v>1121200000000</v>
      </c>
      <c r="H61" s="506">
        <v>100000000000</v>
      </c>
      <c r="I61" s="1013">
        <v>100000000000</v>
      </c>
      <c r="J61" s="507"/>
      <c r="K61" s="507">
        <f t="shared" si="11"/>
        <v>100000000000</v>
      </c>
      <c r="L61" s="507">
        <v>100000000000</v>
      </c>
      <c r="M61" s="507"/>
      <c r="N61" s="4438">
        <f t="shared" si="12"/>
        <v>100000000000</v>
      </c>
      <c r="O61" s="507"/>
      <c r="P61" s="507"/>
      <c r="Q61" s="508">
        <f t="shared" si="13"/>
        <v>0</v>
      </c>
      <c r="R61" s="4409">
        <v>1</v>
      </c>
      <c r="S61" s="4409">
        <v>1403</v>
      </c>
      <c r="T61" s="4444">
        <v>1407</v>
      </c>
      <c r="U61" s="4348"/>
      <c r="V61" s="4348"/>
      <c r="W61" s="4440"/>
    </row>
    <row r="62" spans="2:26" s="4436" customFormat="1" ht="29.25" customHeight="1" x14ac:dyDescent="0.35">
      <c r="B62" s="4437">
        <v>29</v>
      </c>
      <c r="C62" s="4347"/>
      <c r="D62" s="2932" t="s">
        <v>2060</v>
      </c>
      <c r="E62" s="1012" t="s">
        <v>2379</v>
      </c>
      <c r="F62" s="4446" t="s">
        <v>80</v>
      </c>
      <c r="G62" s="508">
        <v>255000000000</v>
      </c>
      <c r="H62" s="508">
        <v>255000000000</v>
      </c>
      <c r="I62" s="4431">
        <v>219645000000</v>
      </c>
      <c r="J62" s="4443"/>
      <c r="K62" s="4443">
        <f t="shared" si="11"/>
        <v>219645000000</v>
      </c>
      <c r="L62" s="4443">
        <v>219645000000</v>
      </c>
      <c r="M62" s="4443"/>
      <c r="N62" s="4438">
        <f t="shared" si="12"/>
        <v>219645000000</v>
      </c>
      <c r="O62" s="4443"/>
      <c r="P62" s="4443"/>
      <c r="Q62" s="508">
        <f t="shared" si="13"/>
        <v>0</v>
      </c>
      <c r="R62" s="4409">
        <v>11</v>
      </c>
      <c r="S62" s="4409">
        <v>1403</v>
      </c>
      <c r="T62" s="4444">
        <v>1403</v>
      </c>
      <c r="U62" s="4348"/>
      <c r="V62" s="4348"/>
      <c r="W62" s="4440"/>
    </row>
    <row r="63" spans="2:26" s="4436" customFormat="1" ht="29.25" customHeight="1" x14ac:dyDescent="0.35">
      <c r="B63" s="4437">
        <v>30</v>
      </c>
      <c r="C63" s="4350"/>
      <c r="D63" s="609" t="s">
        <v>1078</v>
      </c>
      <c r="E63" s="1012" t="s">
        <v>813</v>
      </c>
      <c r="F63" s="609" t="s">
        <v>2241</v>
      </c>
      <c r="G63" s="507">
        <v>352000000000</v>
      </c>
      <c r="H63" s="507"/>
      <c r="I63" s="507"/>
      <c r="J63" s="507"/>
      <c r="K63" s="507">
        <f t="shared" si="11"/>
        <v>0</v>
      </c>
      <c r="L63" s="507"/>
      <c r="M63" s="507"/>
      <c r="N63" s="507">
        <f t="shared" si="12"/>
        <v>0</v>
      </c>
      <c r="O63" s="507"/>
      <c r="P63" s="507">
        <v>40000000000</v>
      </c>
      <c r="Q63" s="507">
        <f t="shared" si="13"/>
        <v>40000000000</v>
      </c>
      <c r="R63" s="4397"/>
      <c r="S63" s="4409"/>
      <c r="T63" s="4444"/>
      <c r="U63" s="4351"/>
      <c r="V63" s="4351"/>
      <c r="W63" s="4447"/>
    </row>
    <row r="64" spans="2:26" s="4436" customFormat="1" ht="29.25" customHeight="1" x14ac:dyDescent="0.35">
      <c r="B64" s="4352" t="s">
        <v>94</v>
      </c>
      <c r="C64" s="4353"/>
      <c r="D64" s="4353"/>
      <c r="E64" s="4354"/>
      <c r="F64" s="4355"/>
      <c r="G64" s="4356">
        <f t="shared" ref="G64:Q64" si="14">SUM(G53:G63)</f>
        <v>114525204000000</v>
      </c>
      <c r="H64" s="4356">
        <f t="shared" si="14"/>
        <v>11870741000000</v>
      </c>
      <c r="I64" s="4448">
        <f t="shared" si="14"/>
        <v>9389214000000</v>
      </c>
      <c r="J64" s="612"/>
      <c r="K64" s="612">
        <f t="shared" si="14"/>
        <v>9389214000000</v>
      </c>
      <c r="L64" s="612">
        <f>SUM(L53:L63)</f>
        <v>9389214000000</v>
      </c>
      <c r="M64" s="612"/>
      <c r="N64" s="4449">
        <f t="shared" si="14"/>
        <v>9389214000000</v>
      </c>
      <c r="O64" s="4356">
        <f t="shared" si="14"/>
        <v>165315000000</v>
      </c>
      <c r="P64" s="4356">
        <f t="shared" si="14"/>
        <v>1268736000000</v>
      </c>
      <c r="Q64" s="4356">
        <f t="shared" si="14"/>
        <v>1434051000000</v>
      </c>
      <c r="R64" s="4450"/>
      <c r="S64" s="4451"/>
      <c r="T64" s="4451"/>
      <c r="U64" s="4451"/>
      <c r="V64" s="4451"/>
      <c r="W64" s="4452"/>
    </row>
    <row r="65" spans="2:23" s="4312" customFormat="1" ht="34.5" customHeight="1" x14ac:dyDescent="0.4">
      <c r="B65" s="4360"/>
      <c r="C65" s="4360"/>
      <c r="D65" s="4453">
        <v>9</v>
      </c>
      <c r="E65" s="4453"/>
      <c r="F65" s="4453"/>
      <c r="G65" s="4453"/>
      <c r="H65" s="4453"/>
      <c r="I65" s="4453"/>
      <c r="J65" s="4453"/>
      <c r="K65" s="4453"/>
      <c r="L65" s="4453"/>
      <c r="M65" s="4453"/>
      <c r="N65" s="4453"/>
      <c r="O65" s="4453"/>
      <c r="P65" s="4453"/>
      <c r="Q65" s="4453"/>
      <c r="R65" s="4453"/>
      <c r="S65" s="4453"/>
      <c r="T65" s="4453"/>
      <c r="U65" s="4453"/>
      <c r="V65" s="4453"/>
      <c r="W65" s="4453"/>
    </row>
    <row r="66" spans="2:23" s="4312" customFormat="1" ht="22.5" customHeight="1" x14ac:dyDescent="0.45">
      <c r="B66" s="4360"/>
      <c r="C66" s="4360"/>
      <c r="D66" s="4326" t="s">
        <v>32</v>
      </c>
      <c r="E66" s="4326"/>
      <c r="F66" s="4326"/>
      <c r="G66" s="4326"/>
      <c r="H66" s="4326"/>
      <c r="I66" s="4326"/>
      <c r="J66" s="4326"/>
      <c r="K66" s="4326"/>
      <c r="L66" s="4326"/>
      <c r="M66" s="4326"/>
      <c r="N66" s="4326"/>
      <c r="O66" s="4326"/>
      <c r="P66" s="4326"/>
      <c r="Q66" s="4326"/>
      <c r="R66" s="4326"/>
      <c r="S66" s="4326"/>
      <c r="T66" s="4326"/>
      <c r="U66" s="4326"/>
      <c r="V66" s="4326"/>
      <c r="W66" s="4326"/>
    </row>
    <row r="67" spans="2:23" s="4312" customFormat="1" ht="22.5" customHeight="1" x14ac:dyDescent="0.45">
      <c r="B67" s="4360"/>
      <c r="C67" s="4360"/>
      <c r="D67" s="4326" t="s">
        <v>51</v>
      </c>
      <c r="E67" s="4326"/>
      <c r="F67" s="4326"/>
      <c r="G67" s="4326"/>
      <c r="H67" s="4326"/>
      <c r="I67" s="4326"/>
      <c r="J67" s="4326"/>
      <c r="K67" s="4326"/>
      <c r="L67" s="4326"/>
      <c r="M67" s="4326"/>
      <c r="N67" s="4326"/>
      <c r="O67" s="4326"/>
      <c r="P67" s="4326"/>
      <c r="Q67" s="4326"/>
      <c r="R67" s="4326"/>
      <c r="S67" s="4326"/>
      <c r="T67" s="4326"/>
      <c r="U67" s="4326"/>
      <c r="V67" s="4326"/>
      <c r="W67" s="4326"/>
    </row>
    <row r="68" spans="2:23" s="4312" customFormat="1" ht="22.5" customHeight="1" x14ac:dyDescent="0.45">
      <c r="B68" s="4360"/>
      <c r="C68" s="4360"/>
      <c r="D68" s="4326" t="s">
        <v>52</v>
      </c>
      <c r="E68" s="4326"/>
      <c r="F68" s="4326"/>
      <c r="G68" s="4326"/>
      <c r="H68" s="4326"/>
      <c r="I68" s="4326"/>
      <c r="J68" s="4326"/>
      <c r="K68" s="4326"/>
      <c r="L68" s="4326"/>
      <c r="M68" s="4326"/>
      <c r="N68" s="4326"/>
      <c r="O68" s="4326"/>
      <c r="P68" s="4326"/>
      <c r="Q68" s="4326"/>
      <c r="R68" s="4326"/>
      <c r="S68" s="4326"/>
      <c r="T68" s="4326"/>
      <c r="U68" s="4326"/>
      <c r="V68" s="4326"/>
      <c r="W68" s="4326"/>
    </row>
    <row r="69" spans="2:23" s="4312" customFormat="1" ht="22.5" customHeight="1" x14ac:dyDescent="0.45">
      <c r="B69" s="4360"/>
      <c r="C69" s="4360"/>
      <c r="D69" s="4326" t="s">
        <v>2242</v>
      </c>
      <c r="E69" s="4326"/>
      <c r="F69" s="4326"/>
      <c r="G69" s="4326"/>
      <c r="H69" s="4326"/>
      <c r="I69" s="4326"/>
      <c r="J69" s="4326"/>
      <c r="K69" s="4326"/>
      <c r="L69" s="4326"/>
      <c r="M69" s="4326"/>
      <c r="N69" s="4326"/>
      <c r="O69" s="4326"/>
      <c r="P69" s="4326"/>
      <c r="Q69" s="4326"/>
      <c r="R69" s="4326"/>
      <c r="S69" s="4326"/>
      <c r="T69" s="4326"/>
      <c r="U69" s="4326"/>
      <c r="V69" s="4326"/>
      <c r="W69" s="4326"/>
    </row>
    <row r="70" spans="2:23" s="4312" customFormat="1" ht="22.5" customHeight="1" x14ac:dyDescent="0.4">
      <c r="B70" s="4360"/>
      <c r="C70" s="4360"/>
      <c r="D70" s="4365" t="s">
        <v>1072</v>
      </c>
      <c r="E70" s="4365"/>
      <c r="F70" s="4365"/>
      <c r="G70" s="4365"/>
      <c r="H70" s="4424"/>
      <c r="I70" s="4366"/>
      <c r="J70" s="4366"/>
      <c r="K70" s="4366"/>
      <c r="L70" s="4366"/>
      <c r="M70" s="4366"/>
      <c r="N70" s="4366"/>
      <c r="O70" s="4366"/>
      <c r="P70" s="4366"/>
      <c r="Q70" s="4366"/>
      <c r="R70" s="4327"/>
      <c r="S70" s="4327"/>
      <c r="T70" s="4327"/>
      <c r="U70" s="4327"/>
      <c r="V70" s="4367" t="s">
        <v>194</v>
      </c>
      <c r="W70" s="4367"/>
    </row>
    <row r="71" spans="2:23" s="4312" customFormat="1" ht="45.6" customHeight="1" x14ac:dyDescent="0.35">
      <c r="B71" s="4368" t="s">
        <v>1294</v>
      </c>
      <c r="C71" s="4343" t="s">
        <v>1185</v>
      </c>
      <c r="D71" s="4369" t="s">
        <v>53</v>
      </c>
      <c r="E71" s="4369" t="s">
        <v>54</v>
      </c>
      <c r="F71" s="4370" t="s">
        <v>55</v>
      </c>
      <c r="G71" s="4371" t="s">
        <v>56</v>
      </c>
      <c r="H71" s="4426" t="s">
        <v>1018</v>
      </c>
      <c r="I71" s="4373" t="s">
        <v>57</v>
      </c>
      <c r="J71" s="4374"/>
      <c r="K71" s="4375"/>
      <c r="L71" s="4454" t="s">
        <v>2234</v>
      </c>
      <c r="M71" s="4455"/>
      <c r="N71" s="4456"/>
      <c r="O71" s="4379" t="s">
        <v>2235</v>
      </c>
      <c r="P71" s="4380"/>
      <c r="Q71" s="4381"/>
      <c r="R71" s="4382" t="s">
        <v>58</v>
      </c>
      <c r="S71" s="4382" t="s">
        <v>59</v>
      </c>
      <c r="T71" s="4382" t="s">
        <v>60</v>
      </c>
      <c r="U71" s="4382" t="s">
        <v>61</v>
      </c>
      <c r="V71" s="4382" t="s">
        <v>1295</v>
      </c>
      <c r="W71" s="4382" t="s">
        <v>62</v>
      </c>
    </row>
    <row r="72" spans="2:23" s="4312" customFormat="1" ht="81.75" customHeight="1" x14ac:dyDescent="0.35">
      <c r="B72" s="4383"/>
      <c r="C72" s="4350"/>
      <c r="D72" s="4384"/>
      <c r="E72" s="4384"/>
      <c r="F72" s="4457"/>
      <c r="G72" s="4458"/>
      <c r="H72" s="4459"/>
      <c r="I72" s="4388" t="s">
        <v>998</v>
      </c>
      <c r="J72" s="4460" t="s">
        <v>999</v>
      </c>
      <c r="K72" s="4390" t="s">
        <v>1303</v>
      </c>
      <c r="L72" s="4388" t="s">
        <v>998</v>
      </c>
      <c r="M72" s="4461" t="s">
        <v>999</v>
      </c>
      <c r="N72" s="4391" t="s">
        <v>1799</v>
      </c>
      <c r="O72" s="4390" t="s">
        <v>998</v>
      </c>
      <c r="P72" s="4390" t="s">
        <v>999</v>
      </c>
      <c r="Q72" s="4390" t="s">
        <v>417</v>
      </c>
      <c r="R72" s="4392"/>
      <c r="S72" s="4392"/>
      <c r="T72" s="4392"/>
      <c r="U72" s="4393"/>
      <c r="V72" s="4392"/>
      <c r="W72" s="4393"/>
    </row>
    <row r="73" spans="2:23" s="4312" customFormat="1" ht="22.9" customHeight="1" x14ac:dyDescent="0.35">
      <c r="B73" s="4394" t="s">
        <v>181</v>
      </c>
      <c r="C73" s="4395"/>
      <c r="D73" s="4395"/>
      <c r="E73" s="4396"/>
      <c r="F73" s="609"/>
      <c r="G73" s="507">
        <f>G64</f>
        <v>114525204000000</v>
      </c>
      <c r="H73" s="507">
        <f>H64</f>
        <v>11870741000000</v>
      </c>
      <c r="I73" s="507">
        <f>I64</f>
        <v>9389214000000</v>
      </c>
      <c r="J73" s="507"/>
      <c r="K73" s="507">
        <f>K64</f>
        <v>9389214000000</v>
      </c>
      <c r="L73" s="507">
        <f>L64</f>
        <v>9389214000000</v>
      </c>
      <c r="M73" s="507"/>
      <c r="N73" s="507">
        <f>N64</f>
        <v>9389214000000</v>
      </c>
      <c r="O73" s="507">
        <f>O64</f>
        <v>165315000000</v>
      </c>
      <c r="P73" s="507">
        <f>P64</f>
        <v>1268736000000</v>
      </c>
      <c r="Q73" s="507">
        <f>Q64</f>
        <v>1434051000000</v>
      </c>
      <c r="R73" s="4409"/>
      <c r="S73" s="4409"/>
      <c r="T73" s="4444"/>
      <c r="U73" s="4345" t="s">
        <v>65</v>
      </c>
      <c r="V73" s="3115" t="s">
        <v>1296</v>
      </c>
      <c r="W73" s="3112" t="s">
        <v>1305</v>
      </c>
    </row>
    <row r="74" spans="2:23" s="4312" customFormat="1" ht="27.75" customHeight="1" x14ac:dyDescent="0.35">
      <c r="B74" s="4462">
        <v>31</v>
      </c>
      <c r="C74" s="3110" t="s">
        <v>1299</v>
      </c>
      <c r="D74" s="609">
        <v>1503003007</v>
      </c>
      <c r="E74" s="1012" t="s">
        <v>2428</v>
      </c>
      <c r="F74" s="4344" t="s">
        <v>2241</v>
      </c>
      <c r="G74" s="1013">
        <v>82039000000</v>
      </c>
      <c r="H74" s="507">
        <v>20000000000</v>
      </c>
      <c r="I74" s="507"/>
      <c r="J74" s="507"/>
      <c r="K74" s="507">
        <f>I74+J74</f>
        <v>0</v>
      </c>
      <c r="L74" s="507"/>
      <c r="M74" s="507"/>
      <c r="N74" s="507">
        <f>L74+M74</f>
        <v>0</v>
      </c>
      <c r="O74" s="4398"/>
      <c r="P74" s="506">
        <v>5000000000</v>
      </c>
      <c r="Q74" s="506">
        <f>O74+P74</f>
        <v>5000000000</v>
      </c>
      <c r="R74" s="4409">
        <v>1</v>
      </c>
      <c r="S74" s="4409">
        <v>1387</v>
      </c>
      <c r="T74" s="4444">
        <v>1407</v>
      </c>
      <c r="U74" s="4348"/>
      <c r="V74" s="3113"/>
      <c r="W74" s="3113"/>
    </row>
    <row r="75" spans="2:23" s="4312" customFormat="1" ht="27.75" customHeight="1" x14ac:dyDescent="0.35">
      <c r="B75" s="4462">
        <v>32</v>
      </c>
      <c r="C75" s="3111"/>
      <c r="D75" s="609">
        <v>1503003008</v>
      </c>
      <c r="E75" s="1012" t="s">
        <v>156</v>
      </c>
      <c r="F75" s="4344" t="s">
        <v>2241</v>
      </c>
      <c r="G75" s="1013">
        <v>30086000000</v>
      </c>
      <c r="H75" s="507">
        <v>9000000000</v>
      </c>
      <c r="I75" s="507">
        <v>5000000000</v>
      </c>
      <c r="J75" s="507"/>
      <c r="K75" s="507">
        <f t="shared" ref="K75:K86" si="15">I75+J75</f>
        <v>5000000000</v>
      </c>
      <c r="L75" s="507">
        <v>5000000000</v>
      </c>
      <c r="M75" s="507"/>
      <c r="N75" s="507">
        <f t="shared" ref="N75:N86" si="16">L75+M75</f>
        <v>5000000000</v>
      </c>
      <c r="O75" s="4398"/>
      <c r="P75" s="506">
        <v>1500000000</v>
      </c>
      <c r="Q75" s="506">
        <f t="shared" ref="Q75:Q86" si="17">O75+P75</f>
        <v>1500000000</v>
      </c>
      <c r="R75" s="4409">
        <v>4</v>
      </c>
      <c r="S75" s="4409">
        <v>1387</v>
      </c>
      <c r="T75" s="4444">
        <v>1407</v>
      </c>
      <c r="U75" s="4345" t="s">
        <v>2419</v>
      </c>
      <c r="V75" s="3113"/>
      <c r="W75" s="3113"/>
    </row>
    <row r="76" spans="2:23" s="4312" customFormat="1" ht="27.75" customHeight="1" x14ac:dyDescent="0.35">
      <c r="B76" s="4462">
        <v>33</v>
      </c>
      <c r="C76" s="3111"/>
      <c r="D76" s="609">
        <v>1502001005</v>
      </c>
      <c r="E76" s="1012" t="s">
        <v>2433</v>
      </c>
      <c r="F76" s="4344" t="s">
        <v>2244</v>
      </c>
      <c r="G76" s="1013">
        <v>1984422000000</v>
      </c>
      <c r="H76" s="507">
        <v>1280000000000</v>
      </c>
      <c r="I76" s="507"/>
      <c r="J76" s="507"/>
      <c r="K76" s="507">
        <f t="shared" si="15"/>
        <v>0</v>
      </c>
      <c r="L76" s="507"/>
      <c r="M76" s="507"/>
      <c r="N76" s="507">
        <f t="shared" si="16"/>
        <v>0</v>
      </c>
      <c r="O76" s="4398">
        <v>13800000000</v>
      </c>
      <c r="P76" s="506">
        <v>90000000000</v>
      </c>
      <c r="Q76" s="506">
        <f t="shared" si="17"/>
        <v>103800000000</v>
      </c>
      <c r="R76" s="4409">
        <v>1</v>
      </c>
      <c r="S76" s="4409">
        <v>1390</v>
      </c>
      <c r="T76" s="4444">
        <v>1407</v>
      </c>
      <c r="U76" s="4348"/>
      <c r="V76" s="3113"/>
      <c r="W76" s="3113"/>
    </row>
    <row r="77" spans="2:23" s="4312" customFormat="1" ht="22.15" customHeight="1" x14ac:dyDescent="0.35">
      <c r="B77" s="4462">
        <v>34</v>
      </c>
      <c r="C77" s="3111"/>
      <c r="D77" s="609">
        <v>1307002321</v>
      </c>
      <c r="E77" s="1012" t="s">
        <v>2436</v>
      </c>
      <c r="F77" s="4344" t="s">
        <v>2244</v>
      </c>
      <c r="G77" s="1013">
        <v>1080000000000</v>
      </c>
      <c r="H77" s="507">
        <v>1080000000000</v>
      </c>
      <c r="I77" s="507">
        <v>1080000000000</v>
      </c>
      <c r="J77" s="507"/>
      <c r="K77" s="507">
        <f t="shared" si="15"/>
        <v>1080000000000</v>
      </c>
      <c r="L77" s="507">
        <v>1080000000000</v>
      </c>
      <c r="M77" s="507"/>
      <c r="N77" s="507">
        <f t="shared" si="16"/>
        <v>1080000000000</v>
      </c>
      <c r="O77" s="4398"/>
      <c r="P77" s="506"/>
      <c r="Q77" s="506">
        <f t="shared" si="17"/>
        <v>0</v>
      </c>
      <c r="R77" s="4409">
        <v>1</v>
      </c>
      <c r="S77" s="4409">
        <v>1403</v>
      </c>
      <c r="T77" s="4444">
        <v>1403</v>
      </c>
      <c r="U77" s="3113" t="s">
        <v>2432</v>
      </c>
      <c r="V77" s="3113"/>
      <c r="W77" s="3113"/>
    </row>
    <row r="78" spans="2:23" s="4312" customFormat="1" ht="22.15" customHeight="1" x14ac:dyDescent="0.35">
      <c r="B78" s="4462">
        <v>35</v>
      </c>
      <c r="C78" s="3111"/>
      <c r="D78" s="504">
        <v>1037002025</v>
      </c>
      <c r="E78" s="847" t="s">
        <v>1802</v>
      </c>
      <c r="F78" s="4344" t="s">
        <v>2244</v>
      </c>
      <c r="G78" s="1436">
        <v>30238059000000</v>
      </c>
      <c r="H78" s="507">
        <v>29304937000000</v>
      </c>
      <c r="I78" s="507">
        <v>29304937000000</v>
      </c>
      <c r="J78" s="507"/>
      <c r="K78" s="507">
        <f t="shared" si="15"/>
        <v>29304937000000</v>
      </c>
      <c r="L78" s="507"/>
      <c r="M78" s="507"/>
      <c r="N78" s="507">
        <f t="shared" si="16"/>
        <v>0</v>
      </c>
      <c r="O78" s="4398"/>
      <c r="P78" s="506"/>
      <c r="Q78" s="506">
        <f t="shared" si="17"/>
        <v>0</v>
      </c>
      <c r="R78" s="4409">
        <v>5</v>
      </c>
      <c r="S78" s="4409">
        <v>1391</v>
      </c>
      <c r="T78" s="4444">
        <v>1403</v>
      </c>
      <c r="U78" s="3113"/>
      <c r="V78" s="3113"/>
      <c r="W78" s="3113"/>
    </row>
    <row r="79" spans="2:23" s="4312" customFormat="1" ht="22.15" customHeight="1" x14ac:dyDescent="0.35">
      <c r="B79" s="4462"/>
      <c r="C79" s="3111"/>
      <c r="D79" s="609">
        <v>1501001020</v>
      </c>
      <c r="E79" s="1017" t="s">
        <v>2440</v>
      </c>
      <c r="F79" s="4446" t="s">
        <v>2246</v>
      </c>
      <c r="G79" s="1436">
        <v>8190000000000</v>
      </c>
      <c r="H79" s="507">
        <v>4700000000000</v>
      </c>
      <c r="I79" s="507"/>
      <c r="J79" s="507"/>
      <c r="K79" s="507">
        <f t="shared" ref="K79:K80" si="18">I79+J79</f>
        <v>0</v>
      </c>
      <c r="L79" s="507"/>
      <c r="M79" s="507"/>
      <c r="N79" s="507">
        <f t="shared" ref="N79:N80" si="19">L79+M79</f>
        <v>0</v>
      </c>
      <c r="O79" s="4398"/>
      <c r="P79" s="506"/>
      <c r="Q79" s="506">
        <f t="shared" ref="Q79:Q80" si="20">O79+P79</f>
        <v>0</v>
      </c>
      <c r="R79" s="4409">
        <v>3</v>
      </c>
      <c r="S79" s="4409">
        <v>1401</v>
      </c>
      <c r="T79" s="4444">
        <v>1403</v>
      </c>
      <c r="U79" s="3113"/>
      <c r="V79" s="3113"/>
      <c r="W79" s="3113"/>
    </row>
    <row r="80" spans="2:23" s="4312" customFormat="1" ht="22.15" customHeight="1" x14ac:dyDescent="0.35">
      <c r="B80" s="4462"/>
      <c r="C80" s="3111"/>
      <c r="D80" s="609">
        <v>1307002080</v>
      </c>
      <c r="E80" s="4314" t="s">
        <v>2444</v>
      </c>
      <c r="F80" s="609" t="s">
        <v>2241</v>
      </c>
      <c r="G80" s="507">
        <v>16218908000000</v>
      </c>
      <c r="H80" s="507">
        <v>6502000000000</v>
      </c>
      <c r="I80" s="507">
        <v>5602000000000</v>
      </c>
      <c r="J80" s="507"/>
      <c r="K80" s="507">
        <f t="shared" si="18"/>
        <v>5602000000000</v>
      </c>
      <c r="L80" s="507">
        <v>5602000000000</v>
      </c>
      <c r="M80" s="507"/>
      <c r="N80" s="507">
        <f t="shared" si="19"/>
        <v>5602000000000</v>
      </c>
      <c r="O80" s="507"/>
      <c r="P80" s="507">
        <v>164807000000</v>
      </c>
      <c r="Q80" s="506">
        <f t="shared" si="20"/>
        <v>164807000000</v>
      </c>
      <c r="R80" s="609">
        <v>2</v>
      </c>
      <c r="S80" s="609">
        <v>1387</v>
      </c>
      <c r="T80" s="4439">
        <v>1403</v>
      </c>
      <c r="U80" s="3113"/>
      <c r="V80" s="3113"/>
      <c r="W80" s="3113"/>
    </row>
    <row r="81" spans="2:23" ht="22.15" customHeight="1" x14ac:dyDescent="0.35">
      <c r="B81" s="2997">
        <v>36</v>
      </c>
      <c r="C81" s="3111"/>
      <c r="D81" s="2970">
        <v>150217008</v>
      </c>
      <c r="E81" s="2999" t="s">
        <v>1803</v>
      </c>
      <c r="F81" s="2996" t="s">
        <v>2246</v>
      </c>
      <c r="G81" s="3000">
        <v>85000000000</v>
      </c>
      <c r="H81" s="2973"/>
      <c r="I81" s="2973"/>
      <c r="J81" s="2973"/>
      <c r="K81" s="2972">
        <f t="shared" si="15"/>
        <v>0</v>
      </c>
      <c r="L81" s="2973"/>
      <c r="M81" s="2973"/>
      <c r="N81" s="2972">
        <f t="shared" si="16"/>
        <v>0</v>
      </c>
      <c r="O81" s="2981">
        <v>30000000000</v>
      </c>
      <c r="P81" s="2980">
        <v>55000000000</v>
      </c>
      <c r="Q81" s="2980">
        <f t="shared" si="17"/>
        <v>85000000000</v>
      </c>
      <c r="R81" s="2984">
        <v>2</v>
      </c>
      <c r="S81" s="2984">
        <v>1396</v>
      </c>
      <c r="T81" s="2995">
        <v>1402</v>
      </c>
      <c r="U81" s="3113"/>
      <c r="V81" s="3113"/>
      <c r="W81" s="3113"/>
    </row>
    <row r="82" spans="2:23" ht="22.15" customHeight="1" x14ac:dyDescent="0.35">
      <c r="B82" s="2997">
        <v>39</v>
      </c>
      <c r="C82" s="3111"/>
      <c r="D82" s="2970" t="s">
        <v>548</v>
      </c>
      <c r="E82" s="2971" t="s">
        <v>557</v>
      </c>
      <c r="F82" s="3037" t="s">
        <v>2249</v>
      </c>
      <c r="G82" s="2991">
        <v>461691000000</v>
      </c>
      <c r="H82" s="2972"/>
      <c r="I82" s="2972"/>
      <c r="J82" s="2972"/>
      <c r="K82" s="2972">
        <f t="shared" si="15"/>
        <v>0</v>
      </c>
      <c r="L82" s="2972"/>
      <c r="M82" s="2972"/>
      <c r="N82" s="2972">
        <f t="shared" si="16"/>
        <v>0</v>
      </c>
      <c r="O82" s="2972">
        <v>1570000000</v>
      </c>
      <c r="P82" s="2972"/>
      <c r="Q82" s="2980">
        <f t="shared" si="17"/>
        <v>1570000000</v>
      </c>
      <c r="R82" s="2987">
        <v>5</v>
      </c>
      <c r="S82" s="2987">
        <v>1387</v>
      </c>
      <c r="T82" s="2988">
        <v>1403</v>
      </c>
      <c r="U82" s="3113"/>
      <c r="V82" s="3113"/>
      <c r="W82" s="3113"/>
    </row>
    <row r="83" spans="2:23" ht="22.15" customHeight="1" x14ac:dyDescent="0.35">
      <c r="B83" s="2997">
        <v>40</v>
      </c>
      <c r="C83" s="3111"/>
      <c r="D83" s="2970" t="s">
        <v>546</v>
      </c>
      <c r="E83" s="2971" t="s">
        <v>2250</v>
      </c>
      <c r="F83" s="2996" t="s">
        <v>2249</v>
      </c>
      <c r="G83" s="3001">
        <v>76459000000</v>
      </c>
      <c r="H83" s="2972"/>
      <c r="I83" s="2972"/>
      <c r="J83" s="2972"/>
      <c r="K83" s="2972">
        <f t="shared" si="15"/>
        <v>0</v>
      </c>
      <c r="L83" s="2972"/>
      <c r="M83" s="2972"/>
      <c r="N83" s="2972">
        <f t="shared" si="16"/>
        <v>0</v>
      </c>
      <c r="O83" s="2994">
        <v>41210000000</v>
      </c>
      <c r="P83" s="2994"/>
      <c r="Q83" s="2980">
        <f t="shared" si="17"/>
        <v>41210000000</v>
      </c>
      <c r="R83" s="2970">
        <v>17</v>
      </c>
      <c r="S83" s="2970">
        <v>1388</v>
      </c>
      <c r="T83" s="3036">
        <v>1403</v>
      </c>
      <c r="U83" s="3113"/>
      <c r="V83" s="3113"/>
      <c r="W83" s="3113"/>
    </row>
    <row r="84" spans="2:23" ht="22.15" customHeight="1" x14ac:dyDescent="0.35">
      <c r="B84" s="2997">
        <v>41</v>
      </c>
      <c r="C84" s="3111"/>
      <c r="D84" s="2180" t="s">
        <v>609</v>
      </c>
      <c r="E84" s="2998" t="s">
        <v>812</v>
      </c>
      <c r="F84" s="2996" t="s">
        <v>1968</v>
      </c>
      <c r="G84" s="3002">
        <v>3408346000000</v>
      </c>
      <c r="H84" s="2972"/>
      <c r="I84" s="2972"/>
      <c r="J84" s="2972"/>
      <c r="K84" s="2972">
        <f t="shared" si="15"/>
        <v>0</v>
      </c>
      <c r="L84" s="2972"/>
      <c r="M84" s="2972"/>
      <c r="N84" s="2972">
        <f t="shared" si="16"/>
        <v>0</v>
      </c>
      <c r="O84" s="2994">
        <v>10000000000</v>
      </c>
      <c r="P84" s="2994">
        <v>5000000000</v>
      </c>
      <c r="Q84" s="2980">
        <f t="shared" si="17"/>
        <v>15000000000</v>
      </c>
      <c r="R84" s="2970">
        <v>22</v>
      </c>
      <c r="S84" s="2970">
        <v>1385</v>
      </c>
      <c r="T84" s="3036">
        <v>1403</v>
      </c>
      <c r="U84" s="3113"/>
      <c r="V84" s="3113"/>
      <c r="W84" s="3113"/>
    </row>
    <row r="85" spans="2:23" ht="22.15" customHeight="1" x14ac:dyDescent="0.35">
      <c r="B85" s="2997">
        <v>42</v>
      </c>
      <c r="C85" s="3122"/>
      <c r="D85" s="2970" t="s">
        <v>540</v>
      </c>
      <c r="E85" s="2971" t="s">
        <v>2251</v>
      </c>
      <c r="F85" s="2996" t="s">
        <v>2249</v>
      </c>
      <c r="G85" s="3002">
        <v>777126000000</v>
      </c>
      <c r="H85" s="2972"/>
      <c r="I85" s="2972"/>
      <c r="J85" s="2972"/>
      <c r="K85" s="2972">
        <f t="shared" si="15"/>
        <v>0</v>
      </c>
      <c r="L85" s="2972"/>
      <c r="M85" s="2972"/>
      <c r="N85" s="2972">
        <f t="shared" si="16"/>
        <v>0</v>
      </c>
      <c r="O85" s="2994">
        <v>28250000000</v>
      </c>
      <c r="P85" s="2994">
        <v>15000000000</v>
      </c>
      <c r="Q85" s="2980">
        <f t="shared" si="17"/>
        <v>43250000000</v>
      </c>
      <c r="R85" s="2970">
        <v>10</v>
      </c>
      <c r="S85" s="2970">
        <v>1388</v>
      </c>
      <c r="T85" s="3036">
        <v>1403</v>
      </c>
      <c r="U85" s="3113"/>
      <c r="V85" s="3113"/>
      <c r="W85" s="3113"/>
    </row>
    <row r="86" spans="2:23" ht="22.15" customHeight="1" x14ac:dyDescent="0.35">
      <c r="B86" s="2997">
        <v>43</v>
      </c>
      <c r="C86" s="3003"/>
      <c r="D86" s="2970" t="s">
        <v>542</v>
      </c>
      <c r="E86" s="2971" t="s">
        <v>560</v>
      </c>
      <c r="F86" s="2996" t="s">
        <v>1968</v>
      </c>
      <c r="G86" s="3002">
        <v>488896000000</v>
      </c>
      <c r="H86" s="2972"/>
      <c r="I86" s="2972"/>
      <c r="J86" s="2972"/>
      <c r="K86" s="2972">
        <f t="shared" si="15"/>
        <v>0</v>
      </c>
      <c r="L86" s="2972"/>
      <c r="M86" s="2972"/>
      <c r="N86" s="2972">
        <f t="shared" si="16"/>
        <v>0</v>
      </c>
      <c r="O86" s="2994">
        <v>10000000000</v>
      </c>
      <c r="P86" s="2994"/>
      <c r="Q86" s="2980">
        <f t="shared" si="17"/>
        <v>10000000000</v>
      </c>
      <c r="R86" s="2970">
        <v>27</v>
      </c>
      <c r="S86" s="2970">
        <v>1387</v>
      </c>
      <c r="T86" s="2970">
        <v>1403</v>
      </c>
      <c r="U86" s="3114"/>
      <c r="V86" s="3114"/>
      <c r="W86" s="3114"/>
    </row>
    <row r="87" spans="2:23" ht="27.75" customHeight="1" x14ac:dyDescent="0.35">
      <c r="B87" s="3104" t="s">
        <v>1317</v>
      </c>
      <c r="C87" s="3105"/>
      <c r="D87" s="3105"/>
      <c r="E87" s="3106"/>
      <c r="F87" s="2970"/>
      <c r="G87" s="2972">
        <f>SUM(G73:G86)</f>
        <v>177646236000000</v>
      </c>
      <c r="H87" s="2972">
        <f>SUM(H73:H86)</f>
        <v>54766678000000</v>
      </c>
      <c r="I87" s="2972">
        <f>SUM(I73:I85)</f>
        <v>45381151000000</v>
      </c>
      <c r="J87" s="2972">
        <f>SUM(J73:J86)</f>
        <v>0</v>
      </c>
      <c r="K87" s="2972">
        <f>SUM(K73:K85)</f>
        <v>45381151000000</v>
      </c>
      <c r="L87" s="2972">
        <f>SUM(L73:L85)</f>
        <v>16076214000000</v>
      </c>
      <c r="M87" s="2972">
        <f>SUM(M73:M85)</f>
        <v>0</v>
      </c>
      <c r="N87" s="2972">
        <f>SUM(N73:N85)</f>
        <v>16076214000000</v>
      </c>
      <c r="O87" s="2972">
        <f>SUM(O73:O86)</f>
        <v>300145000000</v>
      </c>
      <c r="P87" s="2972">
        <f>SUM(P73:P86)</f>
        <v>1605043000000</v>
      </c>
      <c r="Q87" s="2972">
        <f>SUM(Q73:Q86)</f>
        <v>1905188000000</v>
      </c>
      <c r="R87" s="4297"/>
      <c r="S87" s="4298"/>
      <c r="T87" s="4298"/>
      <c r="U87" s="4298"/>
      <c r="V87" s="4298"/>
      <c r="W87" s="4299"/>
    </row>
    <row r="88" spans="2:23" ht="11.45" customHeight="1" x14ac:dyDescent="0.35">
      <c r="B88" s="3004"/>
      <c r="C88" s="3004"/>
      <c r="D88" s="3004"/>
      <c r="E88" s="3004"/>
      <c r="F88" s="3004"/>
      <c r="G88" s="3005"/>
      <c r="H88" s="3005"/>
      <c r="I88" s="3005"/>
      <c r="J88" s="3005"/>
      <c r="K88" s="3005"/>
      <c r="L88" s="3005"/>
      <c r="M88" s="3005"/>
      <c r="N88" s="3005"/>
      <c r="O88" s="3005"/>
      <c r="P88" s="3005"/>
      <c r="Q88" s="3005"/>
      <c r="R88" s="3006"/>
      <c r="S88" s="3006"/>
      <c r="T88" s="3006"/>
      <c r="U88" s="3006"/>
      <c r="V88" s="3006"/>
      <c r="W88" s="3006"/>
    </row>
    <row r="89" spans="2:23" ht="4.1500000000000004" customHeight="1" x14ac:dyDescent="0.35">
      <c r="B89" s="3004"/>
      <c r="C89" s="3004"/>
      <c r="D89" s="3004"/>
      <c r="E89" s="3004"/>
      <c r="F89" s="3004"/>
      <c r="G89" s="3005"/>
      <c r="H89" s="3005"/>
      <c r="I89" s="3005"/>
      <c r="J89" s="3005"/>
      <c r="K89" s="3005"/>
      <c r="L89" s="3005"/>
      <c r="M89" s="3005"/>
      <c r="N89" s="3005"/>
      <c r="O89" s="3005"/>
      <c r="P89" s="3005"/>
      <c r="Q89" s="3005"/>
      <c r="R89" s="3006"/>
      <c r="S89" s="3006"/>
      <c r="T89" s="3006"/>
      <c r="U89" s="3006"/>
      <c r="V89" s="3006"/>
      <c r="W89" s="3006"/>
    </row>
    <row r="90" spans="2:23" ht="12.6" customHeight="1" x14ac:dyDescent="0.4">
      <c r="B90" s="3007"/>
      <c r="C90" s="3008"/>
      <c r="D90" s="2976"/>
      <c r="E90" s="3026"/>
      <c r="F90" s="2976"/>
      <c r="G90" s="2977"/>
      <c r="H90" s="2977"/>
      <c r="I90" s="2977"/>
      <c r="J90" s="2977"/>
      <c r="K90" s="2977">
        <v>10000000</v>
      </c>
      <c r="L90" s="2977"/>
      <c r="M90" s="2977"/>
      <c r="N90" s="2977"/>
      <c r="O90" s="2977"/>
      <c r="P90" s="2977"/>
      <c r="Q90" s="2977"/>
      <c r="R90" s="3009"/>
      <c r="S90" s="3009"/>
      <c r="T90" s="3009"/>
      <c r="U90" s="3009"/>
      <c r="V90" s="3009"/>
      <c r="W90" s="3009"/>
    </row>
    <row r="91" spans="2:23" ht="12.6" customHeight="1" x14ac:dyDescent="0.4">
      <c r="B91" s="3007"/>
      <c r="C91" s="3008"/>
      <c r="D91" s="2976"/>
      <c r="E91" s="3026"/>
      <c r="F91" s="2976"/>
      <c r="G91" s="2977"/>
      <c r="H91" s="2977"/>
      <c r="I91" s="2977"/>
      <c r="J91" s="2977"/>
      <c r="K91" s="2977"/>
      <c r="L91" s="2977"/>
      <c r="M91" s="2977"/>
      <c r="N91" s="2977"/>
      <c r="O91" s="2977"/>
      <c r="P91" s="2977"/>
      <c r="Q91" s="2977"/>
      <c r="R91" s="3009"/>
      <c r="S91" s="3009"/>
      <c r="T91" s="3009"/>
      <c r="U91" s="3009"/>
      <c r="V91" s="3009"/>
      <c r="W91" s="3009"/>
    </row>
    <row r="92" spans="2:23" ht="18.75" x14ac:dyDescent="0.45">
      <c r="C92" s="2975"/>
      <c r="D92" s="3101" t="s">
        <v>32</v>
      </c>
      <c r="E92" s="3101"/>
      <c r="F92" s="3101"/>
      <c r="G92" s="3101"/>
      <c r="H92" s="3101"/>
      <c r="I92" s="3101"/>
      <c r="J92" s="3101"/>
      <c r="K92" s="3101"/>
      <c r="L92" s="3101"/>
      <c r="M92" s="3101"/>
      <c r="N92" s="3101"/>
      <c r="O92" s="3101"/>
      <c r="P92" s="3101"/>
      <c r="Q92" s="3101"/>
      <c r="R92" s="3101"/>
      <c r="S92" s="3101"/>
      <c r="T92" s="3101"/>
      <c r="U92" s="3101"/>
      <c r="V92" s="3101"/>
      <c r="W92" s="3101"/>
    </row>
    <row r="93" spans="2:23" ht="18.75" x14ac:dyDescent="0.45">
      <c r="C93" s="2975"/>
      <c r="D93" s="3101" t="s">
        <v>51</v>
      </c>
      <c r="E93" s="3101"/>
      <c r="F93" s="3101"/>
      <c r="G93" s="3101"/>
      <c r="H93" s="3101"/>
      <c r="I93" s="3101"/>
      <c r="J93" s="3101"/>
      <c r="K93" s="3101"/>
      <c r="L93" s="3101"/>
      <c r="M93" s="3101"/>
      <c r="N93" s="3101"/>
      <c r="O93" s="3101"/>
      <c r="P93" s="3101"/>
      <c r="Q93" s="3101"/>
      <c r="R93" s="3101"/>
      <c r="S93" s="3101"/>
      <c r="T93" s="3101"/>
      <c r="U93" s="3101"/>
      <c r="V93" s="3101"/>
      <c r="W93" s="3101"/>
    </row>
    <row r="94" spans="2:23" ht="18.75" x14ac:dyDescent="0.45">
      <c r="C94" s="2975"/>
      <c r="D94" s="3101" t="s">
        <v>52</v>
      </c>
      <c r="E94" s="3101"/>
      <c r="F94" s="3101"/>
      <c r="G94" s="3101"/>
      <c r="H94" s="3101"/>
      <c r="I94" s="3101"/>
      <c r="J94" s="3101"/>
      <c r="K94" s="3101"/>
      <c r="L94" s="3101"/>
      <c r="M94" s="3101"/>
      <c r="N94" s="3101"/>
      <c r="O94" s="3101"/>
      <c r="P94" s="3101"/>
      <c r="Q94" s="3101"/>
      <c r="R94" s="3101"/>
      <c r="S94" s="3101"/>
      <c r="T94" s="3101"/>
      <c r="U94" s="3101"/>
      <c r="V94" s="3101"/>
      <c r="W94" s="3101"/>
    </row>
    <row r="95" spans="2:23" ht="18.75" x14ac:dyDescent="0.45">
      <c r="C95" s="2975"/>
      <c r="D95" s="3101" t="s">
        <v>2240</v>
      </c>
      <c r="E95" s="3101"/>
      <c r="F95" s="3101"/>
      <c r="G95" s="3101"/>
      <c r="H95" s="3101"/>
      <c r="I95" s="3101"/>
      <c r="J95" s="3101"/>
      <c r="K95" s="3101"/>
      <c r="L95" s="3101"/>
      <c r="M95" s="3101"/>
      <c r="N95" s="3101"/>
      <c r="O95" s="3101"/>
      <c r="P95" s="3101"/>
      <c r="Q95" s="3101"/>
      <c r="R95" s="3101"/>
      <c r="S95" s="3101"/>
      <c r="T95" s="3101"/>
      <c r="U95" s="3101"/>
      <c r="V95" s="3101"/>
      <c r="W95" s="3101"/>
    </row>
    <row r="96" spans="2:23" ht="4.9000000000000004" customHeight="1" x14ac:dyDescent="0.4">
      <c r="C96" s="2975"/>
      <c r="D96" s="3102"/>
      <c r="E96" s="3102"/>
      <c r="F96" s="3102"/>
      <c r="G96" s="3102"/>
      <c r="H96" s="3102"/>
      <c r="I96" s="3102"/>
      <c r="J96" s="3102"/>
      <c r="K96" s="3102"/>
      <c r="L96" s="3030"/>
      <c r="M96" s="3030"/>
      <c r="N96" s="2960"/>
      <c r="O96" s="2960"/>
      <c r="P96" s="2960"/>
      <c r="Q96" s="2960"/>
      <c r="R96" s="2961"/>
      <c r="S96" s="2961"/>
      <c r="T96" s="2961"/>
      <c r="U96" s="2961"/>
      <c r="V96" s="2961"/>
      <c r="W96" s="2961"/>
    </row>
    <row r="97" spans="2:23" x14ac:dyDescent="0.35">
      <c r="B97" s="2989"/>
      <c r="C97" s="3010"/>
      <c r="D97" s="3125" t="s">
        <v>1072</v>
      </c>
      <c r="E97" s="3125"/>
      <c r="F97" s="3125"/>
      <c r="G97" s="3125"/>
      <c r="H97" s="3125"/>
      <c r="I97" s="3011"/>
      <c r="J97" s="3011"/>
      <c r="K97" s="3011"/>
      <c r="L97" s="3011"/>
      <c r="M97" s="3011"/>
      <c r="N97" s="3011"/>
      <c r="O97" s="3011"/>
      <c r="P97" s="3011"/>
      <c r="Q97" s="3011"/>
      <c r="R97" s="3012"/>
      <c r="S97" s="3012"/>
      <c r="T97" s="3012"/>
      <c r="U97" s="3012"/>
      <c r="V97" s="3126" t="s">
        <v>194</v>
      </c>
      <c r="W97" s="3126"/>
    </row>
    <row r="98" spans="2:23" ht="45" customHeight="1" x14ac:dyDescent="0.35">
      <c r="B98" s="3120" t="s">
        <v>1294</v>
      </c>
      <c r="C98" s="3110" t="s">
        <v>1185</v>
      </c>
      <c r="D98" s="4286" t="s">
        <v>53</v>
      </c>
      <c r="E98" s="4286" t="s">
        <v>54</v>
      </c>
      <c r="F98" s="4301" t="s">
        <v>55</v>
      </c>
      <c r="G98" s="4300" t="s">
        <v>56</v>
      </c>
      <c r="H98" s="4293" t="s">
        <v>1018</v>
      </c>
      <c r="I98" s="4291" t="s">
        <v>57</v>
      </c>
      <c r="J98" s="3117"/>
      <c r="K98" s="4292"/>
      <c r="L98" s="4288" t="s">
        <v>2234</v>
      </c>
      <c r="M98" s="4289"/>
      <c r="N98" s="4303"/>
      <c r="O98" s="4302" t="s">
        <v>2235</v>
      </c>
      <c r="P98" s="3116"/>
      <c r="Q98" s="3119"/>
      <c r="R98" s="3107" t="s">
        <v>58</v>
      </c>
      <c r="S98" s="3107" t="s">
        <v>59</v>
      </c>
      <c r="T98" s="3107" t="s">
        <v>60</v>
      </c>
      <c r="U98" s="3107" t="s">
        <v>61</v>
      </c>
      <c r="V98" s="3107" t="s">
        <v>1295</v>
      </c>
      <c r="W98" s="3107" t="s">
        <v>62</v>
      </c>
    </row>
    <row r="99" spans="2:23" ht="44.45" customHeight="1" x14ac:dyDescent="0.35">
      <c r="B99" s="3121"/>
      <c r="C99" s="3122"/>
      <c r="D99" s="4287"/>
      <c r="E99" s="4287"/>
      <c r="F99" s="4285"/>
      <c r="G99" s="4283"/>
      <c r="H99" s="4294"/>
      <c r="I99" s="2967" t="s">
        <v>998</v>
      </c>
      <c r="J99" s="3033" t="s">
        <v>999</v>
      </c>
      <c r="K99" s="2968" t="s">
        <v>1303</v>
      </c>
      <c r="L99" s="2967" t="s">
        <v>998</v>
      </c>
      <c r="M99" s="3033" t="s">
        <v>999</v>
      </c>
      <c r="N99" s="3035" t="s">
        <v>1799</v>
      </c>
      <c r="O99" s="2968" t="s">
        <v>998</v>
      </c>
      <c r="P99" s="2968" t="s">
        <v>999</v>
      </c>
      <c r="Q99" s="2968" t="s">
        <v>417</v>
      </c>
      <c r="R99" s="3108"/>
      <c r="S99" s="3108"/>
      <c r="T99" s="3108"/>
      <c r="U99" s="3108"/>
      <c r="V99" s="3109"/>
      <c r="W99" s="3108"/>
    </row>
    <row r="100" spans="2:23" ht="20.25" customHeight="1" x14ac:dyDescent="0.35">
      <c r="B100" s="3160" t="s">
        <v>962</v>
      </c>
      <c r="C100" s="3161"/>
      <c r="D100" s="3161"/>
      <c r="E100" s="3162"/>
      <c r="F100" s="3034"/>
      <c r="G100" s="2972">
        <f t="shared" ref="G100:Q100" si="21">G87</f>
        <v>177646236000000</v>
      </c>
      <c r="H100" s="2972">
        <f t="shared" si="21"/>
        <v>54766678000000</v>
      </c>
      <c r="I100" s="2972">
        <f t="shared" si="21"/>
        <v>45381151000000</v>
      </c>
      <c r="J100" s="2972"/>
      <c r="K100" s="2972">
        <f t="shared" si="21"/>
        <v>45381151000000</v>
      </c>
      <c r="L100" s="2972">
        <f>L87</f>
        <v>16076214000000</v>
      </c>
      <c r="M100" s="2972">
        <f>M87</f>
        <v>0</v>
      </c>
      <c r="N100" s="2972">
        <f t="shared" ref="N100" si="22">N87</f>
        <v>16076214000000</v>
      </c>
      <c r="O100" s="2972">
        <f t="shared" si="21"/>
        <v>300145000000</v>
      </c>
      <c r="P100" s="2972">
        <f t="shared" si="21"/>
        <v>1605043000000</v>
      </c>
      <c r="Q100" s="2972">
        <f t="shared" si="21"/>
        <v>1905188000000</v>
      </c>
      <c r="R100" s="3034"/>
      <c r="S100" s="3034"/>
      <c r="T100" s="3034"/>
      <c r="U100" s="3112" t="s">
        <v>65</v>
      </c>
      <c r="V100" s="3127" t="s">
        <v>1296</v>
      </c>
      <c r="W100" s="3112" t="s">
        <v>1304</v>
      </c>
    </row>
    <row r="101" spans="2:23" ht="20.25" customHeight="1" x14ac:dyDescent="0.35">
      <c r="B101" s="2997">
        <v>44</v>
      </c>
      <c r="C101" s="3110" t="s">
        <v>1299</v>
      </c>
      <c r="D101" s="3037" t="s">
        <v>292</v>
      </c>
      <c r="E101" s="2971" t="s">
        <v>1105</v>
      </c>
      <c r="F101" s="2970" t="s">
        <v>1107</v>
      </c>
      <c r="G101" s="2972">
        <v>208000000000</v>
      </c>
      <c r="H101" s="2972"/>
      <c r="I101" s="2972"/>
      <c r="J101" s="2972"/>
      <c r="K101" s="2972"/>
      <c r="L101" s="2972"/>
      <c r="M101" s="2972"/>
      <c r="N101" s="2972"/>
      <c r="O101" s="2972">
        <v>10000000000</v>
      </c>
      <c r="P101" s="2972"/>
      <c r="Q101" s="2972">
        <f>O101+P101</f>
        <v>10000000000</v>
      </c>
      <c r="R101" s="2970">
        <v>1</v>
      </c>
      <c r="S101" s="2970">
        <v>1400</v>
      </c>
      <c r="T101" s="3036">
        <v>1402</v>
      </c>
      <c r="U101" s="3113"/>
      <c r="V101" s="3128"/>
      <c r="W101" s="3113"/>
    </row>
    <row r="102" spans="2:23" ht="20.25" customHeight="1" x14ac:dyDescent="0.35">
      <c r="B102" s="2997">
        <v>45</v>
      </c>
      <c r="C102" s="3111"/>
      <c r="D102" s="3037" t="s">
        <v>634</v>
      </c>
      <c r="E102" s="2971" t="s">
        <v>659</v>
      </c>
      <c r="F102" s="2970" t="s">
        <v>1107</v>
      </c>
      <c r="G102" s="2972">
        <v>601338000000</v>
      </c>
      <c r="H102" s="2972"/>
      <c r="I102" s="2972"/>
      <c r="J102" s="2972"/>
      <c r="K102" s="2972"/>
      <c r="L102" s="2972"/>
      <c r="M102" s="2972"/>
      <c r="N102" s="2972"/>
      <c r="O102" s="2972">
        <v>446000000</v>
      </c>
      <c r="P102" s="2972">
        <v>7500000000</v>
      </c>
      <c r="Q102" s="2972">
        <f t="shared" ref="Q102:Q115" si="23">O102+P102</f>
        <v>7946000000</v>
      </c>
      <c r="R102" s="2970">
        <v>19</v>
      </c>
      <c r="S102" s="2970">
        <v>1390</v>
      </c>
      <c r="T102" s="3036">
        <v>1403</v>
      </c>
      <c r="U102" s="3113"/>
      <c r="V102" s="3128"/>
      <c r="W102" s="3113"/>
    </row>
    <row r="103" spans="2:23" ht="20.25" customHeight="1" x14ac:dyDescent="0.35">
      <c r="B103" s="2997">
        <v>46</v>
      </c>
      <c r="C103" s="3111"/>
      <c r="D103" s="3037" t="s">
        <v>641</v>
      </c>
      <c r="E103" s="2971" t="s">
        <v>660</v>
      </c>
      <c r="F103" s="2970" t="s">
        <v>1107</v>
      </c>
      <c r="G103" s="2992">
        <v>373750000000</v>
      </c>
      <c r="H103" s="2972"/>
      <c r="I103" s="2972"/>
      <c r="J103" s="2972"/>
      <c r="K103" s="2972"/>
      <c r="L103" s="2972"/>
      <c r="M103" s="2972"/>
      <c r="N103" s="2972"/>
      <c r="O103" s="2972">
        <v>8500000000</v>
      </c>
      <c r="P103" s="2972"/>
      <c r="Q103" s="2972">
        <f t="shared" si="23"/>
        <v>8500000000</v>
      </c>
      <c r="R103" s="2982">
        <v>11</v>
      </c>
      <c r="S103" s="2982">
        <v>1392</v>
      </c>
      <c r="T103" s="3032">
        <v>1403</v>
      </c>
      <c r="U103" s="3113"/>
      <c r="V103" s="3128"/>
      <c r="W103" s="3113"/>
    </row>
    <row r="104" spans="2:23" ht="20.25" customHeight="1" x14ac:dyDescent="0.35">
      <c r="B104" s="2997">
        <v>47</v>
      </c>
      <c r="C104" s="3111"/>
      <c r="D104" s="3037" t="s">
        <v>622</v>
      </c>
      <c r="E104" s="2971" t="s">
        <v>814</v>
      </c>
      <c r="F104" s="2970" t="s">
        <v>1107</v>
      </c>
      <c r="G104" s="2972">
        <v>1946746000000</v>
      </c>
      <c r="H104" s="2972"/>
      <c r="I104" s="2972"/>
      <c r="J104" s="2972"/>
      <c r="K104" s="2972"/>
      <c r="L104" s="2972"/>
      <c r="M104" s="2972"/>
      <c r="N104" s="2972"/>
      <c r="O104" s="2972">
        <v>133484000000</v>
      </c>
      <c r="P104" s="2972">
        <v>30091000000</v>
      </c>
      <c r="Q104" s="2972">
        <f t="shared" si="23"/>
        <v>163575000000</v>
      </c>
      <c r="R104" s="2970">
        <v>50</v>
      </c>
      <c r="S104" s="2970">
        <v>1389</v>
      </c>
      <c r="T104" s="3036">
        <v>1403</v>
      </c>
      <c r="U104" s="3113"/>
      <c r="V104" s="3128"/>
      <c r="W104" s="3113"/>
    </row>
    <row r="105" spans="2:23" ht="20.25" customHeight="1" x14ac:dyDescent="0.35">
      <c r="B105" s="2997">
        <v>48</v>
      </c>
      <c r="C105" s="3111"/>
      <c r="D105" s="3013" t="s">
        <v>642</v>
      </c>
      <c r="E105" s="2971" t="s">
        <v>815</v>
      </c>
      <c r="F105" s="2970" t="s">
        <v>1107</v>
      </c>
      <c r="G105" s="2993">
        <v>1008928000000</v>
      </c>
      <c r="H105" s="2972"/>
      <c r="I105" s="2972"/>
      <c r="J105" s="2972"/>
      <c r="K105" s="2972"/>
      <c r="L105" s="2972"/>
      <c r="M105" s="2972"/>
      <c r="N105" s="2972"/>
      <c r="O105" s="3014">
        <v>62065000000</v>
      </c>
      <c r="P105" s="2972">
        <v>30000000000</v>
      </c>
      <c r="Q105" s="2972">
        <f t="shared" si="23"/>
        <v>92065000000</v>
      </c>
      <c r="R105" s="2970">
        <v>20</v>
      </c>
      <c r="S105" s="2970">
        <v>1393</v>
      </c>
      <c r="T105" s="3036">
        <v>1403</v>
      </c>
      <c r="U105" s="3113"/>
      <c r="V105" s="3128"/>
      <c r="W105" s="3113"/>
    </row>
    <row r="106" spans="2:23" ht="20.25" customHeight="1" x14ac:dyDescent="0.35">
      <c r="B106" s="2997">
        <v>49</v>
      </c>
      <c r="C106" s="3111"/>
      <c r="D106" s="3015" t="s">
        <v>623</v>
      </c>
      <c r="E106" s="2971" t="s">
        <v>816</v>
      </c>
      <c r="F106" s="2970" t="s">
        <v>1107</v>
      </c>
      <c r="G106" s="2993">
        <v>152566000000</v>
      </c>
      <c r="H106" s="2972"/>
      <c r="I106" s="2972"/>
      <c r="J106" s="2972"/>
      <c r="K106" s="2972"/>
      <c r="L106" s="2972"/>
      <c r="M106" s="2972"/>
      <c r="N106" s="2972"/>
      <c r="O106" s="3014">
        <v>5552000000</v>
      </c>
      <c r="P106" s="2972"/>
      <c r="Q106" s="2972">
        <f t="shared" si="23"/>
        <v>5552000000</v>
      </c>
      <c r="R106" s="2984">
        <v>6</v>
      </c>
      <c r="S106" s="2984">
        <v>1387</v>
      </c>
      <c r="T106" s="2995">
        <v>1403</v>
      </c>
      <c r="U106" s="3113"/>
      <c r="V106" s="3128"/>
      <c r="W106" s="3113"/>
    </row>
    <row r="107" spans="2:23" ht="20.25" customHeight="1" x14ac:dyDescent="0.35">
      <c r="B107" s="2997">
        <v>50</v>
      </c>
      <c r="C107" s="3111"/>
      <c r="D107" s="3037" t="s">
        <v>633</v>
      </c>
      <c r="E107" s="2983" t="s">
        <v>817</v>
      </c>
      <c r="F107" s="2970" t="s">
        <v>1107</v>
      </c>
      <c r="G107" s="2980">
        <v>1294650000000</v>
      </c>
      <c r="H107" s="2972"/>
      <c r="I107" s="2972"/>
      <c r="J107" s="2972"/>
      <c r="K107" s="2972"/>
      <c r="L107" s="2972"/>
      <c r="M107" s="2972"/>
      <c r="N107" s="2972"/>
      <c r="O107" s="3014">
        <v>1297000000</v>
      </c>
      <c r="P107" s="2972"/>
      <c r="Q107" s="2972">
        <f t="shared" si="23"/>
        <v>1297000000</v>
      </c>
      <c r="R107" s="2984">
        <v>5</v>
      </c>
      <c r="S107" s="2984">
        <v>1390</v>
      </c>
      <c r="T107" s="2995">
        <v>1403</v>
      </c>
      <c r="U107" s="3113"/>
      <c r="V107" s="3128"/>
      <c r="W107" s="3113"/>
    </row>
    <row r="108" spans="2:23" ht="20.25" customHeight="1" x14ac:dyDescent="0.35">
      <c r="B108" s="2997">
        <v>51</v>
      </c>
      <c r="C108" s="3111"/>
      <c r="D108" s="3037" t="s">
        <v>624</v>
      </c>
      <c r="E108" s="2990" t="s">
        <v>661</v>
      </c>
      <c r="F108" s="2970" t="s">
        <v>1107</v>
      </c>
      <c r="G108" s="2980">
        <v>823755000000</v>
      </c>
      <c r="H108" s="2972"/>
      <c r="I108" s="2972"/>
      <c r="J108" s="2972"/>
      <c r="K108" s="2972"/>
      <c r="L108" s="2972"/>
      <c r="M108" s="2972"/>
      <c r="N108" s="2972"/>
      <c r="O108" s="3014">
        <v>72215000000</v>
      </c>
      <c r="P108" s="2972">
        <v>10000000000</v>
      </c>
      <c r="Q108" s="2972">
        <f t="shared" si="23"/>
        <v>82215000000</v>
      </c>
      <c r="R108" s="2984">
        <v>17</v>
      </c>
      <c r="S108" s="2984">
        <v>1392</v>
      </c>
      <c r="T108" s="2995">
        <v>1403</v>
      </c>
      <c r="U108" s="3113"/>
      <c r="V108" s="3128"/>
      <c r="W108" s="3113"/>
    </row>
    <row r="109" spans="2:23" ht="20.25" customHeight="1" x14ac:dyDescent="0.35">
      <c r="B109" s="2997">
        <v>52</v>
      </c>
      <c r="C109" s="3111"/>
      <c r="D109" s="3037" t="s">
        <v>625</v>
      </c>
      <c r="E109" s="2990" t="s">
        <v>818</v>
      </c>
      <c r="F109" s="2970" t="s">
        <v>1107</v>
      </c>
      <c r="G109" s="2980">
        <v>724404000000</v>
      </c>
      <c r="H109" s="2972"/>
      <c r="I109" s="2972"/>
      <c r="J109" s="2972"/>
      <c r="K109" s="2972"/>
      <c r="L109" s="2972"/>
      <c r="M109" s="2972"/>
      <c r="N109" s="2972"/>
      <c r="O109" s="3014">
        <v>20510000000</v>
      </c>
      <c r="P109" s="2972"/>
      <c r="Q109" s="2972">
        <f t="shared" si="23"/>
        <v>20510000000</v>
      </c>
      <c r="R109" s="2984">
        <v>17</v>
      </c>
      <c r="S109" s="2984">
        <v>1390</v>
      </c>
      <c r="T109" s="2995">
        <v>1403</v>
      </c>
      <c r="U109" s="3113"/>
      <c r="V109" s="3128"/>
      <c r="W109" s="3113"/>
    </row>
    <row r="110" spans="2:23" ht="20.25" customHeight="1" x14ac:dyDescent="0.35">
      <c r="B110" s="2997">
        <v>53</v>
      </c>
      <c r="C110" s="3111"/>
      <c r="D110" s="3013" t="s">
        <v>677</v>
      </c>
      <c r="E110" s="2990" t="s">
        <v>1106</v>
      </c>
      <c r="F110" s="2970" t="s">
        <v>1107</v>
      </c>
      <c r="G110" s="2980">
        <v>769088000000</v>
      </c>
      <c r="H110" s="2972"/>
      <c r="I110" s="2972"/>
      <c r="J110" s="2972"/>
      <c r="K110" s="2972"/>
      <c r="L110" s="2972"/>
      <c r="M110" s="2972"/>
      <c r="N110" s="2972"/>
      <c r="O110" s="3014">
        <v>20000000000</v>
      </c>
      <c r="P110" s="2972">
        <v>10000000000</v>
      </c>
      <c r="Q110" s="2972">
        <f t="shared" si="23"/>
        <v>30000000000</v>
      </c>
      <c r="R110" s="2979">
        <v>5</v>
      </c>
      <c r="S110" s="2984">
        <v>1391</v>
      </c>
      <c r="T110" s="2995">
        <v>1403</v>
      </c>
      <c r="U110" s="3113"/>
      <c r="V110" s="3128"/>
      <c r="W110" s="3113"/>
    </row>
    <row r="111" spans="2:23" ht="20.25" customHeight="1" x14ac:dyDescent="0.35">
      <c r="B111" s="2997">
        <v>54</v>
      </c>
      <c r="C111" s="3111"/>
      <c r="D111" s="3037" t="s">
        <v>626</v>
      </c>
      <c r="E111" s="2971" t="s">
        <v>662</v>
      </c>
      <c r="F111" s="2970" t="s">
        <v>1107</v>
      </c>
      <c r="G111" s="2980">
        <v>568249000000</v>
      </c>
      <c r="H111" s="2972"/>
      <c r="I111" s="2972"/>
      <c r="J111" s="2972"/>
      <c r="K111" s="2972"/>
      <c r="L111" s="2972"/>
      <c r="M111" s="2972"/>
      <c r="N111" s="2972"/>
      <c r="O111" s="3014">
        <v>18000000000</v>
      </c>
      <c r="P111" s="2972"/>
      <c r="Q111" s="2972">
        <f t="shared" si="23"/>
        <v>18000000000</v>
      </c>
      <c r="R111" s="2984">
        <v>10</v>
      </c>
      <c r="S111" s="2984">
        <v>1384</v>
      </c>
      <c r="T111" s="2995">
        <v>1403</v>
      </c>
      <c r="U111" s="3113"/>
      <c r="V111" s="3128"/>
      <c r="W111" s="3113"/>
    </row>
    <row r="112" spans="2:23" ht="20.25" customHeight="1" x14ac:dyDescent="0.35">
      <c r="B112" s="2997">
        <v>55</v>
      </c>
      <c r="C112" s="3111"/>
      <c r="D112" s="3037" t="s">
        <v>627</v>
      </c>
      <c r="E112" s="2971" t="s">
        <v>819</v>
      </c>
      <c r="F112" s="2970" t="s">
        <v>1107</v>
      </c>
      <c r="G112" s="2980">
        <v>266504000000</v>
      </c>
      <c r="H112" s="2972"/>
      <c r="I112" s="2972"/>
      <c r="J112" s="2972"/>
      <c r="K112" s="2972"/>
      <c r="L112" s="2972"/>
      <c r="M112" s="2972"/>
      <c r="N112" s="2972"/>
      <c r="O112" s="3014">
        <v>6000000000</v>
      </c>
      <c r="P112" s="2972"/>
      <c r="Q112" s="2972">
        <f t="shared" si="23"/>
        <v>6000000000</v>
      </c>
      <c r="R112" s="2984">
        <v>9</v>
      </c>
      <c r="S112" s="2984">
        <v>1396</v>
      </c>
      <c r="T112" s="2995">
        <v>1403</v>
      </c>
      <c r="U112" s="3113"/>
      <c r="V112" s="3128"/>
      <c r="W112" s="3113"/>
    </row>
    <row r="113" spans="2:23" ht="20.25" customHeight="1" x14ac:dyDescent="0.35">
      <c r="B113" s="2997">
        <v>56</v>
      </c>
      <c r="C113" s="3111"/>
      <c r="D113" s="3037" t="s">
        <v>1089</v>
      </c>
      <c r="E113" s="2971" t="s">
        <v>1801</v>
      </c>
      <c r="F113" s="2970" t="s">
        <v>1107</v>
      </c>
      <c r="G113" s="2980">
        <v>160770000000</v>
      </c>
      <c r="H113" s="2972"/>
      <c r="I113" s="2972"/>
      <c r="J113" s="2972"/>
      <c r="K113" s="2972"/>
      <c r="L113" s="2972"/>
      <c r="M113" s="2972"/>
      <c r="N113" s="2972"/>
      <c r="O113" s="3014">
        <v>15000000000</v>
      </c>
      <c r="P113" s="2972"/>
      <c r="Q113" s="2972">
        <f t="shared" si="23"/>
        <v>15000000000</v>
      </c>
      <c r="R113" s="2984">
        <v>1</v>
      </c>
      <c r="S113" s="2984">
        <v>1394</v>
      </c>
      <c r="T113" s="2995">
        <v>1402</v>
      </c>
      <c r="U113" s="3113"/>
      <c r="V113" s="3128"/>
      <c r="W113" s="3113"/>
    </row>
    <row r="114" spans="2:23" ht="20.25" customHeight="1" x14ac:dyDescent="0.35">
      <c r="B114" s="2997">
        <v>57</v>
      </c>
      <c r="C114" s="3111"/>
      <c r="D114" s="2996" t="s">
        <v>1083</v>
      </c>
      <c r="E114" s="2971" t="s">
        <v>1108</v>
      </c>
      <c r="F114" s="2970" t="s">
        <v>1107</v>
      </c>
      <c r="G114" s="2980">
        <v>450718000000</v>
      </c>
      <c r="H114" s="2972"/>
      <c r="I114" s="2972"/>
      <c r="J114" s="2972"/>
      <c r="K114" s="2972"/>
      <c r="L114" s="2972"/>
      <c r="M114" s="2972"/>
      <c r="N114" s="2972"/>
      <c r="O114" s="3014">
        <v>70500000000</v>
      </c>
      <c r="P114" s="2972">
        <v>7500000000</v>
      </c>
      <c r="Q114" s="2972">
        <f t="shared" si="23"/>
        <v>78000000000</v>
      </c>
      <c r="R114" s="2984">
        <v>12</v>
      </c>
      <c r="S114" s="2984">
        <v>1400</v>
      </c>
      <c r="T114" s="2988">
        <v>1402</v>
      </c>
      <c r="U114" s="3113"/>
      <c r="V114" s="3128"/>
      <c r="W114" s="3113"/>
    </row>
    <row r="115" spans="2:23" ht="20.25" customHeight="1" x14ac:dyDescent="0.35">
      <c r="B115" s="2997">
        <v>58</v>
      </c>
      <c r="C115" s="3122"/>
      <c r="D115" s="2970" t="s">
        <v>1080</v>
      </c>
      <c r="E115" s="2971" t="s">
        <v>1109</v>
      </c>
      <c r="F115" s="2970" t="s">
        <v>1107</v>
      </c>
      <c r="G115" s="2972">
        <v>272700000000</v>
      </c>
      <c r="H115" s="2972"/>
      <c r="I115" s="2972"/>
      <c r="J115" s="2972"/>
      <c r="K115" s="2972"/>
      <c r="L115" s="2972"/>
      <c r="M115" s="2972"/>
      <c r="N115" s="2972"/>
      <c r="O115" s="3014">
        <v>29500000000</v>
      </c>
      <c r="P115" s="2972"/>
      <c r="Q115" s="2972">
        <f t="shared" si="23"/>
        <v>29500000000</v>
      </c>
      <c r="R115" s="2984">
        <v>11</v>
      </c>
      <c r="S115" s="2995">
        <v>1400</v>
      </c>
      <c r="T115" s="2970">
        <v>1402</v>
      </c>
      <c r="U115" s="3114"/>
      <c r="V115" s="3129"/>
      <c r="W115" s="3114"/>
    </row>
    <row r="116" spans="2:23" ht="26.45" customHeight="1" x14ac:dyDescent="0.35">
      <c r="B116" s="3104"/>
      <c r="C116" s="3105"/>
      <c r="D116" s="3105"/>
      <c r="E116" s="3106"/>
      <c r="F116" s="2970"/>
      <c r="G116" s="2972">
        <f>SUM(G100:G115)</f>
        <v>187268402000000</v>
      </c>
      <c r="H116" s="2972">
        <f>SUM(H100:H115)</f>
        <v>54766678000000</v>
      </c>
      <c r="I116" s="2972">
        <f>SUM(I100:I115)</f>
        <v>45381151000000</v>
      </c>
      <c r="J116" s="2972"/>
      <c r="K116" s="2972">
        <f t="shared" ref="K116:Q116" si="24">SUM(K100:K115)</f>
        <v>45381151000000</v>
      </c>
      <c r="L116" s="2972">
        <f t="shared" si="24"/>
        <v>16076214000000</v>
      </c>
      <c r="M116" s="2972">
        <f t="shared" si="24"/>
        <v>0</v>
      </c>
      <c r="N116" s="2972">
        <f t="shared" si="24"/>
        <v>16076214000000</v>
      </c>
      <c r="O116" s="2972">
        <f t="shared" si="24"/>
        <v>773214000000</v>
      </c>
      <c r="P116" s="2972">
        <f t="shared" si="24"/>
        <v>1700134000000</v>
      </c>
      <c r="Q116" s="2972">
        <f t="shared" si="24"/>
        <v>2473348000000</v>
      </c>
      <c r="R116" s="4304"/>
      <c r="S116" s="4295"/>
      <c r="T116" s="4295"/>
      <c r="U116" s="4295"/>
      <c r="V116" s="4295"/>
      <c r="W116" s="4296"/>
    </row>
    <row r="117" spans="2:23" ht="17.45" customHeight="1" x14ac:dyDescent="0.45">
      <c r="D117" s="3101">
        <v>11</v>
      </c>
      <c r="E117" s="3101"/>
      <c r="F117" s="3101"/>
      <c r="G117" s="3101"/>
      <c r="H117" s="3101"/>
      <c r="I117" s="3101"/>
      <c r="J117" s="3101"/>
      <c r="K117" s="3101"/>
      <c r="L117" s="3101"/>
      <c r="M117" s="3101"/>
      <c r="N117" s="3101"/>
      <c r="O117" s="3101"/>
      <c r="P117" s="3101"/>
      <c r="Q117" s="3101"/>
      <c r="R117" s="3101"/>
      <c r="S117" s="3101"/>
      <c r="T117" s="3101"/>
      <c r="U117" s="3101"/>
      <c r="V117" s="3101"/>
      <c r="W117" s="3101"/>
    </row>
    <row r="118" spans="2:23" ht="17.45" customHeight="1" x14ac:dyDescent="0.45">
      <c r="D118" s="3101" t="s">
        <v>51</v>
      </c>
      <c r="E118" s="3101"/>
      <c r="F118" s="3101"/>
      <c r="G118" s="3101"/>
      <c r="H118" s="3101"/>
      <c r="I118" s="3101"/>
      <c r="J118" s="3101"/>
      <c r="K118" s="3101"/>
      <c r="L118" s="3101"/>
      <c r="M118" s="3101"/>
      <c r="N118" s="3101"/>
      <c r="O118" s="3101"/>
      <c r="P118" s="3101"/>
      <c r="Q118" s="3101"/>
      <c r="R118" s="3101"/>
      <c r="S118" s="3101"/>
      <c r="T118" s="3101"/>
      <c r="U118" s="3101"/>
      <c r="V118" s="3101"/>
      <c r="W118" s="3101"/>
    </row>
    <row r="119" spans="2:23" ht="17.45" customHeight="1" x14ac:dyDescent="0.45">
      <c r="D119" s="3101" t="s">
        <v>52</v>
      </c>
      <c r="E119" s="3101"/>
      <c r="F119" s="3101"/>
      <c r="G119" s="3101"/>
      <c r="H119" s="3101"/>
      <c r="I119" s="3101"/>
      <c r="J119" s="3101"/>
      <c r="K119" s="3101"/>
      <c r="L119" s="3101"/>
      <c r="M119" s="3101"/>
      <c r="N119" s="3101"/>
      <c r="O119" s="3101"/>
      <c r="P119" s="3101"/>
      <c r="Q119" s="3101"/>
      <c r="R119" s="3101"/>
      <c r="S119" s="3101"/>
      <c r="T119" s="3101"/>
      <c r="U119" s="3101"/>
      <c r="V119" s="3101"/>
      <c r="W119" s="3101"/>
    </row>
    <row r="120" spans="2:23" ht="13.5" customHeight="1" x14ac:dyDescent="0.45">
      <c r="D120" s="3101" t="s">
        <v>2240</v>
      </c>
      <c r="E120" s="3101"/>
      <c r="F120" s="3101"/>
      <c r="G120" s="3101"/>
      <c r="H120" s="3101"/>
      <c r="I120" s="3101"/>
      <c r="J120" s="3101"/>
      <c r="K120" s="3101"/>
      <c r="L120" s="3101"/>
      <c r="M120" s="3101"/>
      <c r="N120" s="3101"/>
      <c r="O120" s="3101"/>
      <c r="P120" s="3101"/>
      <c r="Q120" s="3101"/>
      <c r="R120" s="3101"/>
      <c r="S120" s="3101"/>
      <c r="T120" s="3101"/>
      <c r="U120" s="3101"/>
      <c r="V120" s="3101"/>
      <c r="W120" s="3101"/>
    </row>
    <row r="121" spans="2:23" ht="6" customHeight="1" x14ac:dyDescent="0.4">
      <c r="D121" s="2957"/>
      <c r="E121" s="2958"/>
      <c r="F121" s="2957"/>
      <c r="G121" s="2959"/>
      <c r="H121" s="2959"/>
      <c r="I121" s="2959"/>
      <c r="J121" s="2959"/>
      <c r="K121" s="2959"/>
      <c r="L121" s="2959"/>
      <c r="M121" s="2959"/>
      <c r="N121" s="2959"/>
      <c r="O121" s="2959"/>
      <c r="P121" s="2959"/>
      <c r="Q121" s="2959"/>
      <c r="R121" s="2957"/>
      <c r="S121" s="2957"/>
      <c r="T121" s="2957"/>
      <c r="U121" s="2957"/>
      <c r="V121" s="2957"/>
      <c r="W121" s="2957"/>
    </row>
    <row r="122" spans="2:23" ht="1.1499999999999999" customHeight="1" x14ac:dyDescent="0.4">
      <c r="D122" s="3102"/>
      <c r="E122" s="3102"/>
      <c r="F122" s="3102"/>
      <c r="G122" s="3102"/>
      <c r="H122" s="3102"/>
      <c r="I122" s="3102"/>
      <c r="J122" s="3030"/>
      <c r="K122" s="2960"/>
      <c r="L122" s="2960"/>
      <c r="M122" s="2960"/>
      <c r="N122" s="2960"/>
      <c r="O122" s="2960"/>
      <c r="P122" s="2960"/>
      <c r="Q122" s="2960"/>
      <c r="R122" s="2961"/>
      <c r="S122" s="2961"/>
      <c r="T122" s="2961"/>
      <c r="U122" s="2961"/>
      <c r="V122" s="2961"/>
      <c r="W122" s="2961"/>
    </row>
    <row r="123" spans="2:23" ht="14.45" customHeight="1" x14ac:dyDescent="0.4">
      <c r="D123" s="3123" t="s">
        <v>1072</v>
      </c>
      <c r="E123" s="3123"/>
      <c r="F123" s="3123"/>
      <c r="G123" s="3123"/>
      <c r="H123" s="2962"/>
      <c r="I123" s="2963"/>
      <c r="J123" s="2963"/>
      <c r="K123" s="2963"/>
      <c r="L123" s="2963"/>
      <c r="M123" s="2963"/>
      <c r="N123" s="2963"/>
      <c r="O123" s="2963"/>
      <c r="P123" s="2963"/>
      <c r="Q123" s="2963"/>
      <c r="R123" s="2964"/>
      <c r="S123" s="2964"/>
      <c r="T123" s="2964"/>
      <c r="U123" s="2964"/>
      <c r="V123" s="3103" t="s">
        <v>194</v>
      </c>
      <c r="W123" s="3103"/>
    </row>
    <row r="124" spans="2:23" ht="40.15" customHeight="1" x14ac:dyDescent="0.35">
      <c r="B124" s="3130" t="s">
        <v>1294</v>
      </c>
      <c r="C124" s="3132" t="s">
        <v>1185</v>
      </c>
      <c r="D124" s="3147" t="s">
        <v>53</v>
      </c>
      <c r="E124" s="3147" t="s">
        <v>54</v>
      </c>
      <c r="F124" s="3149" t="s">
        <v>55</v>
      </c>
      <c r="G124" s="3151" t="s">
        <v>56</v>
      </c>
      <c r="H124" s="3143" t="s">
        <v>1018</v>
      </c>
      <c r="I124" s="3164" t="s">
        <v>57</v>
      </c>
      <c r="J124" s="3165"/>
      <c r="K124" s="3166"/>
      <c r="L124" s="3167" t="s">
        <v>2234</v>
      </c>
      <c r="M124" s="3168"/>
      <c r="N124" s="3169"/>
      <c r="O124" s="3145" t="s">
        <v>2235</v>
      </c>
      <c r="P124" s="3144"/>
      <c r="Q124" s="3146"/>
      <c r="R124" s="3140" t="s">
        <v>58</v>
      </c>
      <c r="S124" s="3140" t="s">
        <v>59</v>
      </c>
      <c r="T124" s="3140" t="s">
        <v>60</v>
      </c>
      <c r="U124" s="3140" t="s">
        <v>61</v>
      </c>
      <c r="V124" s="3140" t="s">
        <v>1295</v>
      </c>
      <c r="W124" s="3140" t="s">
        <v>62</v>
      </c>
    </row>
    <row r="125" spans="2:23" ht="45" customHeight="1" x14ac:dyDescent="0.35">
      <c r="B125" s="3131"/>
      <c r="C125" s="3133"/>
      <c r="D125" s="3148"/>
      <c r="E125" s="3148"/>
      <c r="F125" s="3150"/>
      <c r="G125" s="3152"/>
      <c r="H125" s="3163"/>
      <c r="I125" s="3016" t="s">
        <v>998</v>
      </c>
      <c r="J125" s="2978" t="s">
        <v>999</v>
      </c>
      <c r="K125" s="3017" t="s">
        <v>1303</v>
      </c>
      <c r="L125" s="3016" t="s">
        <v>998</v>
      </c>
      <c r="M125" s="3033" t="s">
        <v>999</v>
      </c>
      <c r="N125" s="3031" t="s">
        <v>1799</v>
      </c>
      <c r="O125" s="3017" t="s">
        <v>998</v>
      </c>
      <c r="P125" s="3017" t="s">
        <v>999</v>
      </c>
      <c r="Q125" s="3017" t="s">
        <v>417</v>
      </c>
      <c r="R125" s="3142"/>
      <c r="S125" s="3142"/>
      <c r="T125" s="3142"/>
      <c r="U125" s="3141"/>
      <c r="V125" s="3142"/>
      <c r="W125" s="3141"/>
    </row>
    <row r="126" spans="2:23" ht="22.9" customHeight="1" x14ac:dyDescent="0.35">
      <c r="B126" s="3160" t="s">
        <v>181</v>
      </c>
      <c r="C126" s="3161"/>
      <c r="D126" s="3161"/>
      <c r="E126" s="3162"/>
      <c r="F126" s="3018"/>
      <c r="G126" s="2986">
        <f t="shared" ref="G126:Q126" si="25">G116</f>
        <v>187268402000000</v>
      </c>
      <c r="H126" s="2986">
        <f t="shared" si="25"/>
        <v>54766678000000</v>
      </c>
      <c r="I126" s="2986">
        <f t="shared" si="25"/>
        <v>45381151000000</v>
      </c>
      <c r="J126" s="2986">
        <f t="shared" si="25"/>
        <v>0</v>
      </c>
      <c r="K126" s="2986">
        <f t="shared" si="25"/>
        <v>45381151000000</v>
      </c>
      <c r="L126" s="2986">
        <f t="shared" si="25"/>
        <v>16076214000000</v>
      </c>
      <c r="M126" s="2986">
        <f t="shared" si="25"/>
        <v>0</v>
      </c>
      <c r="N126" s="2986">
        <f t="shared" si="25"/>
        <v>16076214000000</v>
      </c>
      <c r="O126" s="2985">
        <f t="shared" si="25"/>
        <v>773214000000</v>
      </c>
      <c r="P126" s="2985">
        <f t="shared" si="25"/>
        <v>1700134000000</v>
      </c>
      <c r="Q126" s="2985">
        <f t="shared" si="25"/>
        <v>2473348000000</v>
      </c>
      <c r="R126" s="2987"/>
      <c r="S126" s="2987"/>
      <c r="T126" s="2988"/>
      <c r="U126" s="3112" t="s">
        <v>65</v>
      </c>
      <c r="V126" s="3115" t="s">
        <v>1296</v>
      </c>
      <c r="W126" s="3112" t="s">
        <v>1305</v>
      </c>
    </row>
    <row r="127" spans="2:23" s="4312" customFormat="1" ht="22.9" customHeight="1" x14ac:dyDescent="0.35">
      <c r="B127" s="4342">
        <v>1</v>
      </c>
      <c r="C127" s="3110" t="s">
        <v>1187</v>
      </c>
      <c r="D127" s="609" t="s">
        <v>2252</v>
      </c>
      <c r="E127" s="1012" t="s">
        <v>2425</v>
      </c>
      <c r="F127" s="609" t="s">
        <v>2239</v>
      </c>
      <c r="G127" s="1436">
        <v>26331000000</v>
      </c>
      <c r="H127" s="507"/>
      <c r="I127" s="507"/>
      <c r="J127" s="507"/>
      <c r="K127" s="4473">
        <f>J127+I127</f>
        <v>0</v>
      </c>
      <c r="L127" s="4474"/>
      <c r="M127" s="507"/>
      <c r="N127" s="507">
        <f>M127+L127</f>
        <v>0</v>
      </c>
      <c r="O127" s="507"/>
      <c r="P127" s="507"/>
      <c r="Q127" s="507">
        <f>P127+O127</f>
        <v>0</v>
      </c>
      <c r="R127" s="609">
        <v>2</v>
      </c>
      <c r="S127" s="609">
        <v>1396</v>
      </c>
      <c r="T127" s="609">
        <v>1405</v>
      </c>
      <c r="U127" s="3113"/>
      <c r="V127" s="3113"/>
      <c r="W127" s="3113"/>
    </row>
    <row r="128" spans="2:23" s="4312" customFormat="1" ht="22.9" customHeight="1" x14ac:dyDescent="0.35">
      <c r="B128" s="4342"/>
      <c r="C128" s="3111"/>
      <c r="D128" s="609" t="s">
        <v>2069</v>
      </c>
      <c r="E128" s="1012" t="s">
        <v>2422</v>
      </c>
      <c r="F128" s="4344" t="s">
        <v>1107</v>
      </c>
      <c r="G128" s="507">
        <v>3000000000</v>
      </c>
      <c r="H128" s="507"/>
      <c r="I128" s="507"/>
      <c r="J128" s="507"/>
      <c r="K128" s="4473">
        <f t="shared" ref="K128" si="26">J128+I128</f>
        <v>0</v>
      </c>
      <c r="L128" s="507"/>
      <c r="M128" s="507"/>
      <c r="N128" s="507">
        <f t="shared" ref="N128" si="27">M128+L128</f>
        <v>0</v>
      </c>
      <c r="O128" s="507"/>
      <c r="P128" s="507"/>
      <c r="Q128" s="507">
        <f t="shared" ref="Q128" si="28">P128+O128</f>
        <v>0</v>
      </c>
      <c r="R128" s="609">
        <v>3</v>
      </c>
      <c r="S128" s="609">
        <v>1388</v>
      </c>
      <c r="T128" s="609">
        <v>1406</v>
      </c>
      <c r="U128" s="3113"/>
      <c r="V128" s="3113"/>
      <c r="W128" s="3113"/>
    </row>
    <row r="129" spans="2:23" s="4312" customFormat="1" ht="22.9" customHeight="1" x14ac:dyDescent="0.35">
      <c r="B129" s="4342"/>
      <c r="C129" s="3111"/>
      <c r="D129" s="609">
        <v>1307002010</v>
      </c>
      <c r="E129" s="1012" t="s">
        <v>79</v>
      </c>
      <c r="F129" s="609" t="s">
        <v>2254</v>
      </c>
      <c r="G129" s="507">
        <v>798892000000</v>
      </c>
      <c r="H129" s="507">
        <v>20210000000</v>
      </c>
      <c r="I129" s="507"/>
      <c r="J129" s="507"/>
      <c r="K129" s="4473">
        <f t="shared" ref="K129:K143" si="29">J129+I129</f>
        <v>0</v>
      </c>
      <c r="L129" s="507"/>
      <c r="M129" s="507"/>
      <c r="N129" s="507">
        <f t="shared" ref="N129:N143" si="30">M129+L129</f>
        <v>0</v>
      </c>
      <c r="O129" s="507"/>
      <c r="P129" s="507"/>
      <c r="Q129" s="507">
        <f t="shared" ref="Q129:Q143" si="31">P129+O129</f>
        <v>0</v>
      </c>
      <c r="R129" s="609">
        <v>2</v>
      </c>
      <c r="S129" s="609">
        <v>1385</v>
      </c>
      <c r="T129" s="609">
        <v>1407</v>
      </c>
      <c r="U129" s="3113"/>
      <c r="V129" s="3113"/>
      <c r="W129" s="3113"/>
    </row>
    <row r="130" spans="2:23" s="4312" customFormat="1" ht="22.9" customHeight="1" x14ac:dyDescent="0.35">
      <c r="B130" s="4342"/>
      <c r="C130" s="3111"/>
      <c r="D130" s="609">
        <v>1503002046</v>
      </c>
      <c r="E130" s="1012" t="s">
        <v>2418</v>
      </c>
      <c r="F130" s="609" t="s">
        <v>2254</v>
      </c>
      <c r="G130" s="507">
        <v>281518000000</v>
      </c>
      <c r="H130" s="507">
        <v>30000000000</v>
      </c>
      <c r="I130" s="507"/>
      <c r="J130" s="507"/>
      <c r="K130" s="4473">
        <f t="shared" si="29"/>
        <v>0</v>
      </c>
      <c r="L130" s="507"/>
      <c r="M130" s="507"/>
      <c r="N130" s="507">
        <f t="shared" si="30"/>
        <v>0</v>
      </c>
      <c r="O130" s="507"/>
      <c r="P130" s="507"/>
      <c r="Q130" s="507">
        <f t="shared" si="31"/>
        <v>0</v>
      </c>
      <c r="R130" s="609">
        <v>1</v>
      </c>
      <c r="S130" s="609">
        <v>1367</v>
      </c>
      <c r="T130" s="609">
        <v>1408</v>
      </c>
      <c r="U130" s="4349" t="s">
        <v>2419</v>
      </c>
      <c r="V130" s="3113"/>
      <c r="W130" s="3113"/>
    </row>
    <row r="131" spans="2:23" s="4312" customFormat="1" ht="22.9" customHeight="1" x14ac:dyDescent="0.35">
      <c r="B131" s="4342"/>
      <c r="C131" s="3111"/>
      <c r="D131" s="4475">
        <v>1503002096</v>
      </c>
      <c r="E131" s="4476" t="s">
        <v>2255</v>
      </c>
      <c r="F131" s="4344" t="s">
        <v>2236</v>
      </c>
      <c r="G131" s="4477">
        <v>5726000000</v>
      </c>
      <c r="H131" s="507"/>
      <c r="I131" s="507"/>
      <c r="J131" s="507"/>
      <c r="K131" s="4473">
        <f t="shared" si="29"/>
        <v>0</v>
      </c>
      <c r="L131" s="507"/>
      <c r="M131" s="507"/>
      <c r="N131" s="507">
        <f t="shared" si="30"/>
        <v>0</v>
      </c>
      <c r="O131" s="507"/>
      <c r="P131" s="507"/>
      <c r="Q131" s="507">
        <f t="shared" si="31"/>
        <v>0</v>
      </c>
      <c r="R131" s="609">
        <v>1</v>
      </c>
      <c r="S131" s="609">
        <v>1382</v>
      </c>
      <c r="T131" s="609">
        <v>1405</v>
      </c>
      <c r="U131" s="3113" t="s">
        <v>65</v>
      </c>
      <c r="V131" s="3113"/>
      <c r="W131" s="3113"/>
    </row>
    <row r="132" spans="2:23" s="4312" customFormat="1" ht="22.9" customHeight="1" x14ac:dyDescent="0.35">
      <c r="B132" s="4342"/>
      <c r="C132" s="3111"/>
      <c r="D132" s="609">
        <v>1503002173</v>
      </c>
      <c r="E132" s="1012" t="s">
        <v>2415</v>
      </c>
      <c r="F132" s="609" t="s">
        <v>2254</v>
      </c>
      <c r="G132" s="507">
        <v>134608000000</v>
      </c>
      <c r="H132" s="507">
        <v>10000000000</v>
      </c>
      <c r="I132" s="507"/>
      <c r="J132" s="507"/>
      <c r="K132" s="4473">
        <f t="shared" si="29"/>
        <v>0</v>
      </c>
      <c r="L132" s="507"/>
      <c r="M132" s="507"/>
      <c r="N132" s="507">
        <f t="shared" si="30"/>
        <v>0</v>
      </c>
      <c r="O132" s="507"/>
      <c r="P132" s="507"/>
      <c r="Q132" s="507">
        <f t="shared" si="31"/>
        <v>0</v>
      </c>
      <c r="R132" s="4433">
        <v>1</v>
      </c>
      <c r="S132" s="4433">
        <v>1381</v>
      </c>
      <c r="T132" s="4434">
        <v>1407</v>
      </c>
      <c r="U132" s="3113"/>
      <c r="V132" s="3113"/>
      <c r="W132" s="3113"/>
    </row>
    <row r="133" spans="2:23" s="4312" customFormat="1" ht="22.9" customHeight="1" x14ac:dyDescent="0.35">
      <c r="B133" s="4342"/>
      <c r="C133" s="3111"/>
      <c r="D133" s="609">
        <v>1503002067</v>
      </c>
      <c r="E133" s="1012" t="s">
        <v>2256</v>
      </c>
      <c r="F133" s="609" t="s">
        <v>2254</v>
      </c>
      <c r="G133" s="507">
        <v>5934000000</v>
      </c>
      <c r="H133" s="507"/>
      <c r="I133" s="507"/>
      <c r="J133" s="507"/>
      <c r="K133" s="4473">
        <f t="shared" si="29"/>
        <v>0</v>
      </c>
      <c r="L133" s="507"/>
      <c r="M133" s="507"/>
      <c r="N133" s="507">
        <f t="shared" si="30"/>
        <v>0</v>
      </c>
      <c r="O133" s="507"/>
      <c r="P133" s="507"/>
      <c r="Q133" s="507">
        <f t="shared" si="31"/>
        <v>0</v>
      </c>
      <c r="R133" s="609">
        <v>1</v>
      </c>
      <c r="S133" s="609">
        <v>1388</v>
      </c>
      <c r="T133" s="609">
        <v>1406</v>
      </c>
      <c r="U133" s="3113"/>
      <c r="V133" s="3113"/>
      <c r="W133" s="3113"/>
    </row>
    <row r="134" spans="2:23" s="4341" customFormat="1" ht="22.9" customHeight="1" x14ac:dyDescent="0.35">
      <c r="B134" s="4463"/>
      <c r="C134" s="3111"/>
      <c r="D134" s="4468">
        <v>1503003006</v>
      </c>
      <c r="E134" s="4465" t="s">
        <v>663</v>
      </c>
      <c r="F134" s="4469" t="s">
        <v>2237</v>
      </c>
      <c r="G134" s="4467">
        <v>6086003000000</v>
      </c>
      <c r="H134" s="4467">
        <v>12378000000</v>
      </c>
      <c r="I134" s="4467">
        <v>12378000000</v>
      </c>
      <c r="J134" s="4467"/>
      <c r="K134" s="4470">
        <f t="shared" si="29"/>
        <v>12378000000</v>
      </c>
      <c r="L134" s="4467">
        <v>12378000000</v>
      </c>
      <c r="M134" s="4467"/>
      <c r="N134" s="4467">
        <f t="shared" si="30"/>
        <v>12378000000</v>
      </c>
      <c r="O134" s="4467"/>
      <c r="P134" s="4467"/>
      <c r="Q134" s="4467">
        <f t="shared" si="31"/>
        <v>0</v>
      </c>
      <c r="R134" s="4471">
        <v>33</v>
      </c>
      <c r="S134" s="4471">
        <v>1393</v>
      </c>
      <c r="T134" s="4472">
        <v>1407</v>
      </c>
      <c r="U134" s="3113"/>
      <c r="V134" s="3113"/>
      <c r="W134" s="3113"/>
    </row>
    <row r="135" spans="2:23" s="4312" customFormat="1" ht="22.9" customHeight="1" x14ac:dyDescent="0.35">
      <c r="B135" s="4342"/>
      <c r="C135" s="3111"/>
      <c r="D135" s="689" t="s">
        <v>2049</v>
      </c>
      <c r="E135" s="1012" t="s">
        <v>2411</v>
      </c>
      <c r="F135" s="609" t="s">
        <v>2239</v>
      </c>
      <c r="G135" s="507">
        <v>243550000000</v>
      </c>
      <c r="H135" s="507">
        <v>150000000000</v>
      </c>
      <c r="I135" s="507"/>
      <c r="J135" s="507"/>
      <c r="K135" s="4473">
        <f t="shared" si="29"/>
        <v>0</v>
      </c>
      <c r="L135" s="507"/>
      <c r="M135" s="507"/>
      <c r="N135" s="507">
        <f t="shared" si="30"/>
        <v>0</v>
      </c>
      <c r="O135" s="507"/>
      <c r="P135" s="507"/>
      <c r="Q135" s="507">
        <f t="shared" si="31"/>
        <v>0</v>
      </c>
      <c r="R135" s="609">
        <v>11</v>
      </c>
      <c r="S135" s="609">
        <v>1385</v>
      </c>
      <c r="T135" s="609">
        <v>1403</v>
      </c>
      <c r="U135" s="3113"/>
      <c r="V135" s="3113"/>
      <c r="W135" s="3113"/>
    </row>
    <row r="136" spans="2:23" s="4312" customFormat="1" ht="22.9" customHeight="1" x14ac:dyDescent="0.35">
      <c r="B136" s="4342"/>
      <c r="C136" s="3111"/>
      <c r="D136" s="609" t="s">
        <v>2053</v>
      </c>
      <c r="E136" s="1012" t="s">
        <v>2401</v>
      </c>
      <c r="F136" s="4344" t="s">
        <v>1107</v>
      </c>
      <c r="G136" s="507">
        <v>1000000000</v>
      </c>
      <c r="H136" s="507"/>
      <c r="I136" s="507"/>
      <c r="J136" s="507"/>
      <c r="K136" s="4473">
        <f t="shared" si="29"/>
        <v>0</v>
      </c>
      <c r="L136" s="507"/>
      <c r="M136" s="507"/>
      <c r="N136" s="507">
        <f t="shared" si="30"/>
        <v>0</v>
      </c>
      <c r="O136" s="507"/>
      <c r="P136" s="507"/>
      <c r="Q136" s="507">
        <f t="shared" si="31"/>
        <v>0</v>
      </c>
      <c r="R136" s="609">
        <v>8</v>
      </c>
      <c r="S136" s="609">
        <v>1390</v>
      </c>
      <c r="T136" s="609">
        <v>1406</v>
      </c>
      <c r="U136" s="3113"/>
      <c r="V136" s="3113"/>
      <c r="W136" s="3113"/>
    </row>
    <row r="137" spans="2:23" s="4312" customFormat="1" ht="22.9" customHeight="1" x14ac:dyDescent="0.35">
      <c r="B137" s="4342"/>
      <c r="C137" s="3111"/>
      <c r="D137" s="609" t="s">
        <v>2058</v>
      </c>
      <c r="E137" s="1012" t="s">
        <v>2400</v>
      </c>
      <c r="F137" s="609" t="s">
        <v>2239</v>
      </c>
      <c r="G137" s="507">
        <v>200000000</v>
      </c>
      <c r="H137" s="507"/>
      <c r="I137" s="507"/>
      <c r="J137" s="507"/>
      <c r="K137" s="4473">
        <f t="shared" si="29"/>
        <v>0</v>
      </c>
      <c r="L137" s="507"/>
      <c r="M137" s="507"/>
      <c r="N137" s="507">
        <f t="shared" si="30"/>
        <v>0</v>
      </c>
      <c r="O137" s="507"/>
      <c r="P137" s="507"/>
      <c r="Q137" s="507">
        <f t="shared" si="31"/>
        <v>0</v>
      </c>
      <c r="R137" s="609">
        <v>15</v>
      </c>
      <c r="S137" s="609">
        <v>1390</v>
      </c>
      <c r="T137" s="609">
        <v>1405</v>
      </c>
      <c r="U137" s="3113"/>
      <c r="V137" s="3113"/>
      <c r="W137" s="3113"/>
    </row>
    <row r="138" spans="2:23" s="4312" customFormat="1" ht="22.9" customHeight="1" x14ac:dyDescent="0.35">
      <c r="B138" s="4342"/>
      <c r="C138" s="3111"/>
      <c r="D138" s="609" t="s">
        <v>2051</v>
      </c>
      <c r="E138" s="1012" t="s">
        <v>2399</v>
      </c>
      <c r="F138" s="4407" t="s">
        <v>80</v>
      </c>
      <c r="G138" s="507">
        <v>1500000000</v>
      </c>
      <c r="H138" s="507"/>
      <c r="I138" s="507"/>
      <c r="J138" s="507"/>
      <c r="K138" s="4473">
        <f t="shared" si="29"/>
        <v>0</v>
      </c>
      <c r="L138" s="507"/>
      <c r="M138" s="507"/>
      <c r="N138" s="507">
        <f t="shared" si="30"/>
        <v>0</v>
      </c>
      <c r="O138" s="507"/>
      <c r="P138" s="507"/>
      <c r="Q138" s="507">
        <f t="shared" si="31"/>
        <v>0</v>
      </c>
      <c r="R138" s="609">
        <v>7</v>
      </c>
      <c r="S138" s="609">
        <v>1393</v>
      </c>
      <c r="T138" s="609">
        <v>1404</v>
      </c>
      <c r="U138" s="3113"/>
      <c r="V138" s="3113"/>
      <c r="W138" s="3113"/>
    </row>
    <row r="139" spans="2:23" s="4312" customFormat="1" ht="22.9" customHeight="1" x14ac:dyDescent="0.35">
      <c r="B139" s="4342"/>
      <c r="C139" s="3111"/>
      <c r="D139" s="609" t="s">
        <v>2050</v>
      </c>
      <c r="E139" s="1012" t="s">
        <v>2397</v>
      </c>
      <c r="F139" s="4344" t="s">
        <v>1107</v>
      </c>
      <c r="G139" s="507">
        <v>995932000000</v>
      </c>
      <c r="H139" s="507"/>
      <c r="I139" s="507"/>
      <c r="J139" s="507"/>
      <c r="K139" s="4473">
        <f t="shared" si="29"/>
        <v>0</v>
      </c>
      <c r="L139" s="507"/>
      <c r="M139" s="507"/>
      <c r="N139" s="507">
        <f t="shared" si="30"/>
        <v>0</v>
      </c>
      <c r="O139" s="507"/>
      <c r="P139" s="507"/>
      <c r="Q139" s="507">
        <f t="shared" si="31"/>
        <v>0</v>
      </c>
      <c r="R139" s="609">
        <v>35</v>
      </c>
      <c r="S139" s="609">
        <v>1389</v>
      </c>
      <c r="T139" s="609">
        <v>1407</v>
      </c>
      <c r="U139" s="3113"/>
      <c r="V139" s="3113"/>
      <c r="W139" s="3113"/>
    </row>
    <row r="140" spans="2:23" s="4312" customFormat="1" ht="22.9" customHeight="1" x14ac:dyDescent="0.35">
      <c r="B140" s="4342"/>
      <c r="C140" s="3111"/>
      <c r="D140" s="609" t="s">
        <v>2055</v>
      </c>
      <c r="E140" s="1012" t="s">
        <v>2396</v>
      </c>
      <c r="F140" s="4344" t="s">
        <v>80</v>
      </c>
      <c r="G140" s="507">
        <v>9000000000</v>
      </c>
      <c r="H140" s="507"/>
      <c r="I140" s="507"/>
      <c r="J140" s="507"/>
      <c r="K140" s="4473">
        <f t="shared" si="29"/>
        <v>0</v>
      </c>
      <c r="L140" s="507"/>
      <c r="M140" s="507"/>
      <c r="N140" s="507">
        <f t="shared" si="30"/>
        <v>0</v>
      </c>
      <c r="O140" s="507"/>
      <c r="P140" s="507"/>
      <c r="Q140" s="507">
        <f t="shared" si="31"/>
        <v>0</v>
      </c>
      <c r="R140" s="609">
        <v>11</v>
      </c>
      <c r="S140" s="609">
        <v>1396</v>
      </c>
      <c r="T140" s="609">
        <v>1407</v>
      </c>
      <c r="U140" s="3113"/>
      <c r="V140" s="3113"/>
      <c r="W140" s="3113"/>
    </row>
    <row r="141" spans="2:23" s="4312" customFormat="1" ht="22.9" customHeight="1" x14ac:dyDescent="0.35">
      <c r="B141" s="4342"/>
      <c r="C141" s="3111"/>
      <c r="D141" s="2932" t="s">
        <v>2056</v>
      </c>
      <c r="E141" s="1012" t="s">
        <v>2391</v>
      </c>
      <c r="F141" s="4433" t="s">
        <v>80</v>
      </c>
      <c r="G141" s="613">
        <v>54250000000</v>
      </c>
      <c r="H141" s="613"/>
      <c r="I141" s="507"/>
      <c r="J141" s="507"/>
      <c r="K141" s="4473">
        <f t="shared" si="29"/>
        <v>0</v>
      </c>
      <c r="L141" s="507"/>
      <c r="M141" s="507"/>
      <c r="N141" s="507">
        <f t="shared" si="30"/>
        <v>0</v>
      </c>
      <c r="O141" s="507"/>
      <c r="P141" s="507"/>
      <c r="Q141" s="507">
        <f t="shared" si="31"/>
        <v>0</v>
      </c>
      <c r="R141" s="609">
        <v>1</v>
      </c>
      <c r="S141" s="609">
        <v>1390</v>
      </c>
      <c r="T141" s="609">
        <v>1404</v>
      </c>
      <c r="U141" s="3113"/>
      <c r="V141" s="3113"/>
      <c r="W141" s="3113"/>
    </row>
    <row r="142" spans="2:23" s="4479" customFormat="1" ht="22.9" customHeight="1" x14ac:dyDescent="0.2">
      <c r="B142" s="4462"/>
      <c r="C142" s="3111"/>
      <c r="D142" s="609" t="s">
        <v>2061</v>
      </c>
      <c r="E142" s="1012" t="s">
        <v>2390</v>
      </c>
      <c r="F142" s="4409" t="s">
        <v>80</v>
      </c>
      <c r="G142" s="507">
        <v>43449000000</v>
      </c>
      <c r="H142" s="507">
        <v>10000000000</v>
      </c>
      <c r="I142" s="507">
        <v>7500000000</v>
      </c>
      <c r="J142" s="507"/>
      <c r="K142" s="4478">
        <f t="shared" si="29"/>
        <v>7500000000</v>
      </c>
      <c r="L142" s="4478">
        <f t="shared" ref="L142" si="32">K142+J142</f>
        <v>7500000000</v>
      </c>
      <c r="M142" s="507"/>
      <c r="N142" s="507">
        <f t="shared" si="30"/>
        <v>7500000000</v>
      </c>
      <c r="O142" s="507"/>
      <c r="P142" s="507"/>
      <c r="Q142" s="507">
        <f t="shared" si="31"/>
        <v>0</v>
      </c>
      <c r="R142" s="609">
        <v>7</v>
      </c>
      <c r="S142" s="609">
        <v>1392</v>
      </c>
      <c r="T142" s="609">
        <v>1406</v>
      </c>
      <c r="U142" s="3113"/>
      <c r="V142" s="3113"/>
      <c r="W142" s="3113"/>
    </row>
    <row r="143" spans="2:23" s="4312" customFormat="1" ht="22.9" customHeight="1" x14ac:dyDescent="0.35">
      <c r="B143" s="4342"/>
      <c r="C143" s="3122"/>
      <c r="D143" s="609" t="s">
        <v>2052</v>
      </c>
      <c r="E143" s="1012" t="s">
        <v>2389</v>
      </c>
      <c r="F143" s="4409" t="s">
        <v>80</v>
      </c>
      <c r="G143" s="507">
        <v>9800000000</v>
      </c>
      <c r="H143" s="507"/>
      <c r="I143" s="507"/>
      <c r="J143" s="507"/>
      <c r="K143" s="4473">
        <f t="shared" si="29"/>
        <v>0</v>
      </c>
      <c r="L143" s="507"/>
      <c r="M143" s="507"/>
      <c r="N143" s="507">
        <f t="shared" si="30"/>
        <v>0</v>
      </c>
      <c r="O143" s="507"/>
      <c r="P143" s="507"/>
      <c r="Q143" s="507">
        <f t="shared" si="31"/>
        <v>0</v>
      </c>
      <c r="R143" s="609">
        <v>12</v>
      </c>
      <c r="S143" s="609">
        <v>1391</v>
      </c>
      <c r="T143" s="609">
        <v>1406</v>
      </c>
      <c r="U143" s="3114"/>
      <c r="V143" s="3114"/>
      <c r="W143" s="3114"/>
    </row>
    <row r="144" spans="2:23" x14ac:dyDescent="0.35">
      <c r="B144" s="4305"/>
      <c r="C144" s="4306"/>
      <c r="D144" s="4306"/>
      <c r="E144" s="4306"/>
      <c r="F144" s="4307"/>
      <c r="G144" s="2972">
        <f t="shared" ref="G144:Q144" si="33">SUM(G127:G143)</f>
        <v>8700693000000</v>
      </c>
      <c r="H144" s="2972">
        <f t="shared" si="33"/>
        <v>232588000000</v>
      </c>
      <c r="I144" s="2972">
        <f t="shared" si="33"/>
        <v>19878000000</v>
      </c>
      <c r="J144" s="2972">
        <f t="shared" si="33"/>
        <v>0</v>
      </c>
      <c r="K144" s="2972">
        <f t="shared" si="33"/>
        <v>19878000000</v>
      </c>
      <c r="L144" s="2972">
        <f t="shared" si="33"/>
        <v>19878000000</v>
      </c>
      <c r="M144" s="2972">
        <f t="shared" si="33"/>
        <v>0</v>
      </c>
      <c r="N144" s="2972">
        <f t="shared" si="33"/>
        <v>19878000000</v>
      </c>
      <c r="O144" s="2972">
        <f t="shared" si="33"/>
        <v>0</v>
      </c>
      <c r="P144" s="2972">
        <f t="shared" si="33"/>
        <v>0</v>
      </c>
      <c r="Q144" s="2972">
        <f t="shared" si="33"/>
        <v>0</v>
      </c>
      <c r="R144" s="4297"/>
      <c r="S144" s="4298"/>
      <c r="T144" s="4298"/>
      <c r="U144" s="4298"/>
      <c r="V144" s="4298"/>
      <c r="W144" s="4299"/>
    </row>
    <row r="145" spans="2:33" ht="3" customHeight="1" x14ac:dyDescent="0.4">
      <c r="C145" s="2975"/>
      <c r="D145" s="2956"/>
      <c r="E145" s="2956"/>
      <c r="F145" s="2956"/>
      <c r="G145" s="3020">
        <f>SUM(G126:G144)</f>
        <v>204669788000000</v>
      </c>
      <c r="H145" s="3020">
        <f>SUM(H126:H144)</f>
        <v>55231854000000</v>
      </c>
      <c r="I145" s="3020">
        <f>SUM(I126:I144)</f>
        <v>45420907000000</v>
      </c>
      <c r="J145" s="3020">
        <f>SUM(J126:J144)</f>
        <v>0</v>
      </c>
      <c r="K145" s="3020">
        <f>SUM(K126:K144)</f>
        <v>45420907000000</v>
      </c>
      <c r="L145" s="3020">
        <f>SUM(L144)</f>
        <v>19878000000</v>
      </c>
      <c r="M145" s="3020">
        <f>SUM(M126:M144)</f>
        <v>0</v>
      </c>
      <c r="N145" s="3020">
        <f>SUM(N126:N144)</f>
        <v>16115970000000</v>
      </c>
      <c r="O145" s="3020">
        <f>SUM(O126:O144)</f>
        <v>773214000000</v>
      </c>
      <c r="P145" s="3020">
        <f>SUM(P126:P144)</f>
        <v>1700134000000</v>
      </c>
      <c r="Q145" s="3020">
        <f>SUM(Q126:Q144)</f>
        <v>2473348000000</v>
      </c>
      <c r="R145" s="2956"/>
      <c r="S145" s="2956"/>
      <c r="T145" s="2956"/>
      <c r="U145" s="2956"/>
      <c r="V145" s="2956"/>
      <c r="W145" s="2956"/>
    </row>
    <row r="146" spans="2:33" ht="15" customHeight="1" x14ac:dyDescent="0.4">
      <c r="D146" s="3124">
        <v>12</v>
      </c>
      <c r="E146" s="3124"/>
      <c r="F146" s="3124"/>
      <c r="G146" s="3124"/>
      <c r="H146" s="3124"/>
      <c r="I146" s="3124"/>
      <c r="J146" s="3124"/>
      <c r="K146" s="3124"/>
      <c r="L146" s="3124"/>
      <c r="M146" s="3124"/>
      <c r="N146" s="3124"/>
      <c r="O146" s="3124"/>
      <c r="P146" s="3124"/>
      <c r="Q146" s="3124"/>
      <c r="R146" s="3124"/>
      <c r="S146" s="3124"/>
      <c r="T146" s="3124"/>
      <c r="U146" s="3124"/>
      <c r="V146" s="3124"/>
      <c r="W146" s="3124"/>
      <c r="AB146" s="1990"/>
      <c r="AC146" s="3021"/>
      <c r="AD146" s="3021"/>
      <c r="AE146" s="3021"/>
      <c r="AF146" s="3021"/>
      <c r="AG146" s="3022"/>
    </row>
    <row r="147" spans="2:33" ht="18.75" x14ac:dyDescent="0.45">
      <c r="D147" s="3101" t="s">
        <v>51</v>
      </c>
      <c r="E147" s="3101"/>
      <c r="F147" s="3101"/>
      <c r="G147" s="3101"/>
      <c r="H147" s="3101"/>
      <c r="I147" s="3101"/>
      <c r="J147" s="3101"/>
      <c r="K147" s="3101"/>
      <c r="L147" s="3101"/>
      <c r="M147" s="3101"/>
      <c r="N147" s="3101"/>
      <c r="O147" s="3101"/>
      <c r="P147" s="3101"/>
      <c r="Q147" s="3101"/>
      <c r="R147" s="3101"/>
      <c r="S147" s="3101"/>
      <c r="T147" s="3101"/>
      <c r="U147" s="3101"/>
      <c r="V147" s="3101"/>
      <c r="W147" s="3101"/>
    </row>
    <row r="148" spans="2:33" ht="18.75" x14ac:dyDescent="0.45">
      <c r="D148" s="3101" t="s">
        <v>52</v>
      </c>
      <c r="E148" s="3101"/>
      <c r="F148" s="3101"/>
      <c r="G148" s="3101"/>
      <c r="H148" s="3101"/>
      <c r="I148" s="3101"/>
      <c r="J148" s="3101"/>
      <c r="K148" s="3101"/>
      <c r="L148" s="3101"/>
      <c r="M148" s="3101"/>
      <c r="N148" s="3101"/>
      <c r="O148" s="3101"/>
      <c r="P148" s="3101"/>
      <c r="Q148" s="3101"/>
      <c r="R148" s="3101"/>
      <c r="S148" s="3101"/>
      <c r="T148" s="3101"/>
      <c r="U148" s="3101"/>
      <c r="V148" s="3101"/>
      <c r="W148" s="3101"/>
    </row>
    <row r="149" spans="2:33" ht="18.75" x14ac:dyDescent="0.45">
      <c r="D149" s="3101" t="s">
        <v>2240</v>
      </c>
      <c r="E149" s="3101"/>
      <c r="F149" s="3101"/>
      <c r="G149" s="3101"/>
      <c r="H149" s="3101"/>
      <c r="I149" s="3101"/>
      <c r="J149" s="3101"/>
      <c r="K149" s="3101"/>
      <c r="L149" s="3101"/>
      <c r="M149" s="3101"/>
      <c r="N149" s="3101"/>
      <c r="O149" s="3101"/>
      <c r="P149" s="3101"/>
      <c r="Q149" s="3101"/>
      <c r="R149" s="3101"/>
      <c r="S149" s="3101"/>
      <c r="T149" s="3101"/>
      <c r="U149" s="3101"/>
      <c r="V149" s="3101"/>
      <c r="W149" s="3101"/>
    </row>
    <row r="150" spans="2:33" ht="18" x14ac:dyDescent="0.4">
      <c r="D150" s="3102"/>
      <c r="E150" s="3102"/>
      <c r="F150" s="3102"/>
      <c r="G150" s="3102"/>
      <c r="H150" s="3102"/>
      <c r="I150" s="3102"/>
      <c r="J150" s="3030"/>
      <c r="K150" s="2960"/>
      <c r="L150" s="2960"/>
      <c r="M150" s="2960"/>
      <c r="N150" s="2960"/>
      <c r="O150" s="2960"/>
      <c r="P150" s="2960"/>
      <c r="Q150" s="2960"/>
      <c r="R150" s="2961"/>
      <c r="S150" s="2961"/>
      <c r="T150" s="2961"/>
      <c r="U150" s="2961"/>
      <c r="V150" s="2961"/>
      <c r="W150" s="2961"/>
    </row>
    <row r="151" spans="2:33" ht="15.75" x14ac:dyDescent="0.4">
      <c r="D151" s="3123" t="s">
        <v>1072</v>
      </c>
      <c r="E151" s="3123"/>
      <c r="F151" s="3123"/>
      <c r="G151" s="3123"/>
      <c r="H151" s="2962"/>
      <c r="I151" s="2963"/>
      <c r="J151" s="2963"/>
      <c r="K151" s="2963"/>
      <c r="L151" s="2963"/>
      <c r="M151" s="2963"/>
      <c r="N151" s="2963"/>
      <c r="O151" s="2963"/>
      <c r="P151" s="2963"/>
      <c r="Q151" s="2963"/>
      <c r="R151" s="2964"/>
      <c r="S151" s="2964"/>
      <c r="T151" s="2964"/>
      <c r="U151" s="2964"/>
      <c r="V151" s="3103" t="s">
        <v>194</v>
      </c>
      <c r="W151" s="3103"/>
    </row>
    <row r="152" spans="2:33" ht="44.45" customHeight="1" x14ac:dyDescent="0.35">
      <c r="B152" s="3130" t="s">
        <v>1294</v>
      </c>
      <c r="C152" s="3132" t="s">
        <v>1185</v>
      </c>
      <c r="D152" s="3147" t="s">
        <v>53</v>
      </c>
      <c r="E152" s="3147" t="s">
        <v>54</v>
      </c>
      <c r="F152" s="3149" t="s">
        <v>55</v>
      </c>
      <c r="G152" s="3151" t="s">
        <v>56</v>
      </c>
      <c r="H152" s="3143" t="s">
        <v>1018</v>
      </c>
      <c r="I152" s="3164" t="s">
        <v>57</v>
      </c>
      <c r="J152" s="3165"/>
      <c r="K152" s="3166"/>
      <c r="L152" s="3167" t="s">
        <v>2234</v>
      </c>
      <c r="M152" s="3168"/>
      <c r="N152" s="3169"/>
      <c r="O152" s="3145" t="s">
        <v>2235</v>
      </c>
      <c r="P152" s="3144"/>
      <c r="Q152" s="3146"/>
      <c r="R152" s="3140" t="s">
        <v>58</v>
      </c>
      <c r="S152" s="3140" t="s">
        <v>59</v>
      </c>
      <c r="T152" s="3140" t="s">
        <v>60</v>
      </c>
      <c r="U152" s="3140" t="s">
        <v>61</v>
      </c>
      <c r="V152" s="3140" t="s">
        <v>1295</v>
      </c>
      <c r="W152" s="3140" t="s">
        <v>62</v>
      </c>
    </row>
    <row r="153" spans="2:33" ht="44.45" customHeight="1" x14ac:dyDescent="0.35">
      <c r="B153" s="3131"/>
      <c r="C153" s="3133"/>
      <c r="D153" s="3148"/>
      <c r="E153" s="3148"/>
      <c r="F153" s="3150"/>
      <c r="G153" s="3152"/>
      <c r="H153" s="3163"/>
      <c r="I153" s="3016" t="s">
        <v>998</v>
      </c>
      <c r="J153" s="2978" t="s">
        <v>999</v>
      </c>
      <c r="K153" s="3017" t="s">
        <v>1303</v>
      </c>
      <c r="L153" s="3016" t="s">
        <v>998</v>
      </c>
      <c r="M153" s="3033" t="s">
        <v>999</v>
      </c>
      <c r="N153" s="3031" t="s">
        <v>1799</v>
      </c>
      <c r="O153" s="3017" t="s">
        <v>998</v>
      </c>
      <c r="P153" s="3017" t="s">
        <v>999</v>
      </c>
      <c r="Q153" s="3017" t="s">
        <v>417</v>
      </c>
      <c r="R153" s="3142"/>
      <c r="S153" s="3142"/>
      <c r="T153" s="3142"/>
      <c r="U153" s="3141"/>
      <c r="V153" s="3141"/>
      <c r="W153" s="3141"/>
    </row>
    <row r="154" spans="2:33" ht="37.15" customHeight="1" x14ac:dyDescent="0.35">
      <c r="B154" s="3160" t="s">
        <v>181</v>
      </c>
      <c r="C154" s="3161"/>
      <c r="D154" s="3161"/>
      <c r="E154" s="3162"/>
      <c r="F154" s="3018"/>
      <c r="G154" s="2986">
        <f t="shared" ref="G154:Q154" si="34">G144</f>
        <v>8700693000000</v>
      </c>
      <c r="H154" s="2986">
        <f t="shared" si="34"/>
        <v>232588000000</v>
      </c>
      <c r="I154" s="2986">
        <f t="shared" si="34"/>
        <v>19878000000</v>
      </c>
      <c r="J154" s="2986">
        <f t="shared" si="34"/>
        <v>0</v>
      </c>
      <c r="K154" s="2986">
        <f t="shared" si="34"/>
        <v>19878000000</v>
      </c>
      <c r="L154" s="2986">
        <f t="shared" si="34"/>
        <v>19878000000</v>
      </c>
      <c r="M154" s="2986">
        <f t="shared" si="34"/>
        <v>0</v>
      </c>
      <c r="N154" s="2986">
        <f t="shared" si="34"/>
        <v>19878000000</v>
      </c>
      <c r="O154" s="2986">
        <f t="shared" si="34"/>
        <v>0</v>
      </c>
      <c r="P154" s="2986">
        <f t="shared" si="34"/>
        <v>0</v>
      </c>
      <c r="Q154" s="2986">
        <f t="shared" si="34"/>
        <v>0</v>
      </c>
      <c r="R154" s="2987"/>
      <c r="S154" s="2987"/>
      <c r="T154" s="2988"/>
      <c r="U154" s="3027" t="s">
        <v>65</v>
      </c>
      <c r="V154" s="3027" t="s">
        <v>1296</v>
      </c>
      <c r="W154" s="3027" t="s">
        <v>1305</v>
      </c>
    </row>
    <row r="155" spans="2:33" s="3044" customFormat="1" ht="18.75" customHeight="1" x14ac:dyDescent="0.35">
      <c r="B155" s="3047"/>
      <c r="C155" s="3050"/>
      <c r="D155" s="3045" t="s">
        <v>2057</v>
      </c>
      <c r="E155" s="3039" t="s">
        <v>2387</v>
      </c>
      <c r="F155" s="3040" t="s">
        <v>1107</v>
      </c>
      <c r="G155" s="3042">
        <v>23000000000</v>
      </c>
      <c r="H155" s="3042"/>
      <c r="I155" s="3042"/>
      <c r="J155" s="3042"/>
      <c r="K155" s="3049">
        <f t="shared" ref="K155:K156" si="35">J155+I155</f>
        <v>0</v>
      </c>
      <c r="L155" s="3042"/>
      <c r="M155" s="3042"/>
      <c r="N155" s="3042">
        <f t="shared" ref="N155:N156" si="36">M155+L155</f>
        <v>0</v>
      </c>
      <c r="O155" s="3042"/>
      <c r="P155" s="3042"/>
      <c r="Q155" s="3042">
        <f t="shared" ref="Q155:Q156" si="37">P155+O155</f>
        <v>0</v>
      </c>
      <c r="R155" s="3045">
        <v>4</v>
      </c>
      <c r="S155" s="3045">
        <v>1391</v>
      </c>
      <c r="T155" s="3045">
        <v>1405</v>
      </c>
      <c r="U155" s="3051"/>
      <c r="V155" s="3051"/>
      <c r="W155" s="3051"/>
    </row>
    <row r="156" spans="2:33" s="3044" customFormat="1" ht="18.75" customHeight="1" x14ac:dyDescent="0.35">
      <c r="B156" s="3047"/>
      <c r="C156" s="3050"/>
      <c r="D156" s="3045" t="s">
        <v>2054</v>
      </c>
      <c r="E156" s="3039" t="s">
        <v>2385</v>
      </c>
      <c r="F156" s="3046" t="s">
        <v>80</v>
      </c>
      <c r="G156" s="3042">
        <v>113300000000</v>
      </c>
      <c r="H156" s="3042"/>
      <c r="I156" s="3042"/>
      <c r="J156" s="3042"/>
      <c r="K156" s="3049">
        <f t="shared" si="35"/>
        <v>0</v>
      </c>
      <c r="L156" s="3042"/>
      <c r="M156" s="3042"/>
      <c r="N156" s="3042">
        <f t="shared" si="36"/>
        <v>0</v>
      </c>
      <c r="O156" s="3042"/>
      <c r="P156" s="3042"/>
      <c r="Q156" s="3042">
        <f t="shared" si="37"/>
        <v>0</v>
      </c>
      <c r="R156" s="3045">
        <v>4</v>
      </c>
      <c r="S156" s="3045">
        <v>1390</v>
      </c>
      <c r="T156" s="3045">
        <v>1406</v>
      </c>
      <c r="U156" s="3051"/>
      <c r="V156" s="3051"/>
      <c r="W156" s="3051"/>
    </row>
    <row r="157" spans="2:33" ht="18.75" customHeight="1" x14ac:dyDescent="0.35">
      <c r="B157" s="2969"/>
      <c r="C157" s="3029"/>
      <c r="D157" s="3045" t="s">
        <v>2384</v>
      </c>
      <c r="E157" s="3039" t="s">
        <v>2382</v>
      </c>
      <c r="F157" s="3041" t="s">
        <v>2239</v>
      </c>
      <c r="G157" s="3042">
        <v>4000000001</v>
      </c>
      <c r="H157" s="3042"/>
      <c r="I157" s="3042"/>
      <c r="J157" s="3042"/>
      <c r="K157" s="3049">
        <f t="shared" ref="K157" si="38">J157+I157</f>
        <v>0</v>
      </c>
      <c r="L157" s="3042"/>
      <c r="M157" s="3042"/>
      <c r="N157" s="3042">
        <f t="shared" ref="N157" si="39">M157+L157</f>
        <v>0</v>
      </c>
      <c r="O157" s="3042"/>
      <c r="P157" s="3042"/>
      <c r="Q157" s="3042">
        <f t="shared" ref="Q157" si="40">P157+O157</f>
        <v>0</v>
      </c>
      <c r="R157" s="3045">
        <v>3</v>
      </c>
      <c r="S157" s="3045">
        <v>1396</v>
      </c>
      <c r="T157" s="3045">
        <v>1404</v>
      </c>
      <c r="U157" s="3028"/>
      <c r="V157" s="3028"/>
      <c r="W157" s="3028"/>
    </row>
    <row r="158" spans="2:33" ht="18.75" customHeight="1" x14ac:dyDescent="0.35">
      <c r="B158" s="2969"/>
      <c r="C158" s="3029"/>
      <c r="D158" s="3045" t="s">
        <v>2066</v>
      </c>
      <c r="E158" s="3039" t="s">
        <v>2380</v>
      </c>
      <c r="F158" s="3048" t="s">
        <v>1107</v>
      </c>
      <c r="G158" s="3042">
        <v>40000000000</v>
      </c>
      <c r="H158" s="3042"/>
      <c r="I158" s="3042"/>
      <c r="J158" s="3042"/>
      <c r="K158" s="3049">
        <f t="shared" ref="K158:K159" si="41">J158+I158</f>
        <v>0</v>
      </c>
      <c r="L158" s="3042"/>
      <c r="M158" s="3042"/>
      <c r="N158" s="3042">
        <f t="shared" ref="N158:N159" si="42">M158+L158</f>
        <v>0</v>
      </c>
      <c r="O158" s="3042"/>
      <c r="P158" s="3042"/>
      <c r="Q158" s="3042">
        <f t="shared" ref="Q158:Q159" si="43">P158+O158</f>
        <v>0</v>
      </c>
      <c r="R158" s="3045">
        <v>1</v>
      </c>
      <c r="S158" s="3045">
        <v>1394</v>
      </c>
      <c r="T158" s="3045">
        <v>1403</v>
      </c>
      <c r="U158" s="3028"/>
      <c r="V158" s="3028"/>
      <c r="W158" s="3028"/>
    </row>
    <row r="159" spans="2:33" s="3044" customFormat="1" ht="18.75" customHeight="1" x14ac:dyDescent="0.35">
      <c r="B159" s="3047"/>
      <c r="C159" s="4276"/>
      <c r="D159" s="4277" t="s">
        <v>2067</v>
      </c>
      <c r="E159" s="4278" t="s">
        <v>2403</v>
      </c>
      <c r="F159" s="3043" t="s">
        <v>2239</v>
      </c>
      <c r="G159" s="4279">
        <v>500000000</v>
      </c>
      <c r="H159" s="4279"/>
      <c r="I159" s="4279"/>
      <c r="J159" s="4279"/>
      <c r="K159" s="3049">
        <f t="shared" si="41"/>
        <v>0</v>
      </c>
      <c r="L159" s="4279"/>
      <c r="M159" s="4279"/>
      <c r="N159" s="4279">
        <f t="shared" si="42"/>
        <v>0</v>
      </c>
      <c r="O159" s="4279"/>
      <c r="P159" s="4279"/>
      <c r="Q159" s="4279">
        <f t="shared" si="43"/>
        <v>0</v>
      </c>
      <c r="R159" s="4280">
        <v>4</v>
      </c>
      <c r="S159" s="4280">
        <v>1395</v>
      </c>
      <c r="T159" s="4280">
        <v>1405</v>
      </c>
      <c r="U159" s="4281"/>
      <c r="V159" s="4281"/>
      <c r="W159" s="4281"/>
    </row>
    <row r="160" spans="2:33" ht="18.75" customHeight="1" x14ac:dyDescent="0.35">
      <c r="B160" s="2969"/>
      <c r="C160" s="3029"/>
      <c r="D160" s="2970" t="s">
        <v>548</v>
      </c>
      <c r="E160" s="2971" t="s">
        <v>557</v>
      </c>
      <c r="F160" s="3037" t="s">
        <v>2249</v>
      </c>
      <c r="G160" s="2972">
        <v>261331000000</v>
      </c>
      <c r="H160" s="2972"/>
      <c r="I160" s="2972"/>
      <c r="J160" s="2972"/>
      <c r="K160" s="2972">
        <f t="shared" ref="K160:K165" si="44">I160+J160</f>
        <v>0</v>
      </c>
      <c r="L160" s="2972">
        <f t="shared" ref="L160:L165" si="45">J160+K160</f>
        <v>0</v>
      </c>
      <c r="M160" s="2972"/>
      <c r="N160" s="2972">
        <f t="shared" ref="N160:N165" si="46">L160+M160</f>
        <v>0</v>
      </c>
      <c r="O160" s="2972">
        <v>41033000000000</v>
      </c>
      <c r="P160" s="2972"/>
      <c r="Q160" s="2980">
        <f t="shared" ref="Q160:Q165" si="47">O160+P160</f>
        <v>41033000000000</v>
      </c>
      <c r="R160" s="2987">
        <v>5</v>
      </c>
      <c r="S160" s="2987">
        <v>1387</v>
      </c>
      <c r="T160" s="2988">
        <v>1403</v>
      </c>
      <c r="U160" s="3028"/>
      <c r="V160" s="3028"/>
      <c r="W160" s="3028"/>
    </row>
    <row r="161" spans="2:23" ht="18.75" customHeight="1" x14ac:dyDescent="0.35">
      <c r="B161" s="2969"/>
      <c r="C161" s="3029"/>
      <c r="D161" s="2180" t="s">
        <v>609</v>
      </c>
      <c r="E161" s="2998" t="s">
        <v>812</v>
      </c>
      <c r="F161" s="2996" t="s">
        <v>1968</v>
      </c>
      <c r="G161" s="2972">
        <v>205126000000</v>
      </c>
      <c r="H161" s="2972"/>
      <c r="I161" s="2972"/>
      <c r="J161" s="2972"/>
      <c r="K161" s="2972">
        <f t="shared" si="44"/>
        <v>0</v>
      </c>
      <c r="L161" s="2972">
        <f t="shared" si="45"/>
        <v>0</v>
      </c>
      <c r="M161" s="2972"/>
      <c r="N161" s="2972">
        <f t="shared" si="46"/>
        <v>0</v>
      </c>
      <c r="O161" s="2994">
        <v>28702000000</v>
      </c>
      <c r="P161" s="2994"/>
      <c r="Q161" s="2980">
        <f t="shared" si="47"/>
        <v>28702000000</v>
      </c>
      <c r="R161" s="2970">
        <v>22</v>
      </c>
      <c r="S161" s="2970">
        <v>1385</v>
      </c>
      <c r="T161" s="3036">
        <v>1403</v>
      </c>
      <c r="U161" s="3028"/>
      <c r="V161" s="3028"/>
      <c r="W161" s="3028"/>
    </row>
    <row r="162" spans="2:23" ht="18.75" customHeight="1" x14ac:dyDescent="0.35">
      <c r="B162" s="2969"/>
      <c r="C162" s="3029"/>
      <c r="D162" s="3037" t="s">
        <v>622</v>
      </c>
      <c r="E162" s="2971" t="s">
        <v>814</v>
      </c>
      <c r="F162" s="2970" t="s">
        <v>1107</v>
      </c>
      <c r="G162" s="2972">
        <v>1060204000000</v>
      </c>
      <c r="H162" s="2972"/>
      <c r="I162" s="2972"/>
      <c r="J162" s="2972"/>
      <c r="K162" s="2972">
        <f t="shared" si="44"/>
        <v>0</v>
      </c>
      <c r="L162" s="2972">
        <f t="shared" si="45"/>
        <v>0</v>
      </c>
      <c r="M162" s="2972"/>
      <c r="N162" s="2972">
        <f t="shared" si="46"/>
        <v>0</v>
      </c>
      <c r="O162" s="2972">
        <v>76264910293</v>
      </c>
      <c r="P162" s="2972"/>
      <c r="Q162" s="2980">
        <f t="shared" si="47"/>
        <v>76264910293</v>
      </c>
      <c r="R162" s="2970">
        <v>50</v>
      </c>
      <c r="S162" s="2970">
        <v>1389</v>
      </c>
      <c r="T162" s="3036">
        <v>1403</v>
      </c>
      <c r="U162" s="3028"/>
      <c r="V162" s="3028"/>
      <c r="W162" s="3028"/>
    </row>
    <row r="163" spans="2:23" ht="18.75" customHeight="1" x14ac:dyDescent="0.35">
      <c r="B163" s="2969"/>
      <c r="C163" s="3029"/>
      <c r="D163" s="3037" t="s">
        <v>624</v>
      </c>
      <c r="E163" s="2990" t="s">
        <v>661</v>
      </c>
      <c r="F163" s="2970" t="s">
        <v>1107</v>
      </c>
      <c r="G163" s="2972">
        <v>57622000000</v>
      </c>
      <c r="H163" s="2972"/>
      <c r="I163" s="2972"/>
      <c r="J163" s="2972"/>
      <c r="K163" s="2972">
        <f t="shared" si="44"/>
        <v>0</v>
      </c>
      <c r="L163" s="2972">
        <f t="shared" si="45"/>
        <v>0</v>
      </c>
      <c r="M163" s="2972"/>
      <c r="N163" s="2972">
        <f t="shared" si="46"/>
        <v>0</v>
      </c>
      <c r="O163" s="2972">
        <v>20801500000</v>
      </c>
      <c r="P163" s="2972"/>
      <c r="Q163" s="2980">
        <f t="shared" si="47"/>
        <v>20801500000</v>
      </c>
      <c r="R163" s="2984">
        <v>17</v>
      </c>
      <c r="S163" s="2984">
        <v>1392</v>
      </c>
      <c r="T163" s="2995">
        <v>1403</v>
      </c>
      <c r="U163" s="3028"/>
      <c r="V163" s="3028"/>
      <c r="W163" s="3028"/>
    </row>
    <row r="164" spans="2:23" ht="18.75" customHeight="1" x14ac:dyDescent="0.35">
      <c r="B164" s="2969"/>
      <c r="C164" s="3029"/>
      <c r="D164" s="3037" t="s">
        <v>626</v>
      </c>
      <c r="E164" s="2971" t="s">
        <v>662</v>
      </c>
      <c r="F164" s="2970" t="s">
        <v>1107</v>
      </c>
      <c r="G164" s="2972">
        <v>125751000000</v>
      </c>
      <c r="H164" s="2972"/>
      <c r="I164" s="2972"/>
      <c r="J164" s="2972"/>
      <c r="K164" s="2972">
        <f t="shared" si="44"/>
        <v>0</v>
      </c>
      <c r="L164" s="2972">
        <f t="shared" si="45"/>
        <v>0</v>
      </c>
      <c r="M164" s="2972"/>
      <c r="N164" s="2972">
        <f t="shared" si="46"/>
        <v>0</v>
      </c>
      <c r="O164" s="2972">
        <v>8294000000</v>
      </c>
      <c r="P164" s="2972"/>
      <c r="Q164" s="2980">
        <f t="shared" si="47"/>
        <v>8294000000</v>
      </c>
      <c r="R164" s="2984">
        <v>10</v>
      </c>
      <c r="S164" s="2984">
        <v>1384</v>
      </c>
      <c r="T164" s="2995">
        <v>1403</v>
      </c>
      <c r="U164" s="3028"/>
      <c r="V164" s="3028"/>
      <c r="W164" s="3028"/>
    </row>
    <row r="165" spans="2:23" ht="18.75" customHeight="1" x14ac:dyDescent="0.35">
      <c r="B165" s="2969"/>
      <c r="C165" s="3029"/>
      <c r="D165" s="2970" t="s">
        <v>1083</v>
      </c>
      <c r="E165" s="2971" t="s">
        <v>2253</v>
      </c>
      <c r="F165" s="3037" t="s">
        <v>1107</v>
      </c>
      <c r="G165" s="2972">
        <v>162000000000</v>
      </c>
      <c r="H165" s="2972"/>
      <c r="I165" s="2972"/>
      <c r="J165" s="2972"/>
      <c r="K165" s="2972">
        <f t="shared" si="44"/>
        <v>0</v>
      </c>
      <c r="L165" s="2972">
        <f t="shared" si="45"/>
        <v>0</v>
      </c>
      <c r="M165" s="2972"/>
      <c r="N165" s="2972">
        <f t="shared" si="46"/>
        <v>0</v>
      </c>
      <c r="O165" s="2972">
        <v>88900000000</v>
      </c>
      <c r="P165" s="2972"/>
      <c r="Q165" s="2980">
        <f t="shared" si="47"/>
        <v>88900000000</v>
      </c>
      <c r="R165" s="2984">
        <v>12</v>
      </c>
      <c r="S165" s="2984">
        <v>1400</v>
      </c>
      <c r="T165" s="2988">
        <v>1402</v>
      </c>
      <c r="U165" s="3028"/>
      <c r="V165" s="3028"/>
      <c r="W165" s="3028"/>
    </row>
    <row r="166" spans="2:23" ht="18.75" customHeight="1" x14ac:dyDescent="0.35">
      <c r="B166" s="2969"/>
      <c r="C166" s="3029"/>
      <c r="D166" s="2970">
        <v>1503002008</v>
      </c>
      <c r="E166" s="2971" t="s">
        <v>2257</v>
      </c>
      <c r="F166" s="3037" t="s">
        <v>2236</v>
      </c>
      <c r="G166" s="2974">
        <v>516240000000</v>
      </c>
      <c r="H166" s="2972"/>
      <c r="I166" s="2972"/>
      <c r="J166" s="2972"/>
      <c r="K166" s="3019"/>
      <c r="L166" s="2972"/>
      <c r="M166" s="2972"/>
      <c r="N166" s="2972"/>
      <c r="O166" s="2972">
        <v>10000000000</v>
      </c>
      <c r="P166" s="2972"/>
      <c r="Q166" s="2972">
        <f t="shared" ref="Q166" si="48">P166+O166</f>
        <v>10000000000</v>
      </c>
      <c r="R166" s="2970">
        <v>2</v>
      </c>
      <c r="S166" s="2970">
        <v>1387</v>
      </c>
      <c r="T166" s="2970">
        <v>1404</v>
      </c>
      <c r="U166" s="3028"/>
      <c r="V166" s="3028"/>
      <c r="W166" s="3028"/>
    </row>
    <row r="167" spans="2:23" ht="28.15" customHeight="1" x14ac:dyDescent="0.35">
      <c r="B167" s="3134" t="s">
        <v>464</v>
      </c>
      <c r="C167" s="3135"/>
      <c r="D167" s="3135"/>
      <c r="E167" s="3135"/>
      <c r="F167" s="3136"/>
      <c r="G167" s="2972">
        <f>SUM(G154:G166)</f>
        <v>11269767000001</v>
      </c>
      <c r="H167" s="2972">
        <f>SUM(H155:H166)</f>
        <v>0</v>
      </c>
      <c r="I167" s="2972">
        <f>SUM(I155:I166)</f>
        <v>0</v>
      </c>
      <c r="J167" s="2972">
        <f>SUM(J155:J166)</f>
        <v>0</v>
      </c>
      <c r="K167" s="3019">
        <f t="shared" ref="K167:L167" si="49">J167+I167</f>
        <v>0</v>
      </c>
      <c r="L167" s="3019">
        <f t="shared" si="49"/>
        <v>0</v>
      </c>
      <c r="M167" s="3019"/>
      <c r="N167" s="3019">
        <f t="shared" ref="N167" si="50">M167+L167</f>
        <v>0</v>
      </c>
      <c r="O167" s="2972"/>
      <c r="P167" s="2972"/>
      <c r="Q167" s="2972">
        <f>SUM(Q154:Q166)</f>
        <v>41265962410293</v>
      </c>
      <c r="R167" s="3153"/>
      <c r="S167" s="3154"/>
      <c r="T167" s="3154"/>
      <c r="U167" s="3154"/>
      <c r="V167" s="3154"/>
      <c r="W167" s="3155"/>
    </row>
    <row r="168" spans="2:23" ht="28.15" customHeight="1" x14ac:dyDescent="0.35">
      <c r="B168" s="3134" t="s">
        <v>195</v>
      </c>
      <c r="C168" s="3135"/>
      <c r="D168" s="3135"/>
      <c r="E168" s="3135"/>
      <c r="F168" s="3136"/>
      <c r="G168" s="2972">
        <f t="shared" ref="G168:Q168" si="51">G126+G167</f>
        <v>198538169000001</v>
      </c>
      <c r="H168" s="2972">
        <f t="shared" si="51"/>
        <v>54766678000000</v>
      </c>
      <c r="I168" s="2972">
        <f t="shared" si="51"/>
        <v>45381151000000</v>
      </c>
      <c r="J168" s="2972">
        <f t="shared" si="51"/>
        <v>0</v>
      </c>
      <c r="K168" s="2972">
        <f t="shared" si="51"/>
        <v>45381151000000</v>
      </c>
      <c r="L168" s="2972">
        <f t="shared" si="51"/>
        <v>16076214000000</v>
      </c>
      <c r="M168" s="2972">
        <f t="shared" si="51"/>
        <v>0</v>
      </c>
      <c r="N168" s="2972">
        <f t="shared" si="51"/>
        <v>16076214000000</v>
      </c>
      <c r="O168" s="2972">
        <f t="shared" si="51"/>
        <v>773214000000</v>
      </c>
      <c r="P168" s="2972">
        <f t="shared" si="51"/>
        <v>1700134000000</v>
      </c>
      <c r="Q168" s="2972">
        <f t="shared" si="51"/>
        <v>43739310410293</v>
      </c>
      <c r="R168" s="3137"/>
      <c r="S168" s="3138"/>
      <c r="T168" s="3138"/>
      <c r="U168" s="3138"/>
      <c r="V168" s="3138"/>
      <c r="W168" s="3139"/>
    </row>
    <row r="169" spans="2:23" ht="28.15" customHeight="1" x14ac:dyDescent="0.4">
      <c r="C169" s="2975"/>
      <c r="D169" s="2956"/>
      <c r="E169" s="2956"/>
      <c r="F169" s="2956"/>
      <c r="G169" s="2956"/>
      <c r="H169" s="3020"/>
      <c r="I169" s="3020"/>
      <c r="J169" s="3020"/>
      <c r="K169" s="3020"/>
      <c r="L169" s="3020"/>
      <c r="M169" s="3020"/>
      <c r="N169" s="3020"/>
      <c r="O169" s="2956"/>
      <c r="P169" s="2956"/>
      <c r="Q169" s="3020"/>
      <c r="R169" s="2956"/>
      <c r="S169" s="2956"/>
      <c r="T169" s="2956"/>
      <c r="U169" s="2956"/>
      <c r="V169" s="2956"/>
      <c r="W169" s="2956"/>
    </row>
    <row r="170" spans="2:23" ht="28.15" customHeight="1" x14ac:dyDescent="0.35">
      <c r="B170" s="3156" t="s">
        <v>1309</v>
      </c>
      <c r="C170" s="3156"/>
      <c r="D170" s="3157" t="s">
        <v>2258</v>
      </c>
      <c r="E170" s="3157"/>
      <c r="F170" s="3157"/>
      <c r="G170" s="3157"/>
      <c r="H170" s="3157"/>
      <c r="I170" s="3157"/>
      <c r="J170" s="3157"/>
      <c r="K170" s="3157"/>
      <c r="L170" s="3157"/>
      <c r="M170" s="3157"/>
      <c r="N170" s="3157"/>
      <c r="O170" s="3157"/>
      <c r="P170" s="3157"/>
      <c r="Q170" s="3157"/>
      <c r="R170" s="3157"/>
      <c r="S170" s="3157"/>
      <c r="T170" s="3157"/>
      <c r="U170" s="3157"/>
      <c r="V170" s="3157"/>
      <c r="W170" s="3157"/>
    </row>
    <row r="171" spans="2:23" ht="28.15" customHeight="1" x14ac:dyDescent="0.35">
      <c r="B171" s="3158" t="s">
        <v>1310</v>
      </c>
      <c r="C171" s="3158"/>
      <c r="D171" s="3159" t="s">
        <v>2259</v>
      </c>
      <c r="E171" s="3159"/>
      <c r="F171" s="3159"/>
      <c r="G171" s="3159"/>
      <c r="H171" s="3159"/>
      <c r="I171" s="3159"/>
      <c r="J171" s="3159"/>
      <c r="K171" s="3159"/>
      <c r="L171" s="3159"/>
      <c r="M171" s="3159"/>
      <c r="N171" s="3159"/>
      <c r="O171" s="3159"/>
      <c r="P171" s="3159"/>
      <c r="Q171" s="3159"/>
      <c r="R171" s="3159"/>
      <c r="S171" s="3159"/>
      <c r="T171" s="3159"/>
      <c r="U171" s="3159"/>
      <c r="V171" s="3159"/>
      <c r="W171" s="3159"/>
    </row>
    <row r="172" spans="2:23" ht="15.75" x14ac:dyDescent="0.4">
      <c r="D172" s="3124">
        <v>13</v>
      </c>
      <c r="E172" s="3124"/>
      <c r="F172" s="3124"/>
      <c r="G172" s="3124"/>
      <c r="H172" s="3124"/>
      <c r="I172" s="3124"/>
      <c r="J172" s="3124"/>
      <c r="K172" s="3124"/>
      <c r="L172" s="3124"/>
      <c r="M172" s="3124"/>
      <c r="N172" s="3124"/>
      <c r="O172" s="3124"/>
      <c r="P172" s="3124"/>
      <c r="Q172" s="3124"/>
      <c r="R172" s="3124"/>
      <c r="S172" s="3124"/>
      <c r="T172" s="3124"/>
      <c r="U172" s="3124"/>
      <c r="V172" s="3124"/>
      <c r="W172" s="3124"/>
    </row>
  </sheetData>
  <mergeCells count="213">
    <mergeCell ref="U11:U14"/>
    <mergeCell ref="U16:U21"/>
    <mergeCell ref="U126:U129"/>
    <mergeCell ref="U131:U143"/>
    <mergeCell ref="U73:U74"/>
    <mergeCell ref="U77:U86"/>
    <mergeCell ref="U75:U76"/>
    <mergeCell ref="D172:W172"/>
    <mergeCell ref="B167:F167"/>
    <mergeCell ref="R167:W168"/>
    <mergeCell ref="B168:F168"/>
    <mergeCell ref="B170:C170"/>
    <mergeCell ref="D170:W170"/>
    <mergeCell ref="B171:C171"/>
    <mergeCell ref="D171:W171"/>
    <mergeCell ref="T152:T153"/>
    <mergeCell ref="U152:U153"/>
    <mergeCell ref="V152:V153"/>
    <mergeCell ref="W152:W153"/>
    <mergeCell ref="B154:E154"/>
    <mergeCell ref="H152:H153"/>
    <mergeCell ref="I152:K152"/>
    <mergeCell ref="L152:N152"/>
    <mergeCell ref="O152:Q152"/>
    <mergeCell ref="R152:R153"/>
    <mergeCell ref="S152:S153"/>
    <mergeCell ref="D149:W149"/>
    <mergeCell ref="D150:I150"/>
    <mergeCell ref="D151:G151"/>
    <mergeCell ref="V151:W151"/>
    <mergeCell ref="B152:B153"/>
    <mergeCell ref="C152:C153"/>
    <mergeCell ref="D152:D153"/>
    <mergeCell ref="E152:E153"/>
    <mergeCell ref="F152:F153"/>
    <mergeCell ref="G152:G153"/>
    <mergeCell ref="B144:F144"/>
    <mergeCell ref="R144:W144"/>
    <mergeCell ref="D146:W146"/>
    <mergeCell ref="D147:W147"/>
    <mergeCell ref="D148:W148"/>
    <mergeCell ref="T124:T125"/>
    <mergeCell ref="U124:U125"/>
    <mergeCell ref="V124:V125"/>
    <mergeCell ref="W124:W125"/>
    <mergeCell ref="B126:E126"/>
    <mergeCell ref="V126:V143"/>
    <mergeCell ref="W126:W143"/>
    <mergeCell ref="C127:C143"/>
    <mergeCell ref="H124:H125"/>
    <mergeCell ref="I124:K124"/>
    <mergeCell ref="L124:N124"/>
    <mergeCell ref="O124:Q124"/>
    <mergeCell ref="R124:R125"/>
    <mergeCell ref="S124:S125"/>
    <mergeCell ref="D120:W120"/>
    <mergeCell ref="D122:I122"/>
    <mergeCell ref="D123:G123"/>
    <mergeCell ref="V123:W123"/>
    <mergeCell ref="B124:B125"/>
    <mergeCell ref="C124:C125"/>
    <mergeCell ref="D124:D125"/>
    <mergeCell ref="E124:E125"/>
    <mergeCell ref="F124:F125"/>
    <mergeCell ref="G124:G125"/>
    <mergeCell ref="B116:E116"/>
    <mergeCell ref="R116:W116"/>
    <mergeCell ref="D117:W117"/>
    <mergeCell ref="D118:W118"/>
    <mergeCell ref="D119:W119"/>
    <mergeCell ref="U98:U99"/>
    <mergeCell ref="V98:V99"/>
    <mergeCell ref="W98:W99"/>
    <mergeCell ref="B100:E100"/>
    <mergeCell ref="U100:U115"/>
    <mergeCell ref="V100:V115"/>
    <mergeCell ref="W100:W115"/>
    <mergeCell ref="C101:C115"/>
    <mergeCell ref="I98:K98"/>
    <mergeCell ref="L98:N98"/>
    <mergeCell ref="O98:Q98"/>
    <mergeCell ref="R98:R99"/>
    <mergeCell ref="S98:S99"/>
    <mergeCell ref="T98:T99"/>
    <mergeCell ref="D96:K96"/>
    <mergeCell ref="D97:H97"/>
    <mergeCell ref="V97:W97"/>
    <mergeCell ref="B98:B99"/>
    <mergeCell ref="C98:C99"/>
    <mergeCell ref="D98:D99"/>
    <mergeCell ref="E98:E99"/>
    <mergeCell ref="F98:F99"/>
    <mergeCell ref="G98:G99"/>
    <mergeCell ref="H98:H99"/>
    <mergeCell ref="B87:E87"/>
    <mergeCell ref="R87:W87"/>
    <mergeCell ref="D92:W92"/>
    <mergeCell ref="D93:W93"/>
    <mergeCell ref="D94:W94"/>
    <mergeCell ref="D95:W95"/>
    <mergeCell ref="U71:U72"/>
    <mergeCell ref="V71:V72"/>
    <mergeCell ref="W71:W72"/>
    <mergeCell ref="B73:E73"/>
    <mergeCell ref="V73:V86"/>
    <mergeCell ref="W73:W86"/>
    <mergeCell ref="C74:C85"/>
    <mergeCell ref="I71:K71"/>
    <mergeCell ref="L71:N71"/>
    <mergeCell ref="O71:Q71"/>
    <mergeCell ref="R71:R72"/>
    <mergeCell ref="S71:S72"/>
    <mergeCell ref="T71:T72"/>
    <mergeCell ref="D69:W69"/>
    <mergeCell ref="D70:G70"/>
    <mergeCell ref="V70:W70"/>
    <mergeCell ref="B71:B72"/>
    <mergeCell ref="C71:C72"/>
    <mergeCell ref="D71:D72"/>
    <mergeCell ref="E71:E72"/>
    <mergeCell ref="F71:F72"/>
    <mergeCell ref="G71:G72"/>
    <mergeCell ref="H71:H72"/>
    <mergeCell ref="B64:E64"/>
    <mergeCell ref="R64:W64"/>
    <mergeCell ref="D65:W65"/>
    <mergeCell ref="D66:W66"/>
    <mergeCell ref="D67:W67"/>
    <mergeCell ref="D68:W68"/>
    <mergeCell ref="V51:V52"/>
    <mergeCell ref="W51:W52"/>
    <mergeCell ref="B53:E53"/>
    <mergeCell ref="U53:U63"/>
    <mergeCell ref="V53:V63"/>
    <mergeCell ref="W53:W63"/>
    <mergeCell ref="C54:C63"/>
    <mergeCell ref="L51:N51"/>
    <mergeCell ref="O51:Q51"/>
    <mergeCell ref="R51:R52"/>
    <mergeCell ref="S51:S52"/>
    <mergeCell ref="T51:T52"/>
    <mergeCell ref="U51:U52"/>
    <mergeCell ref="D50:G50"/>
    <mergeCell ref="V50:W50"/>
    <mergeCell ref="B51:B52"/>
    <mergeCell ref="C51:C52"/>
    <mergeCell ref="D51:D52"/>
    <mergeCell ref="E51:E52"/>
    <mergeCell ref="F51:F52"/>
    <mergeCell ref="G51:G52"/>
    <mergeCell ref="H51:H52"/>
    <mergeCell ref="I51:K51"/>
    <mergeCell ref="B41:E41"/>
    <mergeCell ref="R41:W41"/>
    <mergeCell ref="D46:W46"/>
    <mergeCell ref="D47:W47"/>
    <mergeCell ref="D48:W48"/>
    <mergeCell ref="D49:W49"/>
    <mergeCell ref="V29:V30"/>
    <mergeCell ref="W29:W30"/>
    <mergeCell ref="B31:E31"/>
    <mergeCell ref="U31:U40"/>
    <mergeCell ref="V31:V40"/>
    <mergeCell ref="W31:W40"/>
    <mergeCell ref="C32:C40"/>
    <mergeCell ref="L29:N29"/>
    <mergeCell ref="O29:Q29"/>
    <mergeCell ref="R29:R30"/>
    <mergeCell ref="S29:S30"/>
    <mergeCell ref="T29:T30"/>
    <mergeCell ref="U29:U30"/>
    <mergeCell ref="D28:H28"/>
    <mergeCell ref="V28:W28"/>
    <mergeCell ref="B29:B30"/>
    <mergeCell ref="C29:C30"/>
    <mergeCell ref="D29:D30"/>
    <mergeCell ref="E29:E30"/>
    <mergeCell ref="F29:F30"/>
    <mergeCell ref="G29:G30"/>
    <mergeCell ref="H29:H30"/>
    <mergeCell ref="I29:K29"/>
    <mergeCell ref="B22:E22"/>
    <mergeCell ref="R22:W22"/>
    <mergeCell ref="D24:W24"/>
    <mergeCell ref="D25:W25"/>
    <mergeCell ref="D26:W26"/>
    <mergeCell ref="D27:W27"/>
    <mergeCell ref="T9:T10"/>
    <mergeCell ref="U9:U10"/>
    <mergeCell ref="V9:V10"/>
    <mergeCell ref="W9:W10"/>
    <mergeCell ref="C11:C21"/>
    <mergeCell ref="V11:V21"/>
    <mergeCell ref="W11:W21"/>
    <mergeCell ref="H9:H10"/>
    <mergeCell ref="I9:K9"/>
    <mergeCell ref="L9:N9"/>
    <mergeCell ref="O9:Q9"/>
    <mergeCell ref="R9:R10"/>
    <mergeCell ref="S9:S10"/>
    <mergeCell ref="B9:B10"/>
    <mergeCell ref="C9:C10"/>
    <mergeCell ref="D9:D10"/>
    <mergeCell ref="E9:E10"/>
    <mergeCell ref="F9:F10"/>
    <mergeCell ref="G9:G10"/>
    <mergeCell ref="D1:W1"/>
    <mergeCell ref="D2:W2"/>
    <mergeCell ref="D3:W3"/>
    <mergeCell ref="D4:W4"/>
    <mergeCell ref="D7:I7"/>
    <mergeCell ref="D8:G8"/>
    <mergeCell ref="U8:W8"/>
  </mergeCells>
  <phoneticPr fontId="123" type="noConversion"/>
  <printOptions horizontalCentered="1"/>
  <pageMargins left="0" right="0" top="0.35433070866141703" bottom="0.15748031496063" header="0.31496062992126" footer="0.31496062992126"/>
  <pageSetup scale="91" orientation="landscape" r:id="rId1"/>
  <rowBreaks count="3" manualBreakCount="3">
    <brk id="23" max="16383" man="1"/>
    <brk id="91" max="25" man="1"/>
    <brk id="117" max="2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DA1E1-EE2F-4618-A490-9F543D9C9B64}">
  <dimension ref="A1:K65"/>
  <sheetViews>
    <sheetView rightToLeft="1" zoomScaleNormal="100" workbookViewId="0">
      <selection activeCell="F9" sqref="F9"/>
    </sheetView>
  </sheetViews>
  <sheetFormatPr defaultColWidth="9.140625" defaultRowHeight="15" x14ac:dyDescent="0.35"/>
  <cols>
    <col min="1" max="1" width="1" style="391" customWidth="1"/>
    <col min="2" max="2" width="6.28515625" style="392" customWidth="1"/>
    <col min="3" max="3" width="10.85546875" style="391" customWidth="1"/>
    <col min="4" max="4" width="33.28515625" style="391" customWidth="1"/>
    <col min="5" max="5" width="29" style="391" customWidth="1"/>
    <col min="6" max="6" width="26.7109375" style="391" customWidth="1"/>
    <col min="7" max="7" width="9.42578125" style="391" customWidth="1"/>
    <col min="8" max="8" width="7.85546875" style="391" customWidth="1"/>
    <col min="9" max="9" width="11.28515625" style="391" customWidth="1"/>
    <col min="10" max="10" width="2" style="391" customWidth="1"/>
    <col min="11" max="16384" width="9.140625" style="391"/>
  </cols>
  <sheetData>
    <row r="1" spans="1:11" ht="16.149999999999999" customHeight="1" x14ac:dyDescent="0.45">
      <c r="A1" s="3171" t="s">
        <v>32</v>
      </c>
      <c r="B1" s="3171"/>
      <c r="C1" s="3171"/>
      <c r="D1" s="3171"/>
      <c r="E1" s="3171"/>
      <c r="F1" s="3171"/>
      <c r="G1" s="3171"/>
      <c r="H1" s="3171"/>
      <c r="I1" s="3171"/>
    </row>
    <row r="2" spans="1:11" ht="16.149999999999999" customHeight="1" x14ac:dyDescent="0.35">
      <c r="A2" s="3172" t="s">
        <v>51</v>
      </c>
      <c r="B2" s="3172"/>
      <c r="C2" s="3172"/>
      <c r="D2" s="3172"/>
      <c r="E2" s="3172"/>
      <c r="F2" s="3172"/>
      <c r="G2" s="3172"/>
      <c r="H2" s="3172"/>
      <c r="I2" s="3172"/>
    </row>
    <row r="3" spans="1:11" ht="16.149999999999999" customHeight="1" x14ac:dyDescent="0.45">
      <c r="A3" s="3171" t="s">
        <v>95</v>
      </c>
      <c r="B3" s="3171"/>
      <c r="C3" s="3171"/>
      <c r="D3" s="3171"/>
      <c r="E3" s="3171"/>
      <c r="F3" s="3171"/>
      <c r="G3" s="3171"/>
      <c r="H3" s="3171"/>
      <c r="I3" s="3171"/>
    </row>
    <row r="4" spans="1:11" ht="16.149999999999999" customHeight="1" x14ac:dyDescent="0.45">
      <c r="A4" s="3170" t="s">
        <v>2240</v>
      </c>
      <c r="B4" s="3170"/>
      <c r="C4" s="3170"/>
      <c r="D4" s="3170"/>
      <c r="E4" s="3170"/>
      <c r="F4" s="3170"/>
      <c r="G4" s="3170"/>
      <c r="H4" s="3170"/>
      <c r="I4" s="3170"/>
    </row>
    <row r="5" spans="1:11" ht="18.75" x14ac:dyDescent="0.45">
      <c r="A5" s="394"/>
      <c r="B5" s="653" t="s">
        <v>1311</v>
      </c>
      <c r="C5" s="3173" t="s">
        <v>1020</v>
      </c>
      <c r="D5" s="3173"/>
      <c r="E5" s="3173"/>
      <c r="F5" s="3173"/>
      <c r="G5" s="3173"/>
      <c r="H5" s="3173"/>
      <c r="I5" s="3173"/>
    </row>
    <row r="6" spans="1:11" ht="12.6" customHeight="1" x14ac:dyDescent="0.35">
      <c r="A6" s="394"/>
      <c r="B6" s="3174" t="s">
        <v>1294</v>
      </c>
      <c r="C6" s="3175" t="s">
        <v>53</v>
      </c>
      <c r="D6" s="3176" t="s">
        <v>54</v>
      </c>
      <c r="E6" s="3178" t="s">
        <v>136</v>
      </c>
      <c r="F6" s="3178" t="s">
        <v>137</v>
      </c>
      <c r="G6" s="3178" t="s">
        <v>138</v>
      </c>
      <c r="H6" s="3178"/>
      <c r="I6" s="3178"/>
    </row>
    <row r="7" spans="1:11" ht="39" customHeight="1" x14ac:dyDescent="0.35">
      <c r="A7" s="509"/>
      <c r="B7" s="3174"/>
      <c r="C7" s="3175"/>
      <c r="D7" s="3177"/>
      <c r="E7" s="3179"/>
      <c r="F7" s="3179"/>
      <c r="G7" s="1681" t="s">
        <v>139</v>
      </c>
      <c r="H7" s="1681" t="s">
        <v>140</v>
      </c>
      <c r="I7" s="1681" t="s">
        <v>141</v>
      </c>
    </row>
    <row r="8" spans="1:11" s="4312" customFormat="1" ht="22.5" customHeight="1" x14ac:dyDescent="0.35">
      <c r="A8" s="4308"/>
      <c r="B8" s="4309">
        <v>1</v>
      </c>
      <c r="C8" s="609" t="s">
        <v>2068</v>
      </c>
      <c r="D8" s="1012" t="s">
        <v>2425</v>
      </c>
      <c r="E8" s="4310" t="s">
        <v>561</v>
      </c>
      <c r="F8" s="4310" t="s">
        <v>2427</v>
      </c>
      <c r="G8" s="4311" t="s">
        <v>2426</v>
      </c>
      <c r="H8" s="4311" t="s">
        <v>2309</v>
      </c>
      <c r="I8" s="4311" t="s">
        <v>2346</v>
      </c>
      <c r="K8" s="4313"/>
    </row>
    <row r="9" spans="1:11" s="4312" customFormat="1" ht="22.5" customHeight="1" x14ac:dyDescent="0.35">
      <c r="A9" s="4308"/>
      <c r="B9" s="4309">
        <v>2</v>
      </c>
      <c r="C9" s="609" t="s">
        <v>2069</v>
      </c>
      <c r="D9" s="1012" t="s">
        <v>2422</v>
      </c>
      <c r="E9" s="4310" t="s">
        <v>142</v>
      </c>
      <c r="F9" s="4310" t="s">
        <v>2423</v>
      </c>
      <c r="G9" s="4311" t="s">
        <v>2424</v>
      </c>
      <c r="H9" s="4311" t="s">
        <v>2311</v>
      </c>
      <c r="I9" s="4311" t="s">
        <v>2347</v>
      </c>
    </row>
    <row r="10" spans="1:11" s="4312" customFormat="1" ht="22.5" customHeight="1" x14ac:dyDescent="0.35">
      <c r="A10" s="4308"/>
      <c r="B10" s="4309">
        <v>3</v>
      </c>
      <c r="C10" s="609" t="s">
        <v>2071</v>
      </c>
      <c r="D10" s="1508" t="s">
        <v>2420</v>
      </c>
      <c r="E10" s="4310" t="s">
        <v>1805</v>
      </c>
      <c r="F10" s="4310" t="s">
        <v>1805</v>
      </c>
      <c r="G10" s="4311" t="s">
        <v>2310</v>
      </c>
      <c r="H10" s="4311" t="s">
        <v>2312</v>
      </c>
      <c r="I10" s="4311" t="s">
        <v>2348</v>
      </c>
    </row>
    <row r="11" spans="1:11" s="4312" customFormat="1" ht="25.5" customHeight="1" x14ac:dyDescent="0.35">
      <c r="A11" s="4308"/>
      <c r="B11" s="4309">
        <v>4</v>
      </c>
      <c r="C11" s="504">
        <v>1307002010</v>
      </c>
      <c r="D11" s="4314" t="s">
        <v>79</v>
      </c>
      <c r="E11" s="4310" t="s">
        <v>142</v>
      </c>
      <c r="F11" s="4310" t="s">
        <v>142</v>
      </c>
      <c r="G11" s="4311" t="s">
        <v>2421</v>
      </c>
      <c r="H11" s="4311" t="s">
        <v>2313</v>
      </c>
      <c r="I11" s="4311" t="s">
        <v>2349</v>
      </c>
    </row>
    <row r="12" spans="1:11" s="4312" customFormat="1" ht="22.5" customHeight="1" x14ac:dyDescent="0.35">
      <c r="A12" s="4308"/>
      <c r="B12" s="4309">
        <v>5</v>
      </c>
      <c r="C12" s="504">
        <v>1503002046</v>
      </c>
      <c r="D12" s="4314" t="s">
        <v>2418</v>
      </c>
      <c r="E12" s="4310" t="s">
        <v>145</v>
      </c>
      <c r="F12" s="4310" t="s">
        <v>146</v>
      </c>
      <c r="G12" s="4311" t="s">
        <v>2314</v>
      </c>
      <c r="H12" s="4311" t="s">
        <v>2314</v>
      </c>
      <c r="I12" s="4311" t="s">
        <v>2350</v>
      </c>
    </row>
    <row r="13" spans="1:11" s="4312" customFormat="1" ht="22.5" customHeight="1" x14ac:dyDescent="0.35">
      <c r="A13" s="4308"/>
      <c r="B13" s="4309">
        <v>6</v>
      </c>
      <c r="C13" s="504">
        <v>1503002096</v>
      </c>
      <c r="D13" s="4314" t="s">
        <v>586</v>
      </c>
      <c r="E13" s="4310" t="s">
        <v>147</v>
      </c>
      <c r="F13" s="4310" t="s">
        <v>148</v>
      </c>
      <c r="G13" s="4311" t="s">
        <v>2315</v>
      </c>
      <c r="H13" s="4311" t="s">
        <v>277</v>
      </c>
      <c r="I13" s="4311" t="s">
        <v>2351</v>
      </c>
    </row>
    <row r="14" spans="1:11" s="4312" customFormat="1" ht="22.5" customHeight="1" x14ac:dyDescent="0.35">
      <c r="A14" s="4315"/>
      <c r="B14" s="4309">
        <v>7</v>
      </c>
      <c r="C14" s="504">
        <v>1503002173</v>
      </c>
      <c r="D14" s="4314" t="s">
        <v>317</v>
      </c>
      <c r="E14" s="4310" t="s">
        <v>149</v>
      </c>
      <c r="F14" s="4310" t="s">
        <v>148</v>
      </c>
      <c r="G14" s="4311" t="s">
        <v>2416</v>
      </c>
      <c r="H14" s="4311" t="s">
        <v>2316</v>
      </c>
      <c r="I14" s="4311" t="s">
        <v>2352</v>
      </c>
    </row>
    <row r="15" spans="1:11" s="4312" customFormat="1" ht="22.5" customHeight="1" x14ac:dyDescent="0.35">
      <c r="A15" s="4315"/>
      <c r="B15" s="4309">
        <v>8</v>
      </c>
      <c r="C15" s="4316">
        <v>1503002067</v>
      </c>
      <c r="D15" s="4314" t="s">
        <v>2414</v>
      </c>
      <c r="E15" s="4310" t="s">
        <v>2417</v>
      </c>
      <c r="F15" s="4310" t="s">
        <v>148</v>
      </c>
      <c r="G15" s="4311" t="s">
        <v>2317</v>
      </c>
      <c r="H15" s="4311" t="s">
        <v>2318</v>
      </c>
      <c r="I15" s="4311" t="s">
        <v>2353</v>
      </c>
    </row>
    <row r="16" spans="1:11" s="4341" customFormat="1" ht="22.5" customHeight="1" x14ac:dyDescent="0.35">
      <c r="A16" s="4335"/>
      <c r="B16" s="4336">
        <v>9</v>
      </c>
      <c r="C16" s="4337">
        <v>1307006001</v>
      </c>
      <c r="D16" s="4338" t="s">
        <v>87</v>
      </c>
      <c r="E16" s="4339" t="s">
        <v>151</v>
      </c>
      <c r="F16" s="4339" t="s">
        <v>152</v>
      </c>
      <c r="G16" s="4340" t="s">
        <v>2319</v>
      </c>
      <c r="H16" s="4340" t="s">
        <v>2320</v>
      </c>
      <c r="I16" s="4340" t="s">
        <v>2320</v>
      </c>
    </row>
    <row r="17" spans="1:9" s="4312" customFormat="1" ht="22.5" customHeight="1" x14ac:dyDescent="0.35">
      <c r="A17" s="4308"/>
      <c r="B17" s="4309">
        <v>10</v>
      </c>
      <c r="C17" s="504">
        <v>1503003006</v>
      </c>
      <c r="D17" s="1012" t="s">
        <v>2412</v>
      </c>
      <c r="E17" s="4310" t="s">
        <v>823</v>
      </c>
      <c r="F17" s="4310" t="s">
        <v>823</v>
      </c>
      <c r="G17" s="4311" t="s">
        <v>2413</v>
      </c>
      <c r="H17" s="4311" t="s">
        <v>2320</v>
      </c>
      <c r="I17" s="4311" t="s">
        <v>2350</v>
      </c>
    </row>
    <row r="18" spans="1:9" s="4312" customFormat="1" ht="22.5" customHeight="1" x14ac:dyDescent="0.35">
      <c r="A18" s="4308"/>
      <c r="B18" s="4309">
        <v>11</v>
      </c>
      <c r="C18" s="504" t="s">
        <v>2049</v>
      </c>
      <c r="D18" s="689" t="s">
        <v>2410</v>
      </c>
      <c r="E18" s="4310" t="s">
        <v>820</v>
      </c>
      <c r="F18" s="4310" t="s">
        <v>2409</v>
      </c>
      <c r="G18" s="4311" t="s">
        <v>2320</v>
      </c>
      <c r="H18" s="4311" t="s">
        <v>2321</v>
      </c>
      <c r="I18" s="4311" t="s">
        <v>2354</v>
      </c>
    </row>
    <row r="19" spans="1:9" s="4312" customFormat="1" ht="22.5" customHeight="1" x14ac:dyDescent="0.35">
      <c r="A19" s="4308"/>
      <c r="B19" s="4309">
        <v>12</v>
      </c>
      <c r="C19" s="4316" t="s">
        <v>2062</v>
      </c>
      <c r="D19" s="689" t="s">
        <v>2406</v>
      </c>
      <c r="E19" s="4310" t="s">
        <v>2408</v>
      </c>
      <c r="F19" s="4310" t="s">
        <v>2408</v>
      </c>
      <c r="G19" s="4311" t="s">
        <v>2320</v>
      </c>
      <c r="H19" s="4311" t="s">
        <v>2322</v>
      </c>
      <c r="I19" s="4311" t="s">
        <v>2355</v>
      </c>
    </row>
    <row r="20" spans="1:9" s="4312" customFormat="1" ht="22.5" customHeight="1" x14ac:dyDescent="0.35">
      <c r="A20" s="4308"/>
      <c r="B20" s="4309">
        <v>13</v>
      </c>
      <c r="C20" s="504" t="s">
        <v>2067</v>
      </c>
      <c r="D20" s="1012" t="s">
        <v>2403</v>
      </c>
      <c r="E20" s="4310" t="s">
        <v>562</v>
      </c>
      <c r="F20" s="4310" t="s">
        <v>2405</v>
      </c>
      <c r="G20" s="4311" t="s">
        <v>2404</v>
      </c>
      <c r="H20" s="4311" t="s">
        <v>2323</v>
      </c>
      <c r="I20" s="4311" t="s">
        <v>2356</v>
      </c>
    </row>
    <row r="21" spans="1:9" s="4312" customFormat="1" ht="22.5" customHeight="1" x14ac:dyDescent="0.35">
      <c r="A21" s="4308"/>
      <c r="B21" s="4309">
        <v>14</v>
      </c>
      <c r="C21" s="504" t="s">
        <v>2053</v>
      </c>
      <c r="D21" s="1012" t="s">
        <v>2401</v>
      </c>
      <c r="E21" s="4310" t="s">
        <v>822</v>
      </c>
      <c r="F21" s="4310" t="s">
        <v>822</v>
      </c>
      <c r="G21" s="4311" t="s">
        <v>2325</v>
      </c>
      <c r="H21" s="4311" t="s">
        <v>2326</v>
      </c>
      <c r="I21" s="4311" t="s">
        <v>2358</v>
      </c>
    </row>
    <row r="22" spans="1:9" s="4312" customFormat="1" ht="22.5" customHeight="1" x14ac:dyDescent="0.35">
      <c r="A22" s="4308"/>
      <c r="B22" s="4309">
        <v>15</v>
      </c>
      <c r="C22" s="504" t="s">
        <v>2058</v>
      </c>
      <c r="D22" s="1012" t="s">
        <v>2400</v>
      </c>
      <c r="E22" s="4310" t="s">
        <v>822</v>
      </c>
      <c r="F22" s="4310" t="s">
        <v>822</v>
      </c>
      <c r="G22" s="4311" t="s">
        <v>2327</v>
      </c>
      <c r="H22" s="4311" t="s">
        <v>2328</v>
      </c>
      <c r="I22" s="4311" t="s">
        <v>2359</v>
      </c>
    </row>
    <row r="23" spans="1:9" s="4312" customFormat="1" ht="22.5" customHeight="1" x14ac:dyDescent="0.35">
      <c r="A23" s="4308"/>
      <c r="B23" s="4309">
        <v>16</v>
      </c>
      <c r="C23" s="504" t="s">
        <v>2051</v>
      </c>
      <c r="D23" s="1012" t="s">
        <v>2399</v>
      </c>
      <c r="E23" s="4310" t="s">
        <v>822</v>
      </c>
      <c r="F23" s="4310" t="s">
        <v>822</v>
      </c>
      <c r="G23" s="4311" t="s">
        <v>2329</v>
      </c>
      <c r="H23" s="4311" t="s">
        <v>2330</v>
      </c>
      <c r="I23" s="4311" t="s">
        <v>2360</v>
      </c>
    </row>
    <row r="24" spans="1:9" s="4312" customFormat="1" ht="22.5" customHeight="1" x14ac:dyDescent="0.35">
      <c r="A24" s="4308"/>
      <c r="B24" s="4309">
        <v>17</v>
      </c>
      <c r="C24" s="504" t="s">
        <v>2050</v>
      </c>
      <c r="D24" s="1012" t="s">
        <v>2397</v>
      </c>
      <c r="E24" s="4310" t="s">
        <v>822</v>
      </c>
      <c r="F24" s="4310" t="s">
        <v>822</v>
      </c>
      <c r="G24" s="4311" t="s">
        <v>2398</v>
      </c>
      <c r="H24" s="4311" t="s">
        <v>2331</v>
      </c>
      <c r="I24" s="4311" t="s">
        <v>2361</v>
      </c>
    </row>
    <row r="25" spans="1:9" s="4312" customFormat="1" ht="22.5" customHeight="1" x14ac:dyDescent="0.35">
      <c r="A25" s="4308"/>
      <c r="B25" s="4309">
        <v>18</v>
      </c>
      <c r="C25" s="504" t="s">
        <v>2055</v>
      </c>
      <c r="D25" s="1012" t="s">
        <v>2395</v>
      </c>
      <c r="E25" s="4310" t="s">
        <v>822</v>
      </c>
      <c r="F25" s="4310" t="s">
        <v>822</v>
      </c>
      <c r="G25" s="4311" t="s">
        <v>2332</v>
      </c>
      <c r="H25" s="4311" t="s">
        <v>2333</v>
      </c>
      <c r="I25" s="4311" t="s">
        <v>2362</v>
      </c>
    </row>
    <row r="26" spans="1:9" s="4312" customFormat="1" ht="22.5" customHeight="1" x14ac:dyDescent="0.35">
      <c r="A26" s="4308"/>
      <c r="B26" s="4309">
        <v>19</v>
      </c>
      <c r="C26" s="504" t="s">
        <v>2064</v>
      </c>
      <c r="D26" s="1012" t="s">
        <v>2393</v>
      </c>
      <c r="E26" s="4310" t="s">
        <v>822</v>
      </c>
      <c r="F26" s="4310" t="s">
        <v>822</v>
      </c>
      <c r="G26" s="4311" t="s">
        <v>2394</v>
      </c>
      <c r="H26" s="4311" t="s">
        <v>2334</v>
      </c>
      <c r="I26" s="4311" t="s">
        <v>2363</v>
      </c>
    </row>
    <row r="27" spans="1:9" s="4312" customFormat="1" ht="22.5" customHeight="1" x14ac:dyDescent="0.35">
      <c r="A27" s="4308"/>
      <c r="B27" s="4309">
        <v>20</v>
      </c>
      <c r="C27" s="504" t="s">
        <v>2056</v>
      </c>
      <c r="D27" s="1012" t="s">
        <v>2391</v>
      </c>
      <c r="E27" s="4310" t="s">
        <v>822</v>
      </c>
      <c r="F27" s="4310" t="s">
        <v>822</v>
      </c>
      <c r="G27" s="4311" t="s">
        <v>2335</v>
      </c>
      <c r="H27" s="4311" t="s">
        <v>2336</v>
      </c>
      <c r="I27" s="4311" t="s">
        <v>2364</v>
      </c>
    </row>
    <row r="28" spans="1:9" s="4312" customFormat="1" ht="12.6" customHeight="1" x14ac:dyDescent="0.4">
      <c r="A28" s="4308"/>
      <c r="B28" s="4317"/>
      <c r="C28" s="4318"/>
      <c r="D28" s="4319"/>
      <c r="E28" s="4320"/>
      <c r="F28" s="4320"/>
      <c r="G28" s="4321"/>
      <c r="H28" s="4321"/>
      <c r="I28" s="4321"/>
    </row>
    <row r="29" spans="1:9" s="4312" customFormat="1" ht="15" customHeight="1" x14ac:dyDescent="0.4">
      <c r="B29" s="4322"/>
      <c r="C29" s="4323">
        <v>14</v>
      </c>
      <c r="D29" s="4323"/>
      <c r="E29" s="4323"/>
      <c r="F29" s="4323"/>
      <c r="G29" s="4323"/>
      <c r="H29" s="4323"/>
      <c r="I29" s="4323"/>
    </row>
    <row r="30" spans="1:9" s="4312" customFormat="1" ht="18.75" x14ac:dyDescent="0.45">
      <c r="A30" s="4324" t="s">
        <v>32</v>
      </c>
      <c r="B30" s="4324"/>
      <c r="C30" s="4324"/>
      <c r="D30" s="4324"/>
      <c r="E30" s="4324"/>
      <c r="F30" s="4324"/>
      <c r="G30" s="4324"/>
      <c r="H30" s="4324"/>
      <c r="I30" s="4324"/>
    </row>
    <row r="31" spans="1:9" s="4312" customFormat="1" ht="18.75" x14ac:dyDescent="0.35">
      <c r="A31" s="4325" t="s">
        <v>51</v>
      </c>
      <c r="B31" s="4325"/>
      <c r="C31" s="4325"/>
      <c r="D31" s="4325"/>
      <c r="E31" s="4325"/>
      <c r="F31" s="4325"/>
      <c r="G31" s="4325"/>
      <c r="H31" s="4325"/>
      <c r="I31" s="4325"/>
    </row>
    <row r="32" spans="1:9" s="4312" customFormat="1" ht="18.75" x14ac:dyDescent="0.45">
      <c r="A32" s="4324" t="s">
        <v>95</v>
      </c>
      <c r="B32" s="4324"/>
      <c r="C32" s="4324"/>
      <c r="D32" s="4324"/>
      <c r="E32" s="4324"/>
      <c r="F32" s="4324"/>
      <c r="G32" s="4324"/>
      <c r="H32" s="4324"/>
      <c r="I32" s="4324"/>
    </row>
    <row r="33" spans="1:11" s="4312" customFormat="1" ht="18.75" x14ac:dyDescent="0.45">
      <c r="A33" s="4326" t="s">
        <v>2004</v>
      </c>
      <c r="B33" s="4326"/>
      <c r="C33" s="4326"/>
      <c r="D33" s="4326"/>
      <c r="E33" s="4326"/>
      <c r="F33" s="4326"/>
      <c r="G33" s="4326"/>
      <c r="H33" s="4326"/>
      <c r="I33" s="4326"/>
    </row>
    <row r="34" spans="1:11" s="4312" customFormat="1" ht="15.75" x14ac:dyDescent="0.4">
      <c r="A34" s="4327"/>
      <c r="B34" s="4328" t="s">
        <v>1073</v>
      </c>
      <c r="C34" s="4328"/>
      <c r="D34" s="4328"/>
      <c r="E34" s="4328"/>
      <c r="F34" s="4328"/>
      <c r="G34" s="4327"/>
      <c r="H34" s="4327"/>
      <c r="I34" s="4327"/>
    </row>
    <row r="35" spans="1:11" s="4312" customFormat="1" ht="15.75" x14ac:dyDescent="0.35">
      <c r="A35" s="4327"/>
      <c r="B35" s="4329" t="s">
        <v>1294</v>
      </c>
      <c r="C35" s="4330" t="s">
        <v>53</v>
      </c>
      <c r="D35" s="4330" t="s">
        <v>54</v>
      </c>
      <c r="E35" s="4331" t="s">
        <v>136</v>
      </c>
      <c r="F35" s="4331" t="s">
        <v>137</v>
      </c>
      <c r="G35" s="4331" t="s">
        <v>138</v>
      </c>
      <c r="H35" s="4331"/>
      <c r="I35" s="4331"/>
    </row>
    <row r="36" spans="1:11" s="4312" customFormat="1" ht="31.5" x14ac:dyDescent="0.35">
      <c r="A36" s="4327"/>
      <c r="B36" s="4332"/>
      <c r="C36" s="4330"/>
      <c r="D36" s="4330"/>
      <c r="E36" s="4331"/>
      <c r="F36" s="4331"/>
      <c r="G36" s="4333" t="s">
        <v>139</v>
      </c>
      <c r="H36" s="4333" t="s">
        <v>140</v>
      </c>
      <c r="I36" s="4333" t="s">
        <v>141</v>
      </c>
    </row>
    <row r="37" spans="1:11" s="4312" customFormat="1" ht="19.5" customHeight="1" x14ac:dyDescent="0.35">
      <c r="A37" s="4327"/>
      <c r="B37" s="4334">
        <v>21</v>
      </c>
      <c r="C37" s="504" t="s">
        <v>2061</v>
      </c>
      <c r="D37" s="1012" t="s">
        <v>2390</v>
      </c>
      <c r="E37" s="4310" t="s">
        <v>822</v>
      </c>
      <c r="F37" s="4310" t="s">
        <v>822</v>
      </c>
      <c r="G37" s="4311" t="s">
        <v>2337</v>
      </c>
      <c r="H37" s="4311" t="s">
        <v>2338</v>
      </c>
      <c r="I37" s="4311" t="s">
        <v>2365</v>
      </c>
      <c r="K37" s="4313"/>
    </row>
    <row r="38" spans="1:11" s="4312" customFormat="1" ht="19.5" customHeight="1" x14ac:dyDescent="0.35">
      <c r="A38" s="4327"/>
      <c r="B38" s="4334">
        <v>22</v>
      </c>
      <c r="C38" s="504" t="s">
        <v>2052</v>
      </c>
      <c r="D38" s="1012" t="s">
        <v>2389</v>
      </c>
      <c r="E38" s="4310" t="s">
        <v>822</v>
      </c>
      <c r="F38" s="4310" t="s">
        <v>822</v>
      </c>
      <c r="G38" s="4311" t="s">
        <v>2339</v>
      </c>
      <c r="H38" s="4311" t="s">
        <v>2340</v>
      </c>
      <c r="I38" s="4311" t="s">
        <v>2366</v>
      </c>
    </row>
    <row r="39" spans="1:11" s="4312" customFormat="1" ht="19.5" customHeight="1" x14ac:dyDescent="0.35">
      <c r="A39" s="4327"/>
      <c r="B39" s="4334">
        <v>23</v>
      </c>
      <c r="C39" s="504" t="s">
        <v>2057</v>
      </c>
      <c r="D39" s="1012" t="s">
        <v>2387</v>
      </c>
      <c r="E39" s="4310" t="s">
        <v>822</v>
      </c>
      <c r="F39" s="4310" t="s">
        <v>822</v>
      </c>
      <c r="G39" s="4311" t="s">
        <v>2388</v>
      </c>
      <c r="H39" s="4311" t="s">
        <v>2341</v>
      </c>
      <c r="I39" s="4311" t="s">
        <v>2367</v>
      </c>
    </row>
    <row r="40" spans="1:11" s="4312" customFormat="1" ht="19.5" customHeight="1" x14ac:dyDescent="0.35">
      <c r="A40" s="4327"/>
      <c r="B40" s="4334">
        <v>24</v>
      </c>
      <c r="C40" s="504" t="s">
        <v>2054</v>
      </c>
      <c r="D40" s="1012" t="s">
        <v>2385</v>
      </c>
      <c r="E40" s="4310" t="s">
        <v>822</v>
      </c>
      <c r="F40" s="4310" t="s">
        <v>822</v>
      </c>
      <c r="G40" s="4311" t="s">
        <v>2386</v>
      </c>
      <c r="H40" s="4311" t="s">
        <v>2342</v>
      </c>
      <c r="I40" s="4311" t="s">
        <v>2368</v>
      </c>
    </row>
    <row r="41" spans="1:11" s="4312" customFormat="1" ht="19.5" customHeight="1" x14ac:dyDescent="0.35">
      <c r="A41" s="4327"/>
      <c r="B41" s="4334">
        <v>25</v>
      </c>
      <c r="C41" s="504" t="s">
        <v>2063</v>
      </c>
      <c r="D41" s="1012" t="s">
        <v>2382</v>
      </c>
      <c r="E41" s="4310" t="s">
        <v>822</v>
      </c>
      <c r="F41" s="4310" t="s">
        <v>823</v>
      </c>
      <c r="G41" s="4311" t="s">
        <v>2383</v>
      </c>
      <c r="H41" s="4311" t="s">
        <v>2343</v>
      </c>
      <c r="I41" s="4311" t="s">
        <v>2350</v>
      </c>
    </row>
    <row r="42" spans="1:11" s="4312" customFormat="1" ht="19.5" customHeight="1" x14ac:dyDescent="0.35">
      <c r="A42" s="4327"/>
      <c r="B42" s="4334">
        <v>26</v>
      </c>
      <c r="C42" s="504" t="s">
        <v>2066</v>
      </c>
      <c r="D42" s="847" t="s">
        <v>2381</v>
      </c>
      <c r="E42" s="4310" t="s">
        <v>1807</v>
      </c>
      <c r="F42" s="4310" t="s">
        <v>1807</v>
      </c>
      <c r="G42" s="4311" t="s">
        <v>2320</v>
      </c>
      <c r="H42" s="4311" t="s">
        <v>1887</v>
      </c>
      <c r="I42" s="4311" t="s">
        <v>2369</v>
      </c>
    </row>
    <row r="43" spans="1:11" s="4312" customFormat="1" ht="19.5" customHeight="1" x14ac:dyDescent="0.35">
      <c r="A43" s="4327"/>
      <c r="B43" s="4334">
        <v>27</v>
      </c>
      <c r="C43" s="504" t="s">
        <v>2059</v>
      </c>
      <c r="D43" s="847" t="s">
        <v>2377</v>
      </c>
      <c r="E43" s="4310" t="s">
        <v>1300</v>
      </c>
      <c r="F43" s="4310" t="s">
        <v>1300</v>
      </c>
      <c r="G43" s="4311" t="s">
        <v>2320</v>
      </c>
      <c r="H43" s="4311" t="s">
        <v>2344</v>
      </c>
      <c r="I43" s="4311" t="s">
        <v>2370</v>
      </c>
    </row>
    <row r="44" spans="1:11" s="4312" customFormat="1" ht="19.5" customHeight="1" x14ac:dyDescent="0.35">
      <c r="A44" s="4327"/>
      <c r="B44" s="4334">
        <v>28</v>
      </c>
      <c r="C44" s="504" t="s">
        <v>2065</v>
      </c>
      <c r="D44" s="4314" t="s">
        <v>2375</v>
      </c>
      <c r="E44" s="4310" t="s">
        <v>823</v>
      </c>
      <c r="F44" s="4310" t="s">
        <v>821</v>
      </c>
      <c r="G44" s="4311" t="s">
        <v>2376</v>
      </c>
      <c r="H44" s="4311" t="s">
        <v>2324</v>
      </c>
      <c r="I44" s="4311" t="s">
        <v>2357</v>
      </c>
    </row>
    <row r="45" spans="1:11" s="4312" customFormat="1" ht="19.5" customHeight="1" x14ac:dyDescent="0.35">
      <c r="A45" s="4327"/>
      <c r="B45" s="4334">
        <v>29</v>
      </c>
      <c r="C45" s="504" t="s">
        <v>2060</v>
      </c>
      <c r="D45" s="847" t="s">
        <v>2373</v>
      </c>
      <c r="E45" s="4310" t="s">
        <v>1301</v>
      </c>
      <c r="F45" s="4310" t="s">
        <v>1301</v>
      </c>
      <c r="G45" s="4311" t="s">
        <v>2320</v>
      </c>
      <c r="H45" s="4311" t="s">
        <v>2345</v>
      </c>
      <c r="I45" s="4311" t="s">
        <v>2371</v>
      </c>
    </row>
    <row r="46" spans="1:11" s="4312" customFormat="1" ht="19.5" customHeight="1" x14ac:dyDescent="0.35">
      <c r="A46" s="4327"/>
      <c r="B46" s="4334">
        <v>30</v>
      </c>
      <c r="C46" s="504">
        <v>1503003007</v>
      </c>
      <c r="D46" s="1012" t="s">
        <v>2429</v>
      </c>
      <c r="E46" s="4310" t="s">
        <v>2430</v>
      </c>
      <c r="F46" s="4310" t="s">
        <v>2430</v>
      </c>
      <c r="G46" s="4311"/>
      <c r="H46" s="4311" t="s">
        <v>2320</v>
      </c>
      <c r="I46" s="4311" t="s">
        <v>2350</v>
      </c>
    </row>
    <row r="47" spans="1:11" s="4312" customFormat="1" ht="19.5" customHeight="1" x14ac:dyDescent="0.35">
      <c r="A47" s="4327"/>
      <c r="B47" s="4334">
        <v>31</v>
      </c>
      <c r="C47" s="504">
        <v>1503003008</v>
      </c>
      <c r="D47" s="847" t="s">
        <v>129</v>
      </c>
      <c r="E47" s="4310" t="s">
        <v>2431</v>
      </c>
      <c r="F47" s="4310" t="s">
        <v>2431</v>
      </c>
      <c r="G47" s="4311" t="s">
        <v>2320</v>
      </c>
      <c r="H47" s="4311" t="s">
        <v>2320</v>
      </c>
      <c r="I47" s="4311" t="s">
        <v>2350</v>
      </c>
    </row>
    <row r="48" spans="1:11" s="4312" customFormat="1" ht="19.5" customHeight="1" x14ac:dyDescent="0.35">
      <c r="A48" s="4327"/>
      <c r="B48" s="4334">
        <v>32</v>
      </c>
      <c r="C48" s="504">
        <v>1502001005</v>
      </c>
      <c r="D48" s="1012" t="s">
        <v>2434</v>
      </c>
      <c r="E48" s="4310" t="s">
        <v>2435</v>
      </c>
      <c r="F48" s="4310" t="s">
        <v>2435</v>
      </c>
      <c r="G48" s="4311" t="s">
        <v>2320</v>
      </c>
      <c r="H48" s="4311" t="s">
        <v>2320</v>
      </c>
      <c r="I48" s="4311" t="s">
        <v>2350</v>
      </c>
    </row>
    <row r="49" spans="1:9" s="4312" customFormat="1" ht="19.5" customHeight="1" x14ac:dyDescent="0.35">
      <c r="A49" s="4327"/>
      <c r="B49" s="4334">
        <v>33</v>
      </c>
      <c r="C49" s="609">
        <v>1307002321</v>
      </c>
      <c r="D49" s="1012" t="s">
        <v>2436</v>
      </c>
      <c r="E49" s="4310" t="s">
        <v>2437</v>
      </c>
      <c r="F49" s="4310" t="s">
        <v>2437</v>
      </c>
      <c r="G49" s="4311" t="s">
        <v>2320</v>
      </c>
      <c r="H49" s="4311"/>
      <c r="I49" s="4311"/>
    </row>
    <row r="50" spans="1:9" s="4312" customFormat="1" ht="19.5" customHeight="1" x14ac:dyDescent="0.35">
      <c r="A50" s="4327"/>
      <c r="B50" s="4334">
        <v>34</v>
      </c>
      <c r="C50" s="504">
        <v>1037002025</v>
      </c>
      <c r="D50" s="847" t="s">
        <v>2443</v>
      </c>
      <c r="E50" s="4310" t="s">
        <v>585</v>
      </c>
      <c r="F50" s="4310" t="s">
        <v>2438</v>
      </c>
      <c r="G50" s="4311" t="s">
        <v>2320</v>
      </c>
      <c r="H50" s="4311" t="s">
        <v>2320</v>
      </c>
      <c r="I50" s="4311" t="s">
        <v>2350</v>
      </c>
    </row>
    <row r="51" spans="1:9" s="4312" customFormat="1" ht="19.5" customHeight="1" x14ac:dyDescent="0.35">
      <c r="A51" s="4327"/>
      <c r="B51" s="4334">
        <v>35</v>
      </c>
      <c r="C51" s="504">
        <v>1501001020</v>
      </c>
      <c r="D51" s="847" t="s">
        <v>2442</v>
      </c>
      <c r="E51" s="4310" t="s">
        <v>2439</v>
      </c>
      <c r="F51" s="4310" t="s">
        <v>2441</v>
      </c>
      <c r="G51" s="4311"/>
      <c r="H51" s="4311"/>
      <c r="I51" s="4311"/>
    </row>
    <row r="52" spans="1:9" s="4312" customFormat="1" ht="19.5" customHeight="1" x14ac:dyDescent="0.35">
      <c r="A52" s="4327"/>
      <c r="B52" s="4334">
        <v>36</v>
      </c>
      <c r="C52" s="504">
        <v>1307002080</v>
      </c>
      <c r="D52" s="4314" t="s">
        <v>2444</v>
      </c>
      <c r="E52" s="4310" t="s">
        <v>2445</v>
      </c>
      <c r="F52" s="4310" t="s">
        <v>2445</v>
      </c>
      <c r="G52" s="4311" t="s">
        <v>2320</v>
      </c>
      <c r="H52" s="4311" t="s">
        <v>2320</v>
      </c>
      <c r="I52" s="4311" t="s">
        <v>2350</v>
      </c>
    </row>
    <row r="53" spans="1:9" ht="24.6" customHeight="1" x14ac:dyDescent="0.35">
      <c r="A53" s="3182" t="s">
        <v>1021</v>
      </c>
      <c r="B53" s="3182"/>
      <c r="C53" s="3183" t="s">
        <v>1001</v>
      </c>
      <c r="D53" s="3183"/>
      <c r="E53" s="3183"/>
      <c r="F53" s="3183"/>
      <c r="G53" s="3183"/>
      <c r="H53" s="3183"/>
      <c r="I53" s="3183"/>
    </row>
    <row r="54" spans="1:9" ht="51.75" customHeight="1" x14ac:dyDescent="0.35">
      <c r="A54" s="3182" t="s">
        <v>1022</v>
      </c>
      <c r="B54" s="3182"/>
      <c r="C54" s="3183" t="s">
        <v>1379</v>
      </c>
      <c r="D54" s="3183"/>
      <c r="E54" s="3183"/>
      <c r="F54" s="3183"/>
      <c r="G54" s="3183"/>
      <c r="H54" s="3183"/>
      <c r="I54" s="3183"/>
    </row>
    <row r="55" spans="1:9" ht="2.4500000000000002" hidden="1" customHeight="1" x14ac:dyDescent="0.35">
      <c r="A55" s="1682"/>
      <c r="B55" s="1682"/>
      <c r="C55" s="586"/>
      <c r="D55" s="586"/>
      <c r="E55" s="586"/>
      <c r="F55" s="586"/>
      <c r="G55" s="586"/>
      <c r="H55" s="586"/>
      <c r="I55" s="586"/>
    </row>
    <row r="56" spans="1:9" ht="0.6" hidden="1" customHeight="1" x14ac:dyDescent="0.35">
      <c r="A56" s="1682"/>
      <c r="B56" s="1682"/>
      <c r="C56" s="586"/>
      <c r="D56" s="586"/>
      <c r="E56" s="586"/>
      <c r="F56" s="586"/>
      <c r="G56" s="586"/>
      <c r="H56" s="586"/>
      <c r="I56" s="586"/>
    </row>
    <row r="57" spans="1:9" ht="2.4500000000000002" hidden="1" customHeight="1" x14ac:dyDescent="0.35">
      <c r="A57" s="1682"/>
      <c r="B57" s="1682"/>
      <c r="C57" s="586"/>
      <c r="D57" s="586"/>
      <c r="E57" s="586"/>
      <c r="F57" s="586"/>
      <c r="G57" s="586"/>
      <c r="H57" s="586"/>
      <c r="I57" s="586"/>
    </row>
    <row r="58" spans="1:9" ht="2.4500000000000002" hidden="1" customHeight="1" x14ac:dyDescent="0.35">
      <c r="A58" s="1682"/>
      <c r="B58" s="1682"/>
      <c r="C58" s="586"/>
      <c r="D58" s="586"/>
      <c r="E58" s="586"/>
      <c r="F58" s="586"/>
      <c r="G58" s="586"/>
      <c r="H58" s="586"/>
      <c r="I58" s="586"/>
    </row>
    <row r="59" spans="1:9" ht="1.1499999999999999" hidden="1" customHeight="1" x14ac:dyDescent="0.35">
      <c r="A59" s="1682"/>
      <c r="B59" s="1682"/>
      <c r="C59" s="586"/>
      <c r="D59" s="586"/>
      <c r="E59" s="586"/>
      <c r="F59" s="586"/>
      <c r="G59" s="586"/>
      <c r="H59" s="586"/>
      <c r="I59" s="586"/>
    </row>
    <row r="60" spans="1:9" ht="12.6" hidden="1" customHeight="1" x14ac:dyDescent="0.35">
      <c r="A60" s="1682"/>
      <c r="B60" s="1682"/>
      <c r="C60" s="586"/>
      <c r="D60" s="586"/>
      <c r="E60" s="586"/>
      <c r="F60" s="586"/>
      <c r="G60" s="586"/>
      <c r="H60" s="586"/>
      <c r="I60" s="586"/>
    </row>
    <row r="61" spans="1:9" ht="12.6" hidden="1" customHeight="1" x14ac:dyDescent="0.35">
      <c r="A61" s="1682"/>
      <c r="B61" s="1682"/>
      <c r="C61" s="586"/>
      <c r="D61" s="586"/>
      <c r="E61" s="586"/>
      <c r="F61" s="586"/>
      <c r="G61" s="586"/>
      <c r="H61" s="586"/>
      <c r="I61" s="586"/>
    </row>
    <row r="62" spans="1:9" ht="12.6" hidden="1" customHeight="1" x14ac:dyDescent="0.35">
      <c r="A62" s="1682"/>
      <c r="B62" s="1682"/>
      <c r="C62" s="586"/>
      <c r="D62" s="586"/>
      <c r="E62" s="586"/>
      <c r="F62" s="586"/>
      <c r="G62" s="586"/>
      <c r="H62" s="586"/>
      <c r="I62" s="586"/>
    </row>
    <row r="63" spans="1:9" ht="12.6" hidden="1" customHeight="1" x14ac:dyDescent="0.35">
      <c r="A63" s="1682"/>
      <c r="B63" s="1682"/>
      <c r="C63" s="586"/>
      <c r="D63" s="586"/>
      <c r="E63" s="586"/>
      <c r="F63" s="586"/>
      <c r="G63" s="586"/>
      <c r="H63" s="586"/>
      <c r="I63" s="586"/>
    </row>
    <row r="64" spans="1:9" ht="12.6" hidden="1" customHeight="1" x14ac:dyDescent="0.35">
      <c r="A64" s="1682"/>
      <c r="B64" s="1682"/>
      <c r="C64" s="586"/>
      <c r="D64" s="586"/>
      <c r="E64" s="586"/>
      <c r="F64" s="586"/>
      <c r="G64" s="586"/>
      <c r="H64" s="586"/>
      <c r="I64" s="586"/>
    </row>
    <row r="65" spans="1:9" ht="14.45" customHeight="1" x14ac:dyDescent="0.35">
      <c r="A65" s="587"/>
      <c r="B65" s="1682"/>
      <c r="C65" s="3180" t="s">
        <v>2263</v>
      </c>
      <c r="D65" s="3180"/>
      <c r="E65" s="3180"/>
      <c r="F65" s="3180"/>
      <c r="G65" s="3180"/>
      <c r="H65" s="3180"/>
      <c r="I65" s="3180"/>
    </row>
  </sheetData>
  <mergeCells count="28">
    <mergeCell ref="C65:I65"/>
    <mergeCell ref="B34:F34"/>
    <mergeCell ref="B35:B36"/>
    <mergeCell ref="C35:C36"/>
    <mergeCell ref="D35:D36"/>
    <mergeCell ref="E35:E36"/>
    <mergeCell ref="F35:F36"/>
    <mergeCell ref="G35:I35"/>
    <mergeCell ref="A53:B53"/>
    <mergeCell ref="C53:I53"/>
    <mergeCell ref="A54:B54"/>
    <mergeCell ref="C54:I54"/>
    <mergeCell ref="A33:I33"/>
    <mergeCell ref="A1:I1"/>
    <mergeCell ref="A2:I2"/>
    <mergeCell ref="A3:I3"/>
    <mergeCell ref="A4:I4"/>
    <mergeCell ref="C5:I5"/>
    <mergeCell ref="B6:B7"/>
    <mergeCell ref="C6:C7"/>
    <mergeCell ref="D6:D7"/>
    <mergeCell ref="E6:E7"/>
    <mergeCell ref="F6:F7"/>
    <mergeCell ref="G6:I6"/>
    <mergeCell ref="C29:I29"/>
    <mergeCell ref="A30:I30"/>
    <mergeCell ref="A31:I31"/>
    <mergeCell ref="A32:I32"/>
  </mergeCells>
  <printOptions horizontalCentered="1"/>
  <pageMargins left="0.118110236220472" right="0.31496062992126" top="0.35433070866141703" bottom="0" header="0.31496062992126" footer="0.31496062992126"/>
  <pageSetup scale="95" orientation="landscape" r:id="rId1"/>
  <rowBreaks count="1" manualBreakCount="1">
    <brk id="29"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367E0-51F6-4FDB-94D8-0970A60F017E}">
  <dimension ref="B1:U146"/>
  <sheetViews>
    <sheetView rightToLeft="1" topLeftCell="A44" zoomScale="112" zoomScaleNormal="112" workbookViewId="0">
      <selection activeCell="D106" sqref="D106"/>
    </sheetView>
  </sheetViews>
  <sheetFormatPr defaultColWidth="9.140625" defaultRowHeight="15" x14ac:dyDescent="0.35"/>
  <cols>
    <col min="1" max="1" width="1.28515625" style="1701" customWidth="1"/>
    <col min="2" max="2" width="2.5703125" style="1701" customWidth="1"/>
    <col min="3" max="3" width="8" style="1701" customWidth="1"/>
    <col min="4" max="4" width="29.7109375" style="637" customWidth="1"/>
    <col min="5" max="5" width="8.7109375" style="1701" customWidth="1"/>
    <col min="6" max="6" width="8.140625" style="1701" customWidth="1"/>
    <col min="7" max="7" width="9.42578125" style="1701" hidden="1" customWidth="1"/>
    <col min="8" max="8" width="7.5703125" style="1701" customWidth="1"/>
    <col min="9" max="9" width="7.140625" style="1701" customWidth="1"/>
    <col min="10" max="10" width="7.85546875" style="1701" customWidth="1"/>
    <col min="11" max="11" width="7.5703125" style="1701" customWidth="1"/>
    <col min="12" max="12" width="7.85546875" style="1701" customWidth="1"/>
    <col min="13" max="13" width="8.5703125" style="1701" customWidth="1"/>
    <col min="14" max="14" width="8.28515625" style="1701" customWidth="1"/>
    <col min="15" max="15" width="8.85546875" style="1701" customWidth="1"/>
    <col min="16" max="16" width="1.28515625" style="1701" customWidth="1"/>
    <col min="17" max="17" width="29" style="1701" customWidth="1"/>
    <col min="18" max="16384" width="9.140625" style="1701"/>
  </cols>
  <sheetData>
    <row r="1" spans="2:16" ht="13.9" customHeight="1" x14ac:dyDescent="0.4">
      <c r="B1" s="3184" t="s">
        <v>159</v>
      </c>
      <c r="C1" s="3184"/>
      <c r="D1" s="3184"/>
      <c r="E1" s="3184"/>
      <c r="F1" s="3184"/>
      <c r="G1" s="3184"/>
      <c r="H1" s="3184"/>
      <c r="I1" s="3184"/>
      <c r="J1" s="3184"/>
      <c r="K1" s="3184"/>
      <c r="L1" s="3184"/>
      <c r="M1" s="3184"/>
      <c r="N1" s="3184"/>
      <c r="O1" s="3184"/>
      <c r="P1" s="635"/>
    </row>
    <row r="2" spans="2:16" ht="13.9" customHeight="1" x14ac:dyDescent="0.4">
      <c r="B2" s="3184" t="s">
        <v>51</v>
      </c>
      <c r="C2" s="3184"/>
      <c r="D2" s="3184"/>
      <c r="E2" s="3184"/>
      <c r="F2" s="3184"/>
      <c r="G2" s="3184"/>
      <c r="H2" s="3184"/>
      <c r="I2" s="3184"/>
      <c r="J2" s="3184"/>
      <c r="K2" s="3184"/>
      <c r="L2" s="3184"/>
      <c r="M2" s="3184"/>
      <c r="N2" s="3184"/>
      <c r="O2" s="3184"/>
      <c r="P2" s="635"/>
    </row>
    <row r="3" spans="2:16" ht="13.9" customHeight="1" x14ac:dyDescent="0.4">
      <c r="B3" s="3184" t="s">
        <v>122</v>
      </c>
      <c r="C3" s="3184"/>
      <c r="D3" s="3184"/>
      <c r="E3" s="3184"/>
      <c r="F3" s="3184"/>
      <c r="G3" s="3184"/>
      <c r="H3" s="3184"/>
      <c r="I3" s="3184"/>
      <c r="J3" s="3184"/>
      <c r="K3" s="3184"/>
      <c r="L3" s="3184"/>
      <c r="M3" s="3184"/>
      <c r="N3" s="3184"/>
      <c r="O3" s="3184"/>
      <c r="P3" s="635"/>
    </row>
    <row r="4" spans="2:16" ht="13.9" customHeight="1" x14ac:dyDescent="0.4">
      <c r="B4" s="3184" t="s">
        <v>2004</v>
      </c>
      <c r="C4" s="3184"/>
      <c r="D4" s="3184"/>
      <c r="E4" s="3184"/>
      <c r="F4" s="3184"/>
      <c r="G4" s="3184"/>
      <c r="H4" s="3184"/>
      <c r="I4" s="3184"/>
      <c r="J4" s="3184"/>
      <c r="K4" s="3184"/>
      <c r="L4" s="3184"/>
      <c r="M4" s="3184"/>
      <c r="N4" s="3184"/>
      <c r="O4" s="3184"/>
      <c r="P4" s="635"/>
    </row>
    <row r="5" spans="2:16" s="179" customFormat="1" ht="23.45" customHeight="1" x14ac:dyDescent="0.2">
      <c r="B5" s="3185" t="s">
        <v>160</v>
      </c>
      <c r="C5" s="3185"/>
      <c r="D5" s="3185"/>
      <c r="E5" s="3185"/>
      <c r="F5" s="3185"/>
      <c r="G5" s="3185"/>
      <c r="H5" s="3185"/>
      <c r="I5" s="3185"/>
      <c r="J5" s="3185"/>
      <c r="K5" s="3185"/>
      <c r="L5" s="3185"/>
      <c r="M5" s="3185"/>
      <c r="N5" s="3186" t="s">
        <v>1312</v>
      </c>
      <c r="O5" s="3186"/>
      <c r="P5" s="1683"/>
    </row>
    <row r="6" spans="2:16" ht="12.75" customHeight="1" x14ac:dyDescent="0.35">
      <c r="B6" s="3199" t="s">
        <v>1185</v>
      </c>
      <c r="C6" s="3202" t="s">
        <v>53</v>
      </c>
      <c r="D6" s="3203" t="s">
        <v>54</v>
      </c>
      <c r="E6" s="3191" t="s">
        <v>1313</v>
      </c>
      <c r="F6" s="3204" t="s">
        <v>1314</v>
      </c>
      <c r="G6" s="3205"/>
      <c r="H6" s="3205"/>
      <c r="I6" s="3205"/>
      <c r="J6" s="3205"/>
      <c r="K6" s="3205"/>
      <c r="L6" s="3205"/>
      <c r="M6" s="3206"/>
      <c r="N6" s="3203" t="s">
        <v>135</v>
      </c>
      <c r="O6" s="3188" t="s">
        <v>1019</v>
      </c>
      <c r="P6" s="358"/>
    </row>
    <row r="7" spans="2:16" ht="30" customHeight="1" x14ac:dyDescent="0.35">
      <c r="B7" s="3200"/>
      <c r="C7" s="3202"/>
      <c r="D7" s="3203"/>
      <c r="E7" s="3191"/>
      <c r="F7" s="3191" t="s">
        <v>1315</v>
      </c>
      <c r="G7" s="3192" t="s">
        <v>1332</v>
      </c>
      <c r="H7" s="3193" t="s">
        <v>2260</v>
      </c>
      <c r="I7" s="3194"/>
      <c r="J7" s="3195"/>
      <c r="K7" s="3196" t="s">
        <v>1316</v>
      </c>
      <c r="L7" s="3197"/>
      <c r="M7" s="3198"/>
      <c r="N7" s="3203"/>
      <c r="O7" s="3189"/>
      <c r="P7" s="358"/>
    </row>
    <row r="8" spans="2:16" ht="36.6" customHeight="1" x14ac:dyDescent="0.35">
      <c r="B8" s="3201"/>
      <c r="C8" s="3202"/>
      <c r="D8" s="3203"/>
      <c r="E8" s="3191"/>
      <c r="F8" s="3191"/>
      <c r="G8" s="3192"/>
      <c r="H8" s="1685" t="s">
        <v>998</v>
      </c>
      <c r="I8" s="1685" t="s">
        <v>1126</v>
      </c>
      <c r="J8" s="631" t="s">
        <v>417</v>
      </c>
      <c r="K8" s="626" t="s">
        <v>1034</v>
      </c>
      <c r="L8" s="626" t="s">
        <v>999</v>
      </c>
      <c r="M8" s="626" t="s">
        <v>135</v>
      </c>
      <c r="N8" s="3203"/>
      <c r="O8" s="3190"/>
      <c r="P8" s="358"/>
    </row>
    <row r="9" spans="2:16" ht="15.6" customHeight="1" x14ac:dyDescent="0.35">
      <c r="B9" s="3199" t="s">
        <v>1186</v>
      </c>
      <c r="C9" s="609" t="s">
        <v>2068</v>
      </c>
      <c r="D9" s="1012" t="s">
        <v>557</v>
      </c>
      <c r="E9" s="507">
        <v>577993000000</v>
      </c>
      <c r="F9" s="395"/>
      <c r="G9" s="395"/>
      <c r="H9" s="395"/>
      <c r="I9" s="395"/>
      <c r="J9" s="395">
        <f>H9+I9</f>
        <v>0</v>
      </c>
      <c r="K9" s="395">
        <v>70000000000</v>
      </c>
      <c r="L9" s="395"/>
      <c r="M9" s="395">
        <f>K9+L9</f>
        <v>70000000000</v>
      </c>
      <c r="N9" s="395">
        <f>F9+J9+M9</f>
        <v>70000000000</v>
      </c>
      <c r="O9" s="395">
        <v>230000000000</v>
      </c>
      <c r="P9" s="396"/>
    </row>
    <row r="10" spans="2:16" ht="15.6" customHeight="1" x14ac:dyDescent="0.35">
      <c r="B10" s="3200"/>
      <c r="C10" s="609" t="s">
        <v>2069</v>
      </c>
      <c r="D10" s="1012" t="s">
        <v>563</v>
      </c>
      <c r="E10" s="1018">
        <v>410645000000</v>
      </c>
      <c r="F10" s="395"/>
      <c r="G10" s="395"/>
      <c r="H10" s="395"/>
      <c r="I10" s="395"/>
      <c r="J10" s="395">
        <f t="shared" ref="J10:J33" si="0">H10+I10</f>
        <v>0</v>
      </c>
      <c r="K10" s="395">
        <v>20000000000</v>
      </c>
      <c r="L10" s="395"/>
      <c r="M10" s="395">
        <f t="shared" ref="M10:M33" si="1">K10+L10</f>
        <v>20000000000</v>
      </c>
      <c r="N10" s="395">
        <f t="shared" ref="N10:N34" si="2">F10+J10+M10</f>
        <v>20000000000</v>
      </c>
      <c r="O10" s="630">
        <v>220600000000</v>
      </c>
      <c r="P10" s="396"/>
    </row>
    <row r="11" spans="2:16" ht="15.6" customHeight="1" x14ac:dyDescent="0.35">
      <c r="B11" s="3200"/>
      <c r="C11" s="609">
        <v>1307002010</v>
      </c>
      <c r="D11" s="1012" t="s">
        <v>79</v>
      </c>
      <c r="E11" s="610">
        <v>41076920000000</v>
      </c>
      <c r="F11" s="395">
        <v>6396833000000</v>
      </c>
      <c r="G11" s="395"/>
      <c r="H11" s="2935">
        <v>6740000000</v>
      </c>
      <c r="I11" s="2935">
        <v>134128000000</v>
      </c>
      <c r="J11" s="2935">
        <f t="shared" si="0"/>
        <v>140868000000</v>
      </c>
      <c r="K11" s="395">
        <v>1945261000000</v>
      </c>
      <c r="L11" s="395"/>
      <c r="M11" s="395">
        <f t="shared" si="1"/>
        <v>1945261000000</v>
      </c>
      <c r="N11" s="395">
        <f t="shared" si="2"/>
        <v>8482962000000</v>
      </c>
      <c r="O11" s="395">
        <v>33056770000000</v>
      </c>
      <c r="P11" s="396"/>
    </row>
    <row r="12" spans="2:16" ht="15.6" customHeight="1" x14ac:dyDescent="0.35">
      <c r="B12" s="3200"/>
      <c r="C12" s="609" t="s">
        <v>2071</v>
      </c>
      <c r="D12" s="1012" t="s">
        <v>1800</v>
      </c>
      <c r="E12" s="610">
        <v>214410000000</v>
      </c>
      <c r="F12" s="395"/>
      <c r="G12" s="395"/>
      <c r="H12" s="2935"/>
      <c r="I12" s="2935"/>
      <c r="J12" s="2935">
        <f t="shared" si="0"/>
        <v>0</v>
      </c>
      <c r="K12" s="395">
        <v>19433000000</v>
      </c>
      <c r="L12" s="395"/>
      <c r="M12" s="395">
        <f t="shared" si="1"/>
        <v>19433000000</v>
      </c>
      <c r="N12" s="395">
        <f t="shared" si="2"/>
        <v>19433000000</v>
      </c>
      <c r="O12" s="395">
        <v>139000000000</v>
      </c>
      <c r="P12" s="396"/>
    </row>
    <row r="13" spans="2:16" ht="15.6" customHeight="1" x14ac:dyDescent="0.35">
      <c r="B13" s="3200"/>
      <c r="C13" s="609">
        <v>1503002046</v>
      </c>
      <c r="D13" s="1012" t="s">
        <v>83</v>
      </c>
      <c r="E13" s="610">
        <v>21298170000000</v>
      </c>
      <c r="F13" s="395">
        <v>3564489000000</v>
      </c>
      <c r="G13" s="395"/>
      <c r="H13" s="2935"/>
      <c r="I13" s="2935">
        <v>48000000000</v>
      </c>
      <c r="J13" s="2935">
        <f t="shared" si="0"/>
        <v>48000000000</v>
      </c>
      <c r="K13" s="395">
        <v>327800000000</v>
      </c>
      <c r="L13" s="395"/>
      <c r="M13" s="395">
        <f t="shared" si="1"/>
        <v>327800000000</v>
      </c>
      <c r="N13" s="395">
        <f t="shared" si="2"/>
        <v>3940289000000</v>
      </c>
      <c r="O13" s="630">
        <v>16862528000000</v>
      </c>
      <c r="P13" s="396"/>
    </row>
    <row r="14" spans="2:16" ht="15.6" customHeight="1" x14ac:dyDescent="0.35">
      <c r="B14" s="3200"/>
      <c r="C14" s="609">
        <v>1503002096</v>
      </c>
      <c r="D14" s="1012" t="s">
        <v>84</v>
      </c>
      <c r="E14" s="1018">
        <v>3654884000000</v>
      </c>
      <c r="F14" s="395">
        <v>403885000000</v>
      </c>
      <c r="G14" s="395"/>
      <c r="H14" s="2935"/>
      <c r="I14" s="2935">
        <v>3860000000</v>
      </c>
      <c r="J14" s="2935">
        <f t="shared" si="0"/>
        <v>3860000000</v>
      </c>
      <c r="K14" s="395"/>
      <c r="L14" s="395"/>
      <c r="M14" s="395">
        <f t="shared" si="1"/>
        <v>0</v>
      </c>
      <c r="N14" s="395">
        <f t="shared" si="2"/>
        <v>407745000000</v>
      </c>
      <c r="O14" s="630">
        <v>3205007000000</v>
      </c>
      <c r="P14" s="396"/>
    </row>
    <row r="15" spans="2:16" ht="15.6" customHeight="1" x14ac:dyDescent="0.35">
      <c r="B15" s="3200"/>
      <c r="C15" s="609">
        <v>1503002173</v>
      </c>
      <c r="D15" s="1012" t="s">
        <v>85</v>
      </c>
      <c r="E15" s="1018">
        <v>8824489000000</v>
      </c>
      <c r="F15" s="395">
        <v>1697242000000</v>
      </c>
      <c r="G15" s="395"/>
      <c r="H15" s="2935"/>
      <c r="I15" s="2935">
        <v>16000000000</v>
      </c>
      <c r="J15" s="2935">
        <f t="shared" si="0"/>
        <v>16000000000</v>
      </c>
      <c r="K15" s="395"/>
      <c r="L15" s="395"/>
      <c r="M15" s="395">
        <f t="shared" si="1"/>
        <v>0</v>
      </c>
      <c r="N15" s="395">
        <f t="shared" si="2"/>
        <v>1713242000000</v>
      </c>
      <c r="O15" s="395">
        <v>6862918000000</v>
      </c>
      <c r="P15" s="396"/>
    </row>
    <row r="16" spans="2:16" ht="15.6" customHeight="1" x14ac:dyDescent="0.35">
      <c r="B16" s="3200"/>
      <c r="C16" s="611">
        <v>1503002067</v>
      </c>
      <c r="D16" s="1012" t="s">
        <v>86</v>
      </c>
      <c r="E16" s="1018">
        <v>3400088000000</v>
      </c>
      <c r="F16" s="395">
        <v>144902000000</v>
      </c>
      <c r="G16" s="395"/>
      <c r="H16" s="2935">
        <v>922000000</v>
      </c>
      <c r="I16" s="2935">
        <v>1538000000</v>
      </c>
      <c r="J16" s="2935">
        <f t="shared" si="0"/>
        <v>2460000000</v>
      </c>
      <c r="K16" s="395">
        <v>8558000000</v>
      </c>
      <c r="L16" s="395"/>
      <c r="M16" s="395">
        <f t="shared" si="1"/>
        <v>8558000000</v>
      </c>
      <c r="N16" s="395">
        <f t="shared" si="2"/>
        <v>155920000000</v>
      </c>
      <c r="O16" s="630">
        <v>3193936000000</v>
      </c>
      <c r="P16" s="396"/>
    </row>
    <row r="17" spans="2:16" ht="15.6" customHeight="1" x14ac:dyDescent="0.35">
      <c r="B17" s="3200"/>
      <c r="C17" s="689">
        <v>1307006001</v>
      </c>
      <c r="D17" s="1012" t="s">
        <v>87</v>
      </c>
      <c r="E17" s="505">
        <v>1038816000000</v>
      </c>
      <c r="F17" s="395">
        <v>660982000000</v>
      </c>
      <c r="G17" s="395"/>
      <c r="H17" s="2935">
        <v>157653000000</v>
      </c>
      <c r="I17" s="2935">
        <v>457833000000</v>
      </c>
      <c r="J17" s="2935">
        <f t="shared" si="0"/>
        <v>615486000000</v>
      </c>
      <c r="K17" s="395">
        <v>70000000000</v>
      </c>
      <c r="L17" s="395"/>
      <c r="M17" s="395">
        <f t="shared" si="1"/>
        <v>70000000000</v>
      </c>
      <c r="N17" s="395">
        <f t="shared" si="2"/>
        <v>1346468000000</v>
      </c>
      <c r="O17" s="395"/>
      <c r="P17" s="396"/>
    </row>
    <row r="18" spans="2:16" ht="15.6" customHeight="1" x14ac:dyDescent="0.35">
      <c r="B18" s="3200"/>
      <c r="C18" s="609">
        <v>1503003006</v>
      </c>
      <c r="D18" s="1012" t="s">
        <v>663</v>
      </c>
      <c r="E18" s="505">
        <v>9652497000000</v>
      </c>
      <c r="F18" s="640">
        <v>7324059000000</v>
      </c>
      <c r="G18" s="640"/>
      <c r="H18" s="2936"/>
      <c r="I18" s="2937">
        <v>567377000000</v>
      </c>
      <c r="J18" s="2935">
        <f t="shared" si="0"/>
        <v>567377000000</v>
      </c>
      <c r="K18" s="395">
        <v>862400000000</v>
      </c>
      <c r="L18" s="395"/>
      <c r="M18" s="395">
        <f t="shared" si="1"/>
        <v>862400000000</v>
      </c>
      <c r="N18" s="395">
        <f t="shared" si="2"/>
        <v>8753836000000</v>
      </c>
      <c r="O18" s="395"/>
      <c r="P18" s="396"/>
    </row>
    <row r="19" spans="2:16" ht="15.6" customHeight="1" x14ac:dyDescent="0.35">
      <c r="B19" s="3200"/>
      <c r="C19" s="689" t="s">
        <v>2049</v>
      </c>
      <c r="D19" s="1012" t="s">
        <v>812</v>
      </c>
      <c r="E19" s="505">
        <v>3037139000000</v>
      </c>
      <c r="F19" s="395"/>
      <c r="G19" s="395"/>
      <c r="H19" s="2935"/>
      <c r="I19" s="2935"/>
      <c r="J19" s="2935">
        <f t="shared" si="0"/>
        <v>0</v>
      </c>
      <c r="K19" s="395">
        <v>1136000000000</v>
      </c>
      <c r="L19" s="395"/>
      <c r="M19" s="395">
        <f t="shared" si="1"/>
        <v>1136000000000</v>
      </c>
      <c r="N19" s="395">
        <f t="shared" si="2"/>
        <v>1136000000000</v>
      </c>
      <c r="O19" s="395"/>
      <c r="P19" s="396"/>
    </row>
    <row r="20" spans="2:16" ht="15.6" customHeight="1" x14ac:dyDescent="0.35">
      <c r="B20" s="3200"/>
      <c r="C20" s="689" t="s">
        <v>2062</v>
      </c>
      <c r="D20" s="1012" t="s">
        <v>560</v>
      </c>
      <c r="E20" s="505">
        <v>295000000000</v>
      </c>
      <c r="F20" s="395"/>
      <c r="G20" s="395"/>
      <c r="H20" s="2935"/>
      <c r="I20" s="2935"/>
      <c r="J20" s="2935">
        <f t="shared" si="0"/>
        <v>0</v>
      </c>
      <c r="K20" s="395">
        <v>145000000000</v>
      </c>
      <c r="L20" s="395"/>
      <c r="M20" s="395">
        <f t="shared" si="1"/>
        <v>145000000000</v>
      </c>
      <c r="N20" s="395">
        <f t="shared" si="2"/>
        <v>145000000000</v>
      </c>
      <c r="O20" s="395"/>
      <c r="P20" s="396"/>
    </row>
    <row r="21" spans="2:16" ht="15.6" customHeight="1" x14ac:dyDescent="0.35">
      <c r="B21" s="3200"/>
      <c r="C21" s="689" t="s">
        <v>2067</v>
      </c>
      <c r="D21" s="1012" t="s">
        <v>2238</v>
      </c>
      <c r="E21" s="505">
        <v>737421000000</v>
      </c>
      <c r="F21" s="395"/>
      <c r="G21" s="395"/>
      <c r="H21" s="2935"/>
      <c r="I21" s="2935"/>
      <c r="J21" s="2935">
        <f t="shared" si="0"/>
        <v>0</v>
      </c>
      <c r="K21" s="395">
        <v>130747000000</v>
      </c>
      <c r="L21" s="395"/>
      <c r="M21" s="395">
        <f t="shared" si="1"/>
        <v>130747000000</v>
      </c>
      <c r="N21" s="395">
        <f t="shared" si="2"/>
        <v>130747000000</v>
      </c>
      <c r="O21" s="395">
        <v>172653000000</v>
      </c>
      <c r="P21" s="396"/>
    </row>
    <row r="22" spans="2:16" ht="15.6" customHeight="1" x14ac:dyDescent="0.35">
      <c r="B22" s="3200"/>
      <c r="C22" s="2931" t="s">
        <v>2053</v>
      </c>
      <c r="D22" s="2932" t="s">
        <v>658</v>
      </c>
      <c r="E22" s="1018">
        <v>1312575000000</v>
      </c>
      <c r="F22" s="395"/>
      <c r="G22" s="395"/>
      <c r="H22" s="2935"/>
      <c r="I22" s="2935"/>
      <c r="J22" s="2935">
        <f t="shared" si="0"/>
        <v>0</v>
      </c>
      <c r="K22" s="395">
        <v>314700000000</v>
      </c>
      <c r="L22" s="395"/>
      <c r="M22" s="395">
        <f t="shared" si="1"/>
        <v>314700000000</v>
      </c>
      <c r="N22" s="395">
        <f t="shared" si="2"/>
        <v>314700000000</v>
      </c>
      <c r="O22" s="395">
        <v>1000737000000</v>
      </c>
      <c r="P22" s="396"/>
    </row>
    <row r="23" spans="2:16" ht="15.6" customHeight="1" x14ac:dyDescent="0.35">
      <c r="B23" s="3200"/>
      <c r="C23" s="609" t="s">
        <v>2058</v>
      </c>
      <c r="D23" s="1012" t="s">
        <v>659</v>
      </c>
      <c r="E23" s="505">
        <v>1373685000000</v>
      </c>
      <c r="F23" s="395"/>
      <c r="G23" s="395"/>
      <c r="H23" s="2935"/>
      <c r="I23" s="2935"/>
      <c r="J23" s="2935">
        <f t="shared" si="0"/>
        <v>0</v>
      </c>
      <c r="K23" s="395">
        <v>236042000000</v>
      </c>
      <c r="L23" s="395"/>
      <c r="M23" s="395">
        <f t="shared" si="1"/>
        <v>236042000000</v>
      </c>
      <c r="N23" s="395">
        <f t="shared" si="2"/>
        <v>236042000000</v>
      </c>
      <c r="O23" s="395">
        <v>732741000000</v>
      </c>
      <c r="P23" s="396"/>
    </row>
    <row r="24" spans="2:16" ht="15.6" customHeight="1" x14ac:dyDescent="0.35">
      <c r="B24" s="3200"/>
      <c r="C24" s="609" t="s">
        <v>2051</v>
      </c>
      <c r="D24" s="1012" t="s">
        <v>660</v>
      </c>
      <c r="E24" s="505">
        <v>973937000000</v>
      </c>
      <c r="F24" s="395"/>
      <c r="G24" s="395"/>
      <c r="H24" s="2935"/>
      <c r="I24" s="2935"/>
      <c r="J24" s="2935">
        <f t="shared" si="0"/>
        <v>0</v>
      </c>
      <c r="K24" s="395">
        <v>562975000000</v>
      </c>
      <c r="L24" s="395"/>
      <c r="M24" s="395">
        <f t="shared" si="1"/>
        <v>562975000000</v>
      </c>
      <c r="N24" s="395">
        <f t="shared" si="2"/>
        <v>562975000000</v>
      </c>
      <c r="O24" s="395">
        <v>154500000000</v>
      </c>
      <c r="P24" s="396"/>
    </row>
    <row r="25" spans="2:16" ht="15.6" customHeight="1" x14ac:dyDescent="0.35">
      <c r="B25" s="3200"/>
      <c r="C25" s="609" t="s">
        <v>2050</v>
      </c>
      <c r="D25" s="1012" t="s">
        <v>814</v>
      </c>
      <c r="E25" s="1018">
        <v>4047317000000</v>
      </c>
      <c r="F25" s="395"/>
      <c r="G25" s="395"/>
      <c r="H25" s="2935"/>
      <c r="I25" s="2935"/>
      <c r="J25" s="2935">
        <f t="shared" si="0"/>
        <v>0</v>
      </c>
      <c r="K25" s="395">
        <v>670714000000</v>
      </c>
      <c r="L25" s="395"/>
      <c r="M25" s="395">
        <f t="shared" si="1"/>
        <v>670714000000</v>
      </c>
      <c r="N25" s="395">
        <f t="shared" si="2"/>
        <v>670714000000</v>
      </c>
      <c r="O25" s="630">
        <v>2652082000000</v>
      </c>
      <c r="P25" s="396"/>
    </row>
    <row r="26" spans="2:16" ht="15.6" customHeight="1" x14ac:dyDescent="0.35">
      <c r="B26" s="3200"/>
      <c r="C26" s="609" t="s">
        <v>2055</v>
      </c>
      <c r="D26" s="1012" t="s">
        <v>815</v>
      </c>
      <c r="E26" s="505">
        <v>2809351000000</v>
      </c>
      <c r="F26" s="395"/>
      <c r="G26" s="395"/>
      <c r="H26" s="2935"/>
      <c r="I26" s="2935"/>
      <c r="J26" s="2935">
        <f t="shared" si="0"/>
        <v>0</v>
      </c>
      <c r="K26" s="395">
        <v>315548000000</v>
      </c>
      <c r="L26" s="395"/>
      <c r="M26" s="395">
        <f t="shared" si="1"/>
        <v>315548000000</v>
      </c>
      <c r="N26" s="395">
        <f t="shared" si="2"/>
        <v>315548000000</v>
      </c>
      <c r="O26" s="630">
        <v>1796200000000</v>
      </c>
      <c r="P26" s="396"/>
    </row>
    <row r="27" spans="2:16" ht="15.6" customHeight="1" x14ac:dyDescent="0.35">
      <c r="B27" s="3200"/>
      <c r="C27" s="609" t="s">
        <v>2064</v>
      </c>
      <c r="D27" s="1012" t="s">
        <v>816</v>
      </c>
      <c r="E27" s="505">
        <v>198936000000</v>
      </c>
      <c r="F27" s="395"/>
      <c r="G27" s="395"/>
      <c r="H27" s="2935"/>
      <c r="I27" s="2935"/>
      <c r="J27" s="2935">
        <f t="shared" si="0"/>
        <v>0</v>
      </c>
      <c r="K27" s="395">
        <v>50000000000</v>
      </c>
      <c r="L27" s="395"/>
      <c r="M27" s="395">
        <f t="shared" si="1"/>
        <v>50000000000</v>
      </c>
      <c r="N27" s="395">
        <f t="shared" si="2"/>
        <v>50000000000</v>
      </c>
      <c r="O27" s="395">
        <v>76100000000</v>
      </c>
      <c r="P27" s="396"/>
    </row>
    <row r="28" spans="2:16" ht="15.6" customHeight="1" x14ac:dyDescent="0.35">
      <c r="B28" s="3200"/>
      <c r="C28" s="609" t="s">
        <v>2056</v>
      </c>
      <c r="D28" s="1015" t="s">
        <v>817</v>
      </c>
      <c r="E28" s="505">
        <v>1830620000000</v>
      </c>
      <c r="F28" s="395"/>
      <c r="G28" s="395"/>
      <c r="H28" s="2935"/>
      <c r="I28" s="2935"/>
      <c r="J28" s="2935">
        <f t="shared" si="0"/>
        <v>0</v>
      </c>
      <c r="K28" s="395">
        <v>534000000000</v>
      </c>
      <c r="L28" s="395"/>
      <c r="M28" s="395">
        <f t="shared" si="1"/>
        <v>534000000000</v>
      </c>
      <c r="N28" s="395">
        <f t="shared" si="2"/>
        <v>534000000000</v>
      </c>
      <c r="O28" s="395">
        <v>325870000000</v>
      </c>
      <c r="P28" s="396"/>
    </row>
    <row r="29" spans="2:16" ht="15.6" customHeight="1" x14ac:dyDescent="0.35">
      <c r="B29" s="3200"/>
      <c r="C29" s="609" t="s">
        <v>2061</v>
      </c>
      <c r="D29" s="1016" t="s">
        <v>661</v>
      </c>
      <c r="E29" s="507">
        <v>1252869000000</v>
      </c>
      <c r="F29" s="395"/>
      <c r="G29" s="395"/>
      <c r="H29" s="2935"/>
      <c r="I29" s="2935"/>
      <c r="J29" s="2935">
        <f t="shared" si="0"/>
        <v>0</v>
      </c>
      <c r="K29" s="395">
        <v>151930000000</v>
      </c>
      <c r="L29" s="395"/>
      <c r="M29" s="395">
        <f t="shared" si="1"/>
        <v>151930000000</v>
      </c>
      <c r="N29" s="395">
        <f t="shared" si="2"/>
        <v>151930000000</v>
      </c>
      <c r="O29" s="395">
        <v>762184000000</v>
      </c>
      <c r="P29" s="396"/>
    </row>
    <row r="30" spans="2:16" ht="15.6" customHeight="1" x14ac:dyDescent="0.35">
      <c r="B30" s="3200"/>
      <c r="C30" s="609" t="s">
        <v>2052</v>
      </c>
      <c r="D30" s="1016" t="s">
        <v>818</v>
      </c>
      <c r="E30" s="612">
        <v>1758116000000</v>
      </c>
      <c r="F30" s="395"/>
      <c r="G30" s="395"/>
      <c r="H30" s="2935"/>
      <c r="I30" s="2935"/>
      <c r="J30" s="2935">
        <f t="shared" si="0"/>
        <v>0</v>
      </c>
      <c r="K30" s="395">
        <v>418200000000</v>
      </c>
      <c r="L30" s="395"/>
      <c r="M30" s="395">
        <f t="shared" si="1"/>
        <v>418200000000</v>
      </c>
      <c r="N30" s="395">
        <f t="shared" si="2"/>
        <v>418200000000</v>
      </c>
      <c r="O30" s="395">
        <v>811261000000</v>
      </c>
      <c r="P30" s="396"/>
    </row>
    <row r="31" spans="2:16" ht="15.6" customHeight="1" x14ac:dyDescent="0.35">
      <c r="B31" s="3200"/>
      <c r="C31" s="609" t="s">
        <v>2057</v>
      </c>
      <c r="D31" s="1016" t="s">
        <v>1106</v>
      </c>
      <c r="E31" s="507">
        <v>1234251000000</v>
      </c>
      <c r="F31" s="395"/>
      <c r="G31" s="395"/>
      <c r="H31" s="2935"/>
      <c r="I31" s="2935"/>
      <c r="J31" s="2935">
        <f t="shared" si="0"/>
        <v>0</v>
      </c>
      <c r="K31" s="395">
        <v>313500000000</v>
      </c>
      <c r="L31" s="395"/>
      <c r="M31" s="395">
        <f t="shared" si="1"/>
        <v>313500000000</v>
      </c>
      <c r="N31" s="395">
        <f t="shared" si="2"/>
        <v>313500000000</v>
      </c>
      <c r="O31" s="395">
        <v>336000000000</v>
      </c>
      <c r="P31" s="396"/>
    </row>
    <row r="32" spans="2:16" ht="15.6" customHeight="1" x14ac:dyDescent="0.35">
      <c r="B32" s="3200"/>
      <c r="C32" s="609" t="s">
        <v>2054</v>
      </c>
      <c r="D32" s="1012" t="s">
        <v>662</v>
      </c>
      <c r="E32" s="613">
        <v>977259000000</v>
      </c>
      <c r="F32" s="395"/>
      <c r="G32" s="395"/>
      <c r="H32" s="2935"/>
      <c r="I32" s="2935"/>
      <c r="J32" s="2935">
        <f t="shared" si="0"/>
        <v>0</v>
      </c>
      <c r="K32" s="395">
        <v>285661000000</v>
      </c>
      <c r="L32" s="395"/>
      <c r="M32" s="395">
        <f t="shared" si="1"/>
        <v>285661000000</v>
      </c>
      <c r="N32" s="395">
        <f t="shared" si="2"/>
        <v>285661000000</v>
      </c>
      <c r="O32" s="395">
        <v>492845000000</v>
      </c>
      <c r="P32" s="396"/>
    </row>
    <row r="33" spans="2:16" ht="15.6" customHeight="1" x14ac:dyDescent="0.35">
      <c r="B33" s="3200"/>
      <c r="C33" s="609" t="s">
        <v>2063</v>
      </c>
      <c r="D33" s="1012" t="s">
        <v>819</v>
      </c>
      <c r="E33" s="1019">
        <v>244948000000</v>
      </c>
      <c r="F33" s="627"/>
      <c r="G33" s="627"/>
      <c r="H33" s="2938"/>
      <c r="I33" s="2938"/>
      <c r="J33" s="2935">
        <f t="shared" si="0"/>
        <v>0</v>
      </c>
      <c r="K33" s="627">
        <v>100000000000</v>
      </c>
      <c r="L33" s="627"/>
      <c r="M33" s="395">
        <f t="shared" si="1"/>
        <v>100000000000</v>
      </c>
      <c r="N33" s="395">
        <f t="shared" si="2"/>
        <v>100000000000</v>
      </c>
      <c r="O33" s="627">
        <v>163048000000</v>
      </c>
      <c r="P33" s="396"/>
    </row>
    <row r="34" spans="2:16" ht="14.45" customHeight="1" x14ac:dyDescent="0.35">
      <c r="B34" s="3187" t="s">
        <v>1318</v>
      </c>
      <c r="C34" s="3187"/>
      <c r="D34" s="3187"/>
      <c r="E34" s="397">
        <f>SUM(E9:E33)</f>
        <v>112232336000000</v>
      </c>
      <c r="F34" s="397">
        <f>SUM(F9:F33)</f>
        <v>20192392000000</v>
      </c>
      <c r="G34" s="397">
        <f>SUM(G9:G33)</f>
        <v>0</v>
      </c>
      <c r="H34" s="397">
        <f t="shared" ref="H34:O34" si="3">SUM(H9:H33)</f>
        <v>165315000000</v>
      </c>
      <c r="I34" s="397">
        <f t="shared" si="3"/>
        <v>1228736000000</v>
      </c>
      <c r="J34" s="397">
        <f t="shared" si="3"/>
        <v>1394051000000</v>
      </c>
      <c r="K34" s="397">
        <f>SUM(K9:K33)</f>
        <v>8688469000000</v>
      </c>
      <c r="L34" s="397"/>
      <c r="M34" s="397">
        <f>SUM(K34:K34)</f>
        <v>8688469000000</v>
      </c>
      <c r="N34" s="395">
        <f t="shared" si="2"/>
        <v>30274912000000</v>
      </c>
      <c r="O34" s="397">
        <f t="shared" si="3"/>
        <v>73246980000000</v>
      </c>
      <c r="P34" s="396"/>
    </row>
    <row r="35" spans="2:16" ht="13.9" customHeight="1" x14ac:dyDescent="0.35">
      <c r="B35" s="3078">
        <v>16</v>
      </c>
      <c r="C35" s="3078"/>
      <c r="D35" s="3078"/>
      <c r="E35" s="3078"/>
      <c r="F35" s="3078"/>
      <c r="G35" s="3078"/>
      <c r="H35" s="3078"/>
      <c r="I35" s="3078"/>
      <c r="J35" s="3078"/>
      <c r="K35" s="3078"/>
      <c r="L35" s="3078"/>
      <c r="M35" s="3078"/>
      <c r="N35" s="3078"/>
      <c r="O35" s="3078"/>
      <c r="P35" s="396"/>
    </row>
    <row r="36" spans="2:16" ht="21" customHeight="1" x14ac:dyDescent="0.35">
      <c r="B36" s="629"/>
      <c r="C36" s="3184" t="s">
        <v>159</v>
      </c>
      <c r="D36" s="3184"/>
      <c r="E36" s="3184"/>
      <c r="F36" s="3184"/>
      <c r="G36" s="3184"/>
      <c r="H36" s="3184"/>
      <c r="I36" s="3184"/>
      <c r="J36" s="3184"/>
      <c r="K36" s="3184"/>
      <c r="L36" s="3184"/>
      <c r="M36" s="3184"/>
      <c r="N36" s="3184"/>
      <c r="O36" s="3184"/>
      <c r="P36" s="3184"/>
    </row>
    <row r="37" spans="2:16" ht="21" customHeight="1" x14ac:dyDescent="0.35">
      <c r="B37" s="629"/>
      <c r="C37" s="3184" t="s">
        <v>51</v>
      </c>
      <c r="D37" s="3184"/>
      <c r="E37" s="3184"/>
      <c r="F37" s="3184"/>
      <c r="G37" s="3184"/>
      <c r="H37" s="3184"/>
      <c r="I37" s="3184"/>
      <c r="J37" s="3184"/>
      <c r="K37" s="3184"/>
      <c r="L37" s="3184"/>
      <c r="M37" s="3184"/>
      <c r="N37" s="3184"/>
      <c r="O37" s="3184"/>
      <c r="P37" s="3184"/>
    </row>
    <row r="38" spans="2:16" ht="21" customHeight="1" x14ac:dyDescent="0.35">
      <c r="B38" s="629"/>
      <c r="C38" s="3184" t="s">
        <v>122</v>
      </c>
      <c r="D38" s="3184"/>
      <c r="E38" s="3184"/>
      <c r="F38" s="3184"/>
      <c r="G38" s="3184"/>
      <c r="H38" s="3184"/>
      <c r="I38" s="3184"/>
      <c r="J38" s="3184"/>
      <c r="K38" s="3184"/>
      <c r="L38" s="3184"/>
      <c r="M38" s="3184"/>
      <c r="N38" s="3184"/>
      <c r="O38" s="3184"/>
      <c r="P38" s="3184"/>
    </row>
    <row r="39" spans="2:16" ht="21" customHeight="1" x14ac:dyDescent="0.35">
      <c r="B39" s="629"/>
      <c r="C39" s="3184" t="s">
        <v>2004</v>
      </c>
      <c r="D39" s="3184"/>
      <c r="E39" s="3184"/>
      <c r="F39" s="3184"/>
      <c r="G39" s="3184"/>
      <c r="H39" s="3184"/>
      <c r="I39" s="3184"/>
      <c r="J39" s="3184"/>
      <c r="K39" s="3184"/>
      <c r="L39" s="3184"/>
      <c r="M39" s="3184"/>
      <c r="N39" s="3184"/>
      <c r="O39" s="3184"/>
      <c r="P39" s="3184"/>
    </row>
    <row r="40" spans="2:16" ht="13.9" customHeight="1" x14ac:dyDescent="0.4">
      <c r="B40" s="3185" t="s">
        <v>1074</v>
      </c>
      <c r="C40" s="3185"/>
      <c r="D40" s="3185"/>
      <c r="E40" s="3185"/>
      <c r="F40" s="3185"/>
      <c r="G40" s="3185"/>
      <c r="H40" s="3185"/>
      <c r="I40" s="3185"/>
      <c r="J40" s="3185"/>
      <c r="K40" s="3185"/>
      <c r="L40" s="3185"/>
      <c r="M40" s="3185"/>
      <c r="N40" s="3207" t="s">
        <v>1312</v>
      </c>
      <c r="O40" s="3207"/>
      <c r="P40" s="635"/>
    </row>
    <row r="41" spans="2:16" ht="13.9" customHeight="1" x14ac:dyDescent="0.35">
      <c r="B41" s="3199" t="s">
        <v>1185</v>
      </c>
      <c r="C41" s="3202" t="s">
        <v>53</v>
      </c>
      <c r="D41" s="3203" t="s">
        <v>54</v>
      </c>
      <c r="E41" s="3191" t="s">
        <v>1313</v>
      </c>
      <c r="F41" s="3204" t="s">
        <v>1314</v>
      </c>
      <c r="G41" s="3205"/>
      <c r="H41" s="3205"/>
      <c r="I41" s="3205"/>
      <c r="J41" s="3205"/>
      <c r="K41" s="3205"/>
      <c r="L41" s="3205"/>
      <c r="M41" s="3206"/>
      <c r="N41" s="3203" t="s">
        <v>135</v>
      </c>
      <c r="O41" s="3188" t="s">
        <v>1019</v>
      </c>
      <c r="P41" s="3210"/>
    </row>
    <row r="42" spans="2:16" ht="31.9" customHeight="1" x14ac:dyDescent="0.35">
      <c r="B42" s="3200"/>
      <c r="C42" s="3202"/>
      <c r="D42" s="3203"/>
      <c r="E42" s="3191"/>
      <c r="F42" s="3191" t="s">
        <v>1315</v>
      </c>
      <c r="G42" s="3192" t="s">
        <v>1332</v>
      </c>
      <c r="H42" s="3193" t="s">
        <v>2260</v>
      </c>
      <c r="I42" s="3194"/>
      <c r="J42" s="3195"/>
      <c r="K42" s="3196" t="s">
        <v>1316</v>
      </c>
      <c r="L42" s="3197"/>
      <c r="M42" s="3198"/>
      <c r="N42" s="3203"/>
      <c r="O42" s="3189"/>
      <c r="P42" s="3210"/>
    </row>
    <row r="43" spans="2:16" ht="45.75" customHeight="1" x14ac:dyDescent="0.35">
      <c r="B43" s="3200"/>
      <c r="C43" s="3202"/>
      <c r="D43" s="3203"/>
      <c r="E43" s="3191"/>
      <c r="F43" s="3191"/>
      <c r="G43" s="3192"/>
      <c r="H43" s="1685" t="s">
        <v>998</v>
      </c>
      <c r="I43" s="1685" t="s">
        <v>1126</v>
      </c>
      <c r="J43" s="631" t="s">
        <v>417</v>
      </c>
      <c r="K43" s="626" t="s">
        <v>1034</v>
      </c>
      <c r="L43" s="626" t="s">
        <v>999</v>
      </c>
      <c r="M43" s="626" t="s">
        <v>135</v>
      </c>
      <c r="N43" s="3203"/>
      <c r="O43" s="3190"/>
      <c r="P43" s="3210"/>
    </row>
    <row r="44" spans="2:16" ht="21.75" customHeight="1" x14ac:dyDescent="0.35">
      <c r="B44" s="3201"/>
      <c r="C44" s="3211" t="s">
        <v>1319</v>
      </c>
      <c r="D44" s="3212"/>
      <c r="E44" s="1020">
        <f>E34</f>
        <v>112232336000000</v>
      </c>
      <c r="F44" s="630">
        <f>F34</f>
        <v>20192392000000</v>
      </c>
      <c r="G44" s="630">
        <f>G34</f>
        <v>0</v>
      </c>
      <c r="H44" s="630">
        <f>H34</f>
        <v>165315000000</v>
      </c>
      <c r="I44" s="630">
        <f>I34</f>
        <v>1228736000000</v>
      </c>
      <c r="J44" s="630">
        <f>H44+I44</f>
        <v>1394051000000</v>
      </c>
      <c r="K44" s="630">
        <f>K34</f>
        <v>8688469000000</v>
      </c>
      <c r="L44" s="630"/>
      <c r="M44" s="630">
        <f>M34</f>
        <v>8688469000000</v>
      </c>
      <c r="N44" s="630">
        <f>N34</f>
        <v>30274912000000</v>
      </c>
      <c r="O44" s="630">
        <f>O34</f>
        <v>73246980000000</v>
      </c>
      <c r="P44" s="1686"/>
    </row>
    <row r="45" spans="2:16" ht="20.25" customHeight="1" x14ac:dyDescent="0.35">
      <c r="B45" s="3199" t="s">
        <v>1299</v>
      </c>
      <c r="C45" s="609" t="s">
        <v>2066</v>
      </c>
      <c r="D45" s="1012" t="s">
        <v>1801</v>
      </c>
      <c r="E45" s="1019">
        <v>189668000000</v>
      </c>
      <c r="F45" s="641"/>
      <c r="G45" s="641"/>
      <c r="H45" s="2939"/>
      <c r="I45" s="2939"/>
      <c r="J45" s="2940">
        <f t="shared" ref="J45:J61" si="4">H45+I45</f>
        <v>0</v>
      </c>
      <c r="K45" s="641">
        <v>35000000000</v>
      </c>
      <c r="L45" s="641"/>
      <c r="M45" s="643">
        <f>K45+L45</f>
        <v>35000000000</v>
      </c>
      <c r="N45" s="630">
        <f>F45+J45+M45</f>
        <v>35000000000</v>
      </c>
      <c r="O45" s="395">
        <v>35000000000</v>
      </c>
      <c r="P45" s="396"/>
    </row>
    <row r="46" spans="2:16" ht="20.25" customHeight="1" x14ac:dyDescent="0.35">
      <c r="B46" s="3200"/>
      <c r="C46" s="609" t="s">
        <v>2059</v>
      </c>
      <c r="D46" s="1012" t="s">
        <v>1108</v>
      </c>
      <c r="E46" s="506">
        <v>375000000000</v>
      </c>
      <c r="F46" s="395"/>
      <c r="G46" s="395"/>
      <c r="H46" s="2935"/>
      <c r="I46" s="2935"/>
      <c r="J46" s="2940">
        <f t="shared" si="4"/>
        <v>0</v>
      </c>
      <c r="K46" s="641">
        <v>346100000000</v>
      </c>
      <c r="L46" s="641"/>
      <c r="M46" s="643">
        <f t="shared" ref="M46:M60" si="5">K46+L46</f>
        <v>346100000000</v>
      </c>
      <c r="N46" s="630">
        <f t="shared" ref="N46:N60" si="6">F46+J46+M46</f>
        <v>346100000000</v>
      </c>
      <c r="O46" s="395"/>
      <c r="P46" s="396"/>
    </row>
    <row r="47" spans="2:16" ht="20.25" customHeight="1" x14ac:dyDescent="0.35">
      <c r="B47" s="3200"/>
      <c r="C47" s="689" t="s">
        <v>2065</v>
      </c>
      <c r="D47" s="1012" t="s">
        <v>1105</v>
      </c>
      <c r="E47" s="1019">
        <v>1121200000000</v>
      </c>
      <c r="F47" s="395"/>
      <c r="G47" s="395"/>
      <c r="H47" s="2935"/>
      <c r="I47" s="2935"/>
      <c r="J47" s="2940">
        <f t="shared" si="4"/>
        <v>0</v>
      </c>
      <c r="K47" s="641">
        <v>100000000000</v>
      </c>
      <c r="L47" s="641"/>
      <c r="M47" s="643">
        <f t="shared" si="5"/>
        <v>100000000000</v>
      </c>
      <c r="N47" s="630">
        <f t="shared" si="6"/>
        <v>100000000000</v>
      </c>
      <c r="O47" s="395">
        <v>1021200000000</v>
      </c>
      <c r="P47" s="396"/>
    </row>
    <row r="48" spans="2:16" ht="20.25" customHeight="1" x14ac:dyDescent="0.35">
      <c r="B48" s="3200"/>
      <c r="C48" s="609" t="s">
        <v>2060</v>
      </c>
      <c r="D48" s="1012" t="s">
        <v>1109</v>
      </c>
      <c r="E48" s="508">
        <v>255000000000</v>
      </c>
      <c r="F48" s="395"/>
      <c r="G48" s="395"/>
      <c r="H48" s="2935"/>
      <c r="I48" s="2935"/>
      <c r="J48" s="2940">
        <f t="shared" si="4"/>
        <v>0</v>
      </c>
      <c r="K48" s="641">
        <v>219645000000</v>
      </c>
      <c r="L48" s="641"/>
      <c r="M48" s="643">
        <f t="shared" si="5"/>
        <v>219645000000</v>
      </c>
      <c r="N48" s="630">
        <f t="shared" si="6"/>
        <v>219645000000</v>
      </c>
      <c r="O48" s="395"/>
      <c r="P48" s="396"/>
    </row>
    <row r="49" spans="2:21" ht="21" customHeight="1" x14ac:dyDescent="0.35">
      <c r="B49" s="3200"/>
      <c r="C49" s="609">
        <v>1307002080</v>
      </c>
      <c r="D49" s="1012" t="s">
        <v>2248</v>
      </c>
      <c r="E49" s="507">
        <v>16218908000000</v>
      </c>
      <c r="F49" s="395">
        <v>10088222000000</v>
      </c>
      <c r="G49" s="395"/>
      <c r="H49" s="2935"/>
      <c r="I49" s="2935">
        <v>164807000000</v>
      </c>
      <c r="J49" s="2940">
        <f t="shared" si="4"/>
        <v>164807000000</v>
      </c>
      <c r="K49" s="641">
        <v>5502000000000</v>
      </c>
      <c r="L49" s="641"/>
      <c r="M49" s="643">
        <f t="shared" si="5"/>
        <v>5502000000000</v>
      </c>
      <c r="N49" s="630">
        <f t="shared" si="6"/>
        <v>15755029000000</v>
      </c>
      <c r="O49" s="395"/>
      <c r="P49" s="396"/>
    </row>
    <row r="50" spans="2:21" ht="20.25" customHeight="1" x14ac:dyDescent="0.35">
      <c r="B50" s="3200"/>
      <c r="C50" s="609">
        <v>1503003007</v>
      </c>
      <c r="D50" s="1012" t="s">
        <v>155</v>
      </c>
      <c r="E50" s="1013">
        <v>82039000000</v>
      </c>
      <c r="F50" s="395">
        <v>61039000000</v>
      </c>
      <c r="G50" s="395"/>
      <c r="H50" s="2935"/>
      <c r="I50" s="2935">
        <v>5000000000</v>
      </c>
      <c r="J50" s="2940">
        <f t="shared" si="4"/>
        <v>5000000000</v>
      </c>
      <c r="K50" s="641"/>
      <c r="L50" s="641"/>
      <c r="M50" s="643">
        <f t="shared" si="5"/>
        <v>0</v>
      </c>
      <c r="N50" s="630">
        <f t="shared" si="6"/>
        <v>66039000000</v>
      </c>
      <c r="O50" s="630"/>
      <c r="P50" s="396"/>
    </row>
    <row r="51" spans="2:21" ht="20.25" customHeight="1" x14ac:dyDescent="0.35">
      <c r="B51" s="3200"/>
      <c r="C51" s="609">
        <v>1503003008</v>
      </c>
      <c r="D51" s="1012" t="s">
        <v>156</v>
      </c>
      <c r="E51" s="1013">
        <v>30086000000</v>
      </c>
      <c r="F51" s="395">
        <v>22362000000</v>
      </c>
      <c r="G51" s="395"/>
      <c r="H51" s="2935"/>
      <c r="I51" s="2935">
        <v>1500000000</v>
      </c>
      <c r="J51" s="2940">
        <f t="shared" si="4"/>
        <v>1500000000</v>
      </c>
      <c r="K51" s="641">
        <v>5000000000</v>
      </c>
      <c r="L51" s="641"/>
      <c r="M51" s="643">
        <f t="shared" si="5"/>
        <v>5000000000</v>
      </c>
      <c r="N51" s="630">
        <f t="shared" si="6"/>
        <v>28862000000</v>
      </c>
      <c r="O51" s="630"/>
      <c r="P51" s="396"/>
    </row>
    <row r="52" spans="2:21" ht="20.25" customHeight="1" x14ac:dyDescent="0.35">
      <c r="B52" s="3200"/>
      <c r="C52" s="609">
        <v>1502001005</v>
      </c>
      <c r="D52" s="1012" t="s">
        <v>2243</v>
      </c>
      <c r="E52" s="1013">
        <v>1984422000000</v>
      </c>
      <c r="F52" s="395">
        <v>699785000000</v>
      </c>
      <c r="G52" s="395"/>
      <c r="H52" s="2935">
        <v>13800000000</v>
      </c>
      <c r="I52" s="2935">
        <v>90000000000</v>
      </c>
      <c r="J52" s="2940">
        <f t="shared" si="4"/>
        <v>103800000000</v>
      </c>
      <c r="K52" s="641"/>
      <c r="L52" s="641"/>
      <c r="M52" s="643">
        <f t="shared" si="5"/>
        <v>0</v>
      </c>
      <c r="N52" s="630">
        <f t="shared" si="6"/>
        <v>803585000000</v>
      </c>
      <c r="O52" s="630"/>
      <c r="P52" s="396"/>
    </row>
    <row r="53" spans="2:21" ht="20.25" customHeight="1" x14ac:dyDescent="0.35">
      <c r="B53" s="3200"/>
      <c r="C53" s="609">
        <v>1307002321</v>
      </c>
      <c r="D53" s="1012" t="s">
        <v>2245</v>
      </c>
      <c r="E53" s="610">
        <v>1080000000000</v>
      </c>
      <c r="F53" s="395"/>
      <c r="G53" s="395"/>
      <c r="H53" s="2935"/>
      <c r="I53" s="2935"/>
      <c r="J53" s="2940">
        <f t="shared" si="4"/>
        <v>0</v>
      </c>
      <c r="K53" s="641">
        <v>1080000000000</v>
      </c>
      <c r="L53" s="641"/>
      <c r="M53" s="643">
        <f t="shared" si="5"/>
        <v>1080000000000</v>
      </c>
      <c r="N53" s="630">
        <f t="shared" si="6"/>
        <v>1080000000000</v>
      </c>
      <c r="O53" s="630"/>
      <c r="P53" s="396"/>
    </row>
    <row r="54" spans="2:21" ht="20.25" customHeight="1" x14ac:dyDescent="0.35">
      <c r="B54" s="3200"/>
      <c r="C54" s="504">
        <v>1037002025</v>
      </c>
      <c r="D54" s="847" t="s">
        <v>1802</v>
      </c>
      <c r="E54" s="1018">
        <v>30238059000000</v>
      </c>
      <c r="F54" s="395">
        <v>933122000000</v>
      </c>
      <c r="G54" s="395"/>
      <c r="H54" s="2935"/>
      <c r="I54" s="2935"/>
      <c r="J54" s="2940">
        <f t="shared" si="4"/>
        <v>0</v>
      </c>
      <c r="K54" s="641"/>
      <c r="L54" s="641">
        <v>29304937000000</v>
      </c>
      <c r="M54" s="643">
        <f t="shared" si="5"/>
        <v>29304937000000</v>
      </c>
      <c r="N54" s="630">
        <f t="shared" si="6"/>
        <v>30238059000000</v>
      </c>
      <c r="O54" s="630"/>
      <c r="P54" s="396"/>
    </row>
    <row r="55" spans="2:21" ht="20.25" customHeight="1" x14ac:dyDescent="0.35">
      <c r="B55" s="3200"/>
      <c r="C55" s="609">
        <v>150217008</v>
      </c>
      <c r="D55" s="1017" t="s">
        <v>1803</v>
      </c>
      <c r="E55" s="1018">
        <v>85000000000</v>
      </c>
      <c r="F55" s="395"/>
      <c r="G55" s="395"/>
      <c r="H55" s="2935">
        <v>30000000000</v>
      </c>
      <c r="I55" s="2935">
        <v>55000000000</v>
      </c>
      <c r="J55" s="2940">
        <f t="shared" si="4"/>
        <v>85000000000</v>
      </c>
      <c r="K55" s="641"/>
      <c r="L55" s="641"/>
      <c r="M55" s="643">
        <f t="shared" si="5"/>
        <v>0</v>
      </c>
      <c r="N55" s="630">
        <f t="shared" si="6"/>
        <v>85000000000</v>
      </c>
      <c r="O55" s="630"/>
      <c r="P55" s="396"/>
    </row>
    <row r="56" spans="2:21" ht="20.25" customHeight="1" x14ac:dyDescent="0.35">
      <c r="B56" s="3200"/>
      <c r="C56" s="609">
        <v>1501001020</v>
      </c>
      <c r="D56" s="1017" t="s">
        <v>2247</v>
      </c>
      <c r="E56" s="1018">
        <v>8190000000000</v>
      </c>
      <c r="F56" s="395">
        <v>3490000000000</v>
      </c>
      <c r="G56" s="395"/>
      <c r="H56" s="2935"/>
      <c r="I56" s="2935"/>
      <c r="J56" s="2940">
        <f t="shared" si="4"/>
        <v>0</v>
      </c>
      <c r="K56" s="641"/>
      <c r="L56" s="641"/>
      <c r="M56" s="643">
        <f t="shared" si="5"/>
        <v>0</v>
      </c>
      <c r="N56" s="630">
        <f t="shared" si="6"/>
        <v>3490000000000</v>
      </c>
      <c r="O56" s="630"/>
      <c r="P56" s="396"/>
    </row>
    <row r="57" spans="2:21" ht="20.25" customHeight="1" x14ac:dyDescent="0.4">
      <c r="B57" s="3200"/>
      <c r="C57" s="609" t="s">
        <v>548</v>
      </c>
      <c r="D57" s="1012" t="s">
        <v>557</v>
      </c>
      <c r="E57" s="1436">
        <v>461691000000</v>
      </c>
      <c r="F57" s="395"/>
      <c r="G57" s="395"/>
      <c r="H57" s="2935">
        <v>1570000000</v>
      </c>
      <c r="I57" s="2935"/>
      <c r="J57" s="2940">
        <f t="shared" si="4"/>
        <v>1570000000</v>
      </c>
      <c r="K57" s="641"/>
      <c r="L57" s="641"/>
      <c r="M57" s="643">
        <f t="shared" si="5"/>
        <v>0</v>
      </c>
      <c r="N57" s="630">
        <f t="shared" si="6"/>
        <v>1570000000</v>
      </c>
      <c r="O57" s="630"/>
      <c r="P57" s="396"/>
      <c r="R57" s="402"/>
      <c r="S57" s="402"/>
      <c r="T57" s="402"/>
      <c r="U57" s="402"/>
    </row>
    <row r="58" spans="2:21" ht="20.25" customHeight="1" x14ac:dyDescent="0.4">
      <c r="B58" s="3200"/>
      <c r="C58" s="609" t="s">
        <v>546</v>
      </c>
      <c r="D58" s="1012" t="s">
        <v>563</v>
      </c>
      <c r="E58" s="2933">
        <v>76459000000</v>
      </c>
      <c r="F58" s="395"/>
      <c r="G58" s="395"/>
      <c r="H58" s="2935">
        <v>41210000000</v>
      </c>
      <c r="I58" s="2935"/>
      <c r="J58" s="2940">
        <f t="shared" si="4"/>
        <v>41210000000</v>
      </c>
      <c r="K58" s="641"/>
      <c r="L58" s="641"/>
      <c r="M58" s="643">
        <f t="shared" si="5"/>
        <v>0</v>
      </c>
      <c r="N58" s="630">
        <f t="shared" si="6"/>
        <v>41210000000</v>
      </c>
      <c r="O58" s="630"/>
      <c r="P58" s="396"/>
      <c r="R58" s="402"/>
      <c r="S58" s="402"/>
      <c r="T58" s="402"/>
      <c r="U58" s="402"/>
    </row>
    <row r="59" spans="2:21" ht="20.25" customHeight="1" x14ac:dyDescent="0.4">
      <c r="B59" s="3200"/>
      <c r="C59" s="689" t="s">
        <v>609</v>
      </c>
      <c r="D59" s="1012" t="s">
        <v>812</v>
      </c>
      <c r="E59" s="2934">
        <v>3408346000000</v>
      </c>
      <c r="F59" s="395"/>
      <c r="G59" s="395"/>
      <c r="H59" s="2935">
        <v>10000000000</v>
      </c>
      <c r="I59" s="2935">
        <v>5000000000</v>
      </c>
      <c r="J59" s="2940">
        <f t="shared" si="4"/>
        <v>15000000000</v>
      </c>
      <c r="K59" s="641"/>
      <c r="L59" s="641"/>
      <c r="M59" s="643">
        <f t="shared" si="5"/>
        <v>0</v>
      </c>
      <c r="N59" s="630">
        <f t="shared" si="6"/>
        <v>15000000000</v>
      </c>
      <c r="O59" s="630"/>
      <c r="P59" s="396"/>
      <c r="R59" s="402"/>
      <c r="S59" s="402"/>
      <c r="T59" s="402"/>
      <c r="U59" s="402"/>
    </row>
    <row r="60" spans="2:21" ht="20.25" customHeight="1" x14ac:dyDescent="0.4">
      <c r="B60" s="3201"/>
      <c r="C60" s="689" t="s">
        <v>540</v>
      </c>
      <c r="D60" s="1014" t="s">
        <v>559</v>
      </c>
      <c r="E60" s="2934">
        <v>777126000000</v>
      </c>
      <c r="F60" s="395"/>
      <c r="G60" s="395"/>
      <c r="H60" s="2935">
        <v>28250000000</v>
      </c>
      <c r="I60" s="2935">
        <v>15000000000</v>
      </c>
      <c r="J60" s="2940">
        <f t="shared" si="4"/>
        <v>43250000000</v>
      </c>
      <c r="K60" s="641"/>
      <c r="L60" s="641"/>
      <c r="M60" s="643">
        <f t="shared" si="5"/>
        <v>0</v>
      </c>
      <c r="N60" s="630">
        <f t="shared" si="6"/>
        <v>43250000000</v>
      </c>
      <c r="O60" s="395"/>
      <c r="P60" s="396"/>
      <c r="R60" s="402"/>
      <c r="S60" s="402"/>
      <c r="T60" s="402"/>
      <c r="U60" s="402"/>
    </row>
    <row r="61" spans="2:21" ht="30" customHeight="1" x14ac:dyDescent="0.35">
      <c r="B61" s="3208" t="s">
        <v>1321</v>
      </c>
      <c r="C61" s="3208"/>
      <c r="D61" s="3208"/>
      <c r="E61" s="507">
        <f>SUM(E44:E60)</f>
        <v>176805340000000</v>
      </c>
      <c r="F61" s="359">
        <f>SUM(F44:F60)</f>
        <v>35486922000000</v>
      </c>
      <c r="G61" s="359">
        <f>SUM(G44:G60)</f>
        <v>0</v>
      </c>
      <c r="H61" s="359">
        <f>SUM(H44:H60)</f>
        <v>290145000000</v>
      </c>
      <c r="I61" s="359">
        <f>SUM(I44:I60)</f>
        <v>1565043000000</v>
      </c>
      <c r="J61" s="630">
        <f t="shared" si="4"/>
        <v>1855188000000</v>
      </c>
      <c r="K61" s="359">
        <f>SUM(K44:K60)</f>
        <v>15976214000000</v>
      </c>
      <c r="L61" s="359">
        <f>SUM(L44:L60)</f>
        <v>29304937000000</v>
      </c>
      <c r="M61" s="359">
        <f>SUM(M44:M60)</f>
        <v>45281151000000</v>
      </c>
      <c r="N61" s="359">
        <f>SUM(N44:N60)</f>
        <v>82623261000000</v>
      </c>
      <c r="O61" s="359">
        <f>SUM(O44:O60)</f>
        <v>74303180000000</v>
      </c>
      <c r="P61" s="360"/>
    </row>
    <row r="62" spans="2:21" ht="15" customHeight="1" x14ac:dyDescent="0.35">
      <c r="B62" s="3209">
        <v>17000000</v>
      </c>
      <c r="C62" s="3209"/>
      <c r="D62" s="3209"/>
      <c r="E62" s="3209"/>
      <c r="F62" s="3209"/>
      <c r="G62" s="3209"/>
      <c r="H62" s="3209"/>
      <c r="I62" s="3209"/>
      <c r="J62" s="3209"/>
      <c r="K62" s="3209"/>
      <c r="L62" s="3209"/>
      <c r="M62" s="3209"/>
      <c r="N62" s="3209"/>
      <c r="O62" s="3209"/>
      <c r="P62" s="360"/>
    </row>
    <row r="63" spans="2:21" ht="15" customHeight="1" x14ac:dyDescent="0.35">
      <c r="B63" s="629"/>
      <c r="C63" s="3184" t="s">
        <v>159</v>
      </c>
      <c r="D63" s="3184"/>
      <c r="E63" s="3184"/>
      <c r="F63" s="3184"/>
      <c r="G63" s="3184"/>
      <c r="H63" s="3184"/>
      <c r="I63" s="3184"/>
      <c r="J63" s="3184"/>
      <c r="K63" s="3184"/>
      <c r="L63" s="3184"/>
      <c r="M63" s="3184"/>
      <c r="N63" s="3184"/>
      <c r="O63" s="3184"/>
      <c r="P63" s="3184"/>
    </row>
    <row r="64" spans="2:21" ht="15" customHeight="1" x14ac:dyDescent="0.35">
      <c r="B64" s="629"/>
      <c r="C64" s="3184" t="s">
        <v>51</v>
      </c>
      <c r="D64" s="3184"/>
      <c r="E64" s="3184"/>
      <c r="F64" s="3184"/>
      <c r="G64" s="3184"/>
      <c r="H64" s="3184"/>
      <c r="I64" s="3184"/>
      <c r="J64" s="3184"/>
      <c r="K64" s="3184"/>
      <c r="L64" s="3184"/>
      <c r="M64" s="3184"/>
      <c r="N64" s="3184"/>
      <c r="O64" s="3184"/>
      <c r="P64" s="3184"/>
    </row>
    <row r="65" spans="2:16" ht="15" customHeight="1" x14ac:dyDescent="0.35">
      <c r="B65" s="629"/>
      <c r="C65" s="3184" t="s">
        <v>122</v>
      </c>
      <c r="D65" s="3184"/>
      <c r="E65" s="3184"/>
      <c r="F65" s="3184"/>
      <c r="G65" s="3184"/>
      <c r="H65" s="3184"/>
      <c r="I65" s="3184"/>
      <c r="J65" s="3184"/>
      <c r="K65" s="3184"/>
      <c r="L65" s="3184"/>
      <c r="M65" s="3184"/>
      <c r="N65" s="3184"/>
      <c r="O65" s="3184"/>
      <c r="P65" s="3184"/>
    </row>
    <row r="66" spans="2:16" ht="15" customHeight="1" x14ac:dyDescent="0.35">
      <c r="B66" s="629"/>
      <c r="C66" s="3184" t="s">
        <v>2004</v>
      </c>
      <c r="D66" s="3184"/>
      <c r="E66" s="3184"/>
      <c r="F66" s="3184"/>
      <c r="G66" s="3184"/>
      <c r="H66" s="3184"/>
      <c r="I66" s="3184"/>
      <c r="J66" s="3184"/>
      <c r="K66" s="3184"/>
      <c r="L66" s="3184"/>
      <c r="M66" s="3184"/>
      <c r="N66" s="3184"/>
      <c r="O66" s="3184"/>
      <c r="P66" s="3184"/>
    </row>
    <row r="67" spans="2:16" ht="13.9" customHeight="1" x14ac:dyDescent="0.4">
      <c r="B67" s="3185" t="s">
        <v>1074</v>
      </c>
      <c r="C67" s="3185"/>
      <c r="D67" s="3185"/>
      <c r="E67" s="3185"/>
      <c r="F67" s="3185"/>
      <c r="G67" s="3185"/>
      <c r="H67" s="3185"/>
      <c r="I67" s="3185"/>
      <c r="J67" s="3185"/>
      <c r="K67" s="3185"/>
      <c r="L67" s="3185"/>
      <c r="M67" s="3185"/>
      <c r="N67" s="3207" t="s">
        <v>1312</v>
      </c>
      <c r="O67" s="3207"/>
      <c r="P67" s="635"/>
    </row>
    <row r="68" spans="2:16" ht="18" customHeight="1" x14ac:dyDescent="0.35">
      <c r="B68" s="3199" t="s">
        <v>1185</v>
      </c>
      <c r="C68" s="3202" t="s">
        <v>53</v>
      </c>
      <c r="D68" s="3203" t="s">
        <v>54</v>
      </c>
      <c r="E68" s="3191" t="s">
        <v>1313</v>
      </c>
      <c r="F68" s="3204" t="s">
        <v>1314</v>
      </c>
      <c r="G68" s="3205"/>
      <c r="H68" s="3205"/>
      <c r="I68" s="3205"/>
      <c r="J68" s="3205"/>
      <c r="K68" s="3205"/>
      <c r="L68" s="3205"/>
      <c r="M68" s="3206"/>
      <c r="N68" s="3203" t="s">
        <v>135</v>
      </c>
      <c r="O68" s="3188" t="s">
        <v>1019</v>
      </c>
      <c r="P68" s="3210"/>
    </row>
    <row r="69" spans="2:16" ht="18" customHeight="1" x14ac:dyDescent="0.35">
      <c r="B69" s="3200"/>
      <c r="C69" s="3202"/>
      <c r="D69" s="3203"/>
      <c r="E69" s="3191"/>
      <c r="F69" s="3191" t="s">
        <v>1315</v>
      </c>
      <c r="G69" s="3192" t="s">
        <v>1332</v>
      </c>
      <c r="H69" s="3193" t="s">
        <v>2260</v>
      </c>
      <c r="I69" s="3194"/>
      <c r="J69" s="3195"/>
      <c r="K69" s="3196" t="s">
        <v>1316</v>
      </c>
      <c r="L69" s="3197"/>
      <c r="M69" s="3198"/>
      <c r="N69" s="3203"/>
      <c r="O69" s="3189"/>
      <c r="P69" s="3210"/>
    </row>
    <row r="70" spans="2:16" ht="36" customHeight="1" x14ac:dyDescent="0.35">
      <c r="B70" s="3200"/>
      <c r="C70" s="3202"/>
      <c r="D70" s="3203"/>
      <c r="E70" s="3191"/>
      <c r="F70" s="3191"/>
      <c r="G70" s="3192"/>
      <c r="H70" s="1685" t="s">
        <v>998</v>
      </c>
      <c r="I70" s="1685" t="s">
        <v>1126</v>
      </c>
      <c r="J70" s="631" t="s">
        <v>417</v>
      </c>
      <c r="K70" s="626" t="s">
        <v>1034</v>
      </c>
      <c r="L70" s="626" t="s">
        <v>999</v>
      </c>
      <c r="M70" s="626" t="s">
        <v>135</v>
      </c>
      <c r="N70" s="3203"/>
      <c r="O70" s="3190"/>
      <c r="P70" s="3210"/>
    </row>
    <row r="71" spans="2:16" ht="24" customHeight="1" x14ac:dyDescent="0.35">
      <c r="B71" s="3201"/>
      <c r="C71" s="3211" t="s">
        <v>1319</v>
      </c>
      <c r="D71" s="3212"/>
      <c r="E71" s="1020">
        <f>E61</f>
        <v>176805340000000</v>
      </c>
      <c r="F71" s="1020">
        <f t="shared" ref="F71:M71" si="7">F61</f>
        <v>35486922000000</v>
      </c>
      <c r="G71" s="1020">
        <f t="shared" si="7"/>
        <v>0</v>
      </c>
      <c r="H71" s="1020">
        <f t="shared" si="7"/>
        <v>290145000000</v>
      </c>
      <c r="I71" s="1020">
        <f t="shared" si="7"/>
        <v>1565043000000</v>
      </c>
      <c r="J71" s="1020">
        <f t="shared" si="7"/>
        <v>1855188000000</v>
      </c>
      <c r="K71" s="1020">
        <f t="shared" si="7"/>
        <v>15976214000000</v>
      </c>
      <c r="L71" s="1020">
        <f t="shared" si="7"/>
        <v>29304937000000</v>
      </c>
      <c r="M71" s="1020">
        <f t="shared" si="7"/>
        <v>45281151000000</v>
      </c>
      <c r="N71" s="630">
        <f>N61</f>
        <v>82623261000000</v>
      </c>
      <c r="O71" s="630">
        <f>O61</f>
        <v>74303180000000</v>
      </c>
      <c r="P71" s="1686"/>
    </row>
    <row r="72" spans="2:16" ht="22.9" customHeight="1" x14ac:dyDescent="0.35">
      <c r="B72" s="3199" t="s">
        <v>1299</v>
      </c>
      <c r="C72" s="690" t="s">
        <v>542</v>
      </c>
      <c r="D72" s="1012" t="s">
        <v>560</v>
      </c>
      <c r="E72" s="2934">
        <v>488896000000</v>
      </c>
      <c r="F72" s="641"/>
      <c r="G72" s="641"/>
      <c r="H72" s="2939">
        <v>10000000000</v>
      </c>
      <c r="I72" s="2939"/>
      <c r="J72" s="2940">
        <f>H72+I72</f>
        <v>10000000000</v>
      </c>
      <c r="K72" s="641"/>
      <c r="L72" s="641"/>
      <c r="M72" s="643"/>
      <c r="N72" s="395">
        <f>F72+J72+M72</f>
        <v>10000000000</v>
      </c>
      <c r="O72" s="395"/>
      <c r="P72" s="396"/>
    </row>
    <row r="73" spans="2:16" ht="22.9" customHeight="1" x14ac:dyDescent="0.35">
      <c r="B73" s="3200"/>
      <c r="C73" s="689" t="s">
        <v>292</v>
      </c>
      <c r="D73" s="1012" t="s">
        <v>1105</v>
      </c>
      <c r="E73" s="507">
        <v>208000000000</v>
      </c>
      <c r="F73" s="395"/>
      <c r="G73" s="395"/>
      <c r="H73" s="2935">
        <v>10000000000</v>
      </c>
      <c r="I73" s="2935"/>
      <c r="J73" s="2940">
        <f t="shared" ref="J73:J88" si="8">H73+I73</f>
        <v>10000000000</v>
      </c>
      <c r="K73" s="641"/>
      <c r="L73" s="641"/>
      <c r="M73" s="643"/>
      <c r="N73" s="395">
        <f t="shared" ref="N73:N88" si="9">F73+J73+M73</f>
        <v>10000000000</v>
      </c>
      <c r="O73" s="395"/>
      <c r="P73" s="396"/>
    </row>
    <row r="74" spans="2:16" ht="22.9" customHeight="1" x14ac:dyDescent="0.35">
      <c r="B74" s="3200"/>
      <c r="C74" s="689" t="s">
        <v>1078</v>
      </c>
      <c r="D74" s="1012" t="s">
        <v>813</v>
      </c>
      <c r="E74" s="507">
        <v>352000000000</v>
      </c>
      <c r="F74" s="395"/>
      <c r="G74" s="395"/>
      <c r="H74" s="2935"/>
      <c r="I74" s="2935">
        <v>40000000000</v>
      </c>
      <c r="J74" s="2940">
        <f t="shared" si="8"/>
        <v>40000000000</v>
      </c>
      <c r="K74" s="641"/>
      <c r="L74" s="641"/>
      <c r="M74" s="643"/>
      <c r="N74" s="395">
        <f t="shared" si="9"/>
        <v>40000000000</v>
      </c>
      <c r="O74" s="395"/>
      <c r="P74" s="396"/>
    </row>
    <row r="75" spans="2:16" ht="22.9" customHeight="1" x14ac:dyDescent="0.35">
      <c r="B75" s="3200"/>
      <c r="C75" s="609" t="s">
        <v>634</v>
      </c>
      <c r="D75" s="1012" t="s">
        <v>659</v>
      </c>
      <c r="E75" s="507">
        <v>601338000000</v>
      </c>
      <c r="F75" s="395"/>
      <c r="G75" s="395"/>
      <c r="H75" s="2935">
        <v>446000000</v>
      </c>
      <c r="I75" s="2935">
        <v>7500000000</v>
      </c>
      <c r="J75" s="2940">
        <f t="shared" si="8"/>
        <v>7946000000</v>
      </c>
      <c r="K75" s="641"/>
      <c r="L75" s="641"/>
      <c r="M75" s="643"/>
      <c r="N75" s="395">
        <f t="shared" si="9"/>
        <v>7946000000</v>
      </c>
      <c r="O75" s="395"/>
      <c r="P75" s="396"/>
    </row>
    <row r="76" spans="2:16" ht="22.9" customHeight="1" x14ac:dyDescent="0.35">
      <c r="B76" s="3200"/>
      <c r="C76" s="609" t="s">
        <v>641</v>
      </c>
      <c r="D76" s="1012" t="s">
        <v>660</v>
      </c>
      <c r="E76" s="612">
        <v>373750000000</v>
      </c>
      <c r="F76" s="395"/>
      <c r="G76" s="395"/>
      <c r="H76" s="2935">
        <v>8500000000</v>
      </c>
      <c r="I76" s="2935"/>
      <c r="J76" s="2940">
        <f t="shared" si="8"/>
        <v>8500000000</v>
      </c>
      <c r="K76" s="641"/>
      <c r="L76" s="641"/>
      <c r="M76" s="643"/>
      <c r="N76" s="395">
        <f t="shared" si="9"/>
        <v>8500000000</v>
      </c>
      <c r="O76" s="395"/>
      <c r="P76" s="396"/>
    </row>
    <row r="77" spans="2:16" ht="22.9" customHeight="1" x14ac:dyDescent="0.35">
      <c r="B77" s="3200"/>
      <c r="C77" s="609" t="s">
        <v>622</v>
      </c>
      <c r="D77" s="1012" t="s">
        <v>814</v>
      </c>
      <c r="E77" s="507">
        <v>1946746000000</v>
      </c>
      <c r="F77" s="395"/>
      <c r="G77" s="395"/>
      <c r="H77" s="2935">
        <v>133484000000</v>
      </c>
      <c r="I77" s="2935">
        <v>30091000000</v>
      </c>
      <c r="J77" s="2940">
        <f t="shared" si="8"/>
        <v>163575000000</v>
      </c>
      <c r="K77" s="641"/>
      <c r="L77" s="641"/>
      <c r="M77" s="643"/>
      <c r="N77" s="395">
        <f t="shared" si="9"/>
        <v>163575000000</v>
      </c>
      <c r="O77" s="630"/>
      <c r="P77" s="396"/>
    </row>
    <row r="78" spans="2:16" ht="22.9" customHeight="1" x14ac:dyDescent="0.35">
      <c r="B78" s="3200"/>
      <c r="C78" s="609" t="s">
        <v>642</v>
      </c>
      <c r="D78" s="1012" t="s">
        <v>815</v>
      </c>
      <c r="E78" s="613">
        <v>1008928000000</v>
      </c>
      <c r="F78" s="395"/>
      <c r="G78" s="395"/>
      <c r="H78" s="2935">
        <v>62065000000</v>
      </c>
      <c r="I78" s="2935">
        <v>30000000000</v>
      </c>
      <c r="J78" s="2940">
        <f t="shared" si="8"/>
        <v>92065000000</v>
      </c>
      <c r="K78" s="641"/>
      <c r="L78" s="641"/>
      <c r="M78" s="643"/>
      <c r="N78" s="395">
        <f t="shared" si="9"/>
        <v>92065000000</v>
      </c>
      <c r="O78" s="630"/>
      <c r="P78" s="396"/>
    </row>
    <row r="79" spans="2:16" ht="22.9" customHeight="1" x14ac:dyDescent="0.35">
      <c r="B79" s="3200"/>
      <c r="C79" s="609" t="s">
        <v>623</v>
      </c>
      <c r="D79" s="1012" t="s">
        <v>816</v>
      </c>
      <c r="E79" s="613">
        <v>152566000000</v>
      </c>
      <c r="F79" s="395"/>
      <c r="G79" s="395"/>
      <c r="H79" s="2935">
        <v>5552000000</v>
      </c>
      <c r="I79" s="2935"/>
      <c r="J79" s="2940">
        <f t="shared" si="8"/>
        <v>5552000000</v>
      </c>
      <c r="K79" s="641"/>
      <c r="L79" s="641"/>
      <c r="M79" s="643"/>
      <c r="N79" s="395">
        <f t="shared" si="9"/>
        <v>5552000000</v>
      </c>
      <c r="O79" s="630"/>
      <c r="P79" s="396"/>
    </row>
    <row r="80" spans="2:16" ht="22.9" customHeight="1" x14ac:dyDescent="0.35">
      <c r="B80" s="3200"/>
      <c r="C80" s="609" t="s">
        <v>633</v>
      </c>
      <c r="D80" s="1015" t="s">
        <v>817</v>
      </c>
      <c r="E80" s="506">
        <v>1294650000000</v>
      </c>
      <c r="F80" s="395"/>
      <c r="G80" s="395"/>
      <c r="H80" s="2935">
        <v>1297000000</v>
      </c>
      <c r="I80" s="2935"/>
      <c r="J80" s="2940">
        <f t="shared" si="8"/>
        <v>1297000000</v>
      </c>
      <c r="K80" s="641"/>
      <c r="L80" s="641"/>
      <c r="M80" s="643"/>
      <c r="N80" s="395">
        <f t="shared" si="9"/>
        <v>1297000000</v>
      </c>
      <c r="O80" s="630"/>
      <c r="P80" s="396"/>
    </row>
    <row r="81" spans="2:16" ht="22.9" customHeight="1" x14ac:dyDescent="0.35">
      <c r="B81" s="3200"/>
      <c r="C81" s="609" t="s">
        <v>624</v>
      </c>
      <c r="D81" s="1016" t="s">
        <v>661</v>
      </c>
      <c r="E81" s="506">
        <v>823755000000</v>
      </c>
      <c r="F81" s="395"/>
      <c r="G81" s="395"/>
      <c r="H81" s="2935">
        <v>72215000000</v>
      </c>
      <c r="I81" s="2935">
        <v>10000000000</v>
      </c>
      <c r="J81" s="2940">
        <f t="shared" si="8"/>
        <v>82215000000</v>
      </c>
      <c r="K81" s="641"/>
      <c r="L81" s="641"/>
      <c r="M81" s="643"/>
      <c r="N81" s="395">
        <f t="shared" si="9"/>
        <v>82215000000</v>
      </c>
      <c r="O81" s="630"/>
      <c r="P81" s="396"/>
    </row>
    <row r="82" spans="2:16" ht="22.9" customHeight="1" x14ac:dyDescent="0.35">
      <c r="B82" s="3200"/>
      <c r="C82" s="609" t="s">
        <v>625</v>
      </c>
      <c r="D82" s="1016" t="s">
        <v>818</v>
      </c>
      <c r="E82" s="506">
        <v>724404000000</v>
      </c>
      <c r="F82" s="395"/>
      <c r="G82" s="395"/>
      <c r="H82" s="2935">
        <v>20510000000</v>
      </c>
      <c r="I82" s="2935"/>
      <c r="J82" s="2940">
        <f t="shared" si="8"/>
        <v>20510000000</v>
      </c>
      <c r="K82" s="641"/>
      <c r="L82" s="641"/>
      <c r="M82" s="643"/>
      <c r="N82" s="395">
        <f t="shared" si="9"/>
        <v>20510000000</v>
      </c>
      <c r="O82" s="630"/>
      <c r="P82" s="396"/>
    </row>
    <row r="83" spans="2:16" ht="22.9" customHeight="1" x14ac:dyDescent="0.35">
      <c r="B83" s="3200"/>
      <c r="C83" s="609" t="s">
        <v>677</v>
      </c>
      <c r="D83" s="1016" t="s">
        <v>1106</v>
      </c>
      <c r="E83" s="506">
        <v>769088000000</v>
      </c>
      <c r="F83" s="395"/>
      <c r="G83" s="395"/>
      <c r="H83" s="2935">
        <v>20000000000</v>
      </c>
      <c r="I83" s="2935">
        <v>10000000000</v>
      </c>
      <c r="J83" s="2940">
        <f t="shared" si="8"/>
        <v>30000000000</v>
      </c>
      <c r="K83" s="641"/>
      <c r="L83" s="641"/>
      <c r="M83" s="643"/>
      <c r="N83" s="395">
        <f t="shared" si="9"/>
        <v>30000000000</v>
      </c>
      <c r="O83" s="630"/>
      <c r="P83" s="396"/>
    </row>
    <row r="84" spans="2:16" ht="22.9" customHeight="1" x14ac:dyDescent="0.35">
      <c r="B84" s="3200"/>
      <c r="C84" s="609" t="s">
        <v>626</v>
      </c>
      <c r="D84" s="1012" t="s">
        <v>662</v>
      </c>
      <c r="E84" s="506">
        <v>568249000000</v>
      </c>
      <c r="F84" s="395"/>
      <c r="G84" s="395"/>
      <c r="H84" s="2935">
        <v>18000000000</v>
      </c>
      <c r="I84" s="2935"/>
      <c r="J84" s="2940">
        <f t="shared" si="8"/>
        <v>18000000000</v>
      </c>
      <c r="K84" s="641"/>
      <c r="L84" s="641"/>
      <c r="M84" s="643"/>
      <c r="N84" s="395">
        <f t="shared" si="9"/>
        <v>18000000000</v>
      </c>
      <c r="O84" s="630"/>
      <c r="P84" s="396"/>
    </row>
    <row r="85" spans="2:16" ht="22.9" customHeight="1" x14ac:dyDescent="0.35">
      <c r="B85" s="3200"/>
      <c r="C85" s="609" t="s">
        <v>627</v>
      </c>
      <c r="D85" s="1012" t="s">
        <v>819</v>
      </c>
      <c r="E85" s="506">
        <v>266504000000</v>
      </c>
      <c r="F85" s="395"/>
      <c r="G85" s="395"/>
      <c r="H85" s="2935">
        <v>6000000000</v>
      </c>
      <c r="I85" s="2935"/>
      <c r="J85" s="2940">
        <f t="shared" si="8"/>
        <v>6000000000</v>
      </c>
      <c r="K85" s="641"/>
      <c r="L85" s="641"/>
      <c r="M85" s="643">
        <f t="shared" ref="M85:M88" si="10">K85+L85</f>
        <v>0</v>
      </c>
      <c r="N85" s="395">
        <f t="shared" si="9"/>
        <v>6000000000</v>
      </c>
      <c r="O85" s="630"/>
      <c r="P85" s="396"/>
    </row>
    <row r="86" spans="2:16" ht="22.9" customHeight="1" x14ac:dyDescent="0.35">
      <c r="B86" s="3200"/>
      <c r="C86" s="609" t="s">
        <v>1089</v>
      </c>
      <c r="D86" s="1012" t="s">
        <v>1801</v>
      </c>
      <c r="E86" s="506">
        <v>160770000000</v>
      </c>
      <c r="F86" s="395"/>
      <c r="G86" s="395"/>
      <c r="H86" s="2935">
        <v>15000000000</v>
      </c>
      <c r="I86" s="2935"/>
      <c r="J86" s="2940">
        <f t="shared" si="8"/>
        <v>15000000000</v>
      </c>
      <c r="K86" s="641"/>
      <c r="L86" s="641"/>
      <c r="M86" s="643">
        <f t="shared" si="10"/>
        <v>0</v>
      </c>
      <c r="N86" s="395">
        <f t="shared" si="9"/>
        <v>15000000000</v>
      </c>
      <c r="O86" s="630"/>
      <c r="P86" s="396"/>
    </row>
    <row r="87" spans="2:16" ht="22.9" customHeight="1" x14ac:dyDescent="0.35">
      <c r="B87" s="3200"/>
      <c r="C87" s="609" t="s">
        <v>1083</v>
      </c>
      <c r="D87" s="1012" t="s">
        <v>1108</v>
      </c>
      <c r="E87" s="506">
        <v>450718000000</v>
      </c>
      <c r="F87" s="395"/>
      <c r="G87" s="395"/>
      <c r="H87" s="2935">
        <v>70500000000</v>
      </c>
      <c r="I87" s="2935">
        <v>7500000000</v>
      </c>
      <c r="J87" s="2940">
        <f t="shared" si="8"/>
        <v>78000000000</v>
      </c>
      <c r="K87" s="641"/>
      <c r="L87" s="641"/>
      <c r="M87" s="643">
        <f t="shared" si="10"/>
        <v>0</v>
      </c>
      <c r="N87" s="395">
        <f t="shared" si="9"/>
        <v>78000000000</v>
      </c>
      <c r="O87" s="630"/>
      <c r="P87" s="396"/>
    </row>
    <row r="88" spans="2:16" ht="22.9" customHeight="1" x14ac:dyDescent="0.35">
      <c r="B88" s="3201"/>
      <c r="C88" s="609" t="s">
        <v>1080</v>
      </c>
      <c r="D88" s="1012" t="s">
        <v>1109</v>
      </c>
      <c r="E88" s="507">
        <v>272700000000</v>
      </c>
      <c r="F88" s="395"/>
      <c r="G88" s="395"/>
      <c r="H88" s="2935">
        <v>29500000000</v>
      </c>
      <c r="I88" s="2935"/>
      <c r="J88" s="2940">
        <f t="shared" si="8"/>
        <v>29500000000</v>
      </c>
      <c r="K88" s="641"/>
      <c r="L88" s="641"/>
      <c r="M88" s="643">
        <f t="shared" si="10"/>
        <v>0</v>
      </c>
      <c r="N88" s="395">
        <f t="shared" si="9"/>
        <v>29500000000</v>
      </c>
      <c r="O88" s="395"/>
      <c r="P88" s="396"/>
    </row>
    <row r="89" spans="2:16" ht="21" customHeight="1" x14ac:dyDescent="0.35">
      <c r="B89" s="3208" t="s">
        <v>1321</v>
      </c>
      <c r="C89" s="3208"/>
      <c r="D89" s="3208"/>
      <c r="E89" s="1020">
        <f t="shared" ref="E89:O89" si="11">SUM(E71:E88)</f>
        <v>187268402000000</v>
      </c>
      <c r="F89" s="359">
        <f t="shared" si="11"/>
        <v>35486922000000</v>
      </c>
      <c r="G89" s="359">
        <f t="shared" si="11"/>
        <v>0</v>
      </c>
      <c r="H89" s="359">
        <f t="shared" si="11"/>
        <v>773214000000</v>
      </c>
      <c r="I89" s="359">
        <f t="shared" si="11"/>
        <v>1700134000000</v>
      </c>
      <c r="J89" s="359">
        <f t="shared" si="11"/>
        <v>2473348000000</v>
      </c>
      <c r="K89" s="359">
        <f t="shared" si="11"/>
        <v>15976214000000</v>
      </c>
      <c r="L89" s="359">
        <f t="shared" si="11"/>
        <v>29304937000000</v>
      </c>
      <c r="M89" s="359">
        <f t="shared" si="11"/>
        <v>45281151000000</v>
      </c>
      <c r="N89" s="359">
        <f t="shared" si="11"/>
        <v>83241421000000</v>
      </c>
      <c r="O89" s="359">
        <f t="shared" si="11"/>
        <v>74303180000000</v>
      </c>
      <c r="P89" s="360"/>
    </row>
    <row r="90" spans="2:16" ht="13.9" customHeight="1" x14ac:dyDescent="0.35">
      <c r="B90" s="3213">
        <v>18</v>
      </c>
      <c r="C90" s="3213"/>
      <c r="D90" s="3213"/>
      <c r="E90" s="3213"/>
      <c r="F90" s="3213"/>
      <c r="G90" s="3213"/>
      <c r="H90" s="3213"/>
      <c r="I90" s="3213"/>
      <c r="J90" s="3213"/>
      <c r="K90" s="3213"/>
      <c r="L90" s="3213"/>
      <c r="M90" s="3213"/>
      <c r="N90" s="3213"/>
      <c r="O90" s="3213"/>
      <c r="P90" s="360"/>
    </row>
    <row r="91" spans="2:16" ht="21" customHeight="1" x14ac:dyDescent="0.35">
      <c r="B91" s="3184" t="s">
        <v>159</v>
      </c>
      <c r="C91" s="3184"/>
      <c r="D91" s="3184"/>
      <c r="E91" s="3184"/>
      <c r="F91" s="3184"/>
      <c r="G91" s="3184"/>
      <c r="H91" s="3184"/>
      <c r="I91" s="3184"/>
      <c r="J91" s="3184"/>
      <c r="K91" s="3184"/>
      <c r="L91" s="3184"/>
      <c r="M91" s="3184"/>
      <c r="N91" s="3184"/>
      <c r="O91" s="3184"/>
      <c r="P91" s="396"/>
    </row>
    <row r="92" spans="2:16" ht="21" customHeight="1" x14ac:dyDescent="0.35">
      <c r="B92" s="3184" t="s">
        <v>51</v>
      </c>
      <c r="C92" s="3184"/>
      <c r="D92" s="3184"/>
      <c r="E92" s="3184"/>
      <c r="F92" s="3184"/>
      <c r="G92" s="3184"/>
      <c r="H92" s="3184"/>
      <c r="I92" s="3184"/>
      <c r="J92" s="3184"/>
      <c r="K92" s="3184"/>
      <c r="L92" s="3184"/>
      <c r="M92" s="3184"/>
      <c r="N92" s="3184"/>
      <c r="O92" s="3184"/>
      <c r="P92" s="396"/>
    </row>
    <row r="93" spans="2:16" ht="21" customHeight="1" x14ac:dyDescent="0.35">
      <c r="B93" s="3184" t="s">
        <v>122</v>
      </c>
      <c r="C93" s="3184"/>
      <c r="D93" s="3184"/>
      <c r="E93" s="3184"/>
      <c r="F93" s="3184"/>
      <c r="G93" s="3184"/>
      <c r="H93" s="3184"/>
      <c r="I93" s="3184"/>
      <c r="J93" s="3184"/>
      <c r="K93" s="3184"/>
      <c r="L93" s="3184"/>
      <c r="M93" s="3184"/>
      <c r="N93" s="3184"/>
      <c r="O93" s="3184"/>
      <c r="P93" s="396"/>
    </row>
    <row r="94" spans="2:16" ht="21" customHeight="1" x14ac:dyDescent="0.35">
      <c r="B94" s="3184" t="s">
        <v>2004</v>
      </c>
      <c r="C94" s="3184"/>
      <c r="D94" s="3184"/>
      <c r="E94" s="3184"/>
      <c r="F94" s="3184"/>
      <c r="G94" s="3184"/>
      <c r="H94" s="3184"/>
      <c r="I94" s="3184"/>
      <c r="J94" s="3184"/>
      <c r="K94" s="3184"/>
      <c r="L94" s="3184"/>
      <c r="M94" s="3184"/>
      <c r="N94" s="3184"/>
      <c r="O94" s="3184"/>
      <c r="P94" s="396"/>
    </row>
    <row r="95" spans="2:16" ht="19.5" customHeight="1" x14ac:dyDescent="0.4">
      <c r="B95" s="376"/>
      <c r="C95" s="3181" t="s">
        <v>1074</v>
      </c>
      <c r="D95" s="3181"/>
      <c r="E95" s="376"/>
      <c r="F95" s="376"/>
      <c r="G95" s="376"/>
      <c r="H95" s="376"/>
      <c r="I95" s="376"/>
      <c r="J95" s="376"/>
      <c r="K95" s="376"/>
      <c r="L95" s="376"/>
      <c r="M95" s="376"/>
      <c r="N95" s="3186" t="s">
        <v>1312</v>
      </c>
      <c r="O95" s="3186"/>
      <c r="P95" s="396"/>
    </row>
    <row r="96" spans="2:16" ht="25.5" customHeight="1" x14ac:dyDescent="0.35">
      <c r="B96" s="3199" t="s">
        <v>1185</v>
      </c>
      <c r="C96" s="3220" t="s">
        <v>53</v>
      </c>
      <c r="D96" s="3223" t="s">
        <v>54</v>
      </c>
      <c r="E96" s="3188" t="s">
        <v>1313</v>
      </c>
      <c r="F96" s="3204" t="s">
        <v>1314</v>
      </c>
      <c r="G96" s="3205"/>
      <c r="H96" s="3205"/>
      <c r="I96" s="3205"/>
      <c r="J96" s="3205"/>
      <c r="K96" s="3205"/>
      <c r="L96" s="3205"/>
      <c r="M96" s="3206"/>
      <c r="N96" s="3223" t="s">
        <v>135</v>
      </c>
      <c r="O96" s="3188" t="s">
        <v>1019</v>
      </c>
      <c r="P96" s="396"/>
    </row>
    <row r="97" spans="2:16" ht="26.25" customHeight="1" x14ac:dyDescent="0.35">
      <c r="B97" s="3200"/>
      <c r="C97" s="3221"/>
      <c r="D97" s="3224"/>
      <c r="E97" s="3189"/>
      <c r="F97" s="3188" t="s">
        <v>1315</v>
      </c>
      <c r="G97" s="3214" t="s">
        <v>1332</v>
      </c>
      <c r="H97" s="3193" t="s">
        <v>2260</v>
      </c>
      <c r="I97" s="3194"/>
      <c r="J97" s="3195"/>
      <c r="K97" s="3196" t="s">
        <v>1316</v>
      </c>
      <c r="L97" s="3197"/>
      <c r="M97" s="3198"/>
      <c r="N97" s="3224"/>
      <c r="O97" s="3189"/>
      <c r="P97" s="396"/>
    </row>
    <row r="98" spans="2:16" ht="24" customHeight="1" x14ac:dyDescent="0.35">
      <c r="B98" s="3200"/>
      <c r="C98" s="3222"/>
      <c r="D98" s="3225"/>
      <c r="E98" s="3190"/>
      <c r="F98" s="3190"/>
      <c r="G98" s="3215"/>
      <c r="H98" s="1685" t="s">
        <v>998</v>
      </c>
      <c r="I98" s="1685" t="s">
        <v>1126</v>
      </c>
      <c r="J98" s="631" t="s">
        <v>417</v>
      </c>
      <c r="K98" s="626" t="s">
        <v>1034</v>
      </c>
      <c r="L98" s="626" t="s">
        <v>999</v>
      </c>
      <c r="M98" s="626" t="s">
        <v>135</v>
      </c>
      <c r="N98" s="3225"/>
      <c r="O98" s="3190"/>
      <c r="P98" s="396"/>
    </row>
    <row r="99" spans="2:16" ht="22.9" customHeight="1" x14ac:dyDescent="0.35">
      <c r="B99" s="3201"/>
      <c r="C99" s="3216" t="s">
        <v>1320</v>
      </c>
      <c r="D99" s="3217"/>
      <c r="E99" s="1687">
        <f>E89</f>
        <v>187268402000000</v>
      </c>
      <c r="F99" s="1687">
        <f t="shared" ref="F99:M99" si="12">F89</f>
        <v>35486922000000</v>
      </c>
      <c r="G99" s="1687">
        <f t="shared" si="12"/>
        <v>0</v>
      </c>
      <c r="H99" s="1687">
        <f t="shared" si="12"/>
        <v>773214000000</v>
      </c>
      <c r="I99" s="1687">
        <f t="shared" si="12"/>
        <v>1700134000000</v>
      </c>
      <c r="J99" s="1687">
        <f t="shared" si="12"/>
        <v>2473348000000</v>
      </c>
      <c r="K99" s="1687">
        <f t="shared" si="12"/>
        <v>15976214000000</v>
      </c>
      <c r="L99" s="1687">
        <f t="shared" si="12"/>
        <v>29304937000000</v>
      </c>
      <c r="M99" s="1687">
        <f t="shared" si="12"/>
        <v>45281151000000</v>
      </c>
      <c r="N99" s="363">
        <f>N89</f>
        <v>83241421000000</v>
      </c>
      <c r="O99" s="363">
        <f>O61</f>
        <v>74303180000000</v>
      </c>
      <c r="P99" s="396"/>
    </row>
    <row r="100" spans="2:16" ht="25.9" customHeight="1" x14ac:dyDescent="0.35">
      <c r="B100" s="3199" t="s">
        <v>1187</v>
      </c>
      <c r="C100" s="609" t="s">
        <v>2252</v>
      </c>
      <c r="D100" s="1012" t="s">
        <v>557</v>
      </c>
      <c r="E100" s="507">
        <v>26331000000</v>
      </c>
      <c r="F100" s="507">
        <v>26331000000</v>
      </c>
      <c r="G100" s="397"/>
      <c r="H100" s="397"/>
      <c r="I100" s="397"/>
      <c r="J100" s="397">
        <f>H100+I100</f>
        <v>0</v>
      </c>
      <c r="K100" s="397"/>
      <c r="L100" s="397"/>
      <c r="M100" s="397">
        <f>K100+L100</f>
        <v>0</v>
      </c>
      <c r="N100" s="395">
        <f>F100+J100+M100</f>
        <v>26331000000</v>
      </c>
      <c r="O100" s="397"/>
      <c r="P100" s="396"/>
    </row>
    <row r="101" spans="2:16" ht="25.9" customHeight="1" x14ac:dyDescent="0.35">
      <c r="B101" s="3200"/>
      <c r="C101" s="609" t="s">
        <v>2069</v>
      </c>
      <c r="D101" s="1012" t="s">
        <v>563</v>
      </c>
      <c r="E101" s="1018">
        <v>3000000000</v>
      </c>
      <c r="F101" s="400">
        <v>3000000000</v>
      </c>
      <c r="G101" s="397"/>
      <c r="H101" s="397"/>
      <c r="I101" s="397"/>
      <c r="J101" s="397">
        <f t="shared" ref="J101:J112" si="13">H101+I101</f>
        <v>0</v>
      </c>
      <c r="K101" s="397"/>
      <c r="L101" s="397"/>
      <c r="M101" s="397">
        <f t="shared" ref="M101:M112" si="14">K101+L101</f>
        <v>0</v>
      </c>
      <c r="N101" s="395">
        <f t="shared" ref="N101:N112" si="15">F101+J101+M101</f>
        <v>3000000000</v>
      </c>
      <c r="O101" s="397"/>
      <c r="P101" s="396"/>
    </row>
    <row r="102" spans="2:16" ht="25.9" customHeight="1" x14ac:dyDescent="0.35">
      <c r="B102" s="3200"/>
      <c r="C102" s="689" t="s">
        <v>2049</v>
      </c>
      <c r="D102" s="1012" t="s">
        <v>812</v>
      </c>
      <c r="E102" s="507">
        <v>93550000000</v>
      </c>
      <c r="F102" s="507">
        <v>93550000000</v>
      </c>
      <c r="G102" s="397"/>
      <c r="H102" s="397"/>
      <c r="I102" s="397"/>
      <c r="J102" s="397">
        <f t="shared" si="13"/>
        <v>0</v>
      </c>
      <c r="K102" s="397"/>
      <c r="L102" s="397"/>
      <c r="M102" s="397">
        <f t="shared" si="14"/>
        <v>0</v>
      </c>
      <c r="N102" s="395">
        <f t="shared" si="15"/>
        <v>93550000000</v>
      </c>
      <c r="O102" s="397"/>
      <c r="P102" s="396"/>
    </row>
    <row r="103" spans="2:16" ht="25.9" customHeight="1" x14ac:dyDescent="0.35">
      <c r="B103" s="3200"/>
      <c r="C103" s="609" t="s">
        <v>2053</v>
      </c>
      <c r="D103" s="2932" t="s">
        <v>658</v>
      </c>
      <c r="E103" s="1018">
        <v>1000000000</v>
      </c>
      <c r="F103" s="1018">
        <v>1000000000</v>
      </c>
      <c r="G103" s="397"/>
      <c r="H103" s="397"/>
      <c r="I103" s="397"/>
      <c r="J103" s="397">
        <f t="shared" si="13"/>
        <v>0</v>
      </c>
      <c r="K103" s="397"/>
      <c r="L103" s="397"/>
      <c r="M103" s="397">
        <f t="shared" si="14"/>
        <v>0</v>
      </c>
      <c r="N103" s="395">
        <f t="shared" si="15"/>
        <v>1000000000</v>
      </c>
      <c r="O103" s="397"/>
      <c r="P103" s="396"/>
    </row>
    <row r="104" spans="2:16" ht="25.9" customHeight="1" x14ac:dyDescent="0.35">
      <c r="B104" s="3200"/>
      <c r="C104" s="609" t="s">
        <v>2058</v>
      </c>
      <c r="D104" s="1012" t="s">
        <v>659</v>
      </c>
      <c r="E104" s="507">
        <v>200000000</v>
      </c>
      <c r="F104" s="507">
        <v>200000000</v>
      </c>
      <c r="G104" s="507">
        <v>200000000</v>
      </c>
      <c r="H104" s="397"/>
      <c r="I104" s="397"/>
      <c r="J104" s="397">
        <f t="shared" si="13"/>
        <v>0</v>
      </c>
      <c r="K104" s="397"/>
      <c r="L104" s="397"/>
      <c r="M104" s="397">
        <f t="shared" si="14"/>
        <v>0</v>
      </c>
      <c r="N104" s="395">
        <f t="shared" si="15"/>
        <v>200000000</v>
      </c>
      <c r="O104" s="397"/>
      <c r="P104" s="396"/>
    </row>
    <row r="105" spans="2:16" ht="25.9" customHeight="1" x14ac:dyDescent="0.35">
      <c r="B105" s="3200"/>
      <c r="C105" s="609" t="s">
        <v>2051</v>
      </c>
      <c r="D105" s="1012" t="s">
        <v>660</v>
      </c>
      <c r="E105" s="507">
        <v>1500000000</v>
      </c>
      <c r="F105" s="507">
        <v>1500000000</v>
      </c>
      <c r="G105" s="397"/>
      <c r="H105" s="397"/>
      <c r="I105" s="397"/>
      <c r="J105" s="397">
        <f t="shared" si="13"/>
        <v>0</v>
      </c>
      <c r="K105" s="397"/>
      <c r="L105" s="397"/>
      <c r="M105" s="397">
        <f t="shared" si="14"/>
        <v>0</v>
      </c>
      <c r="N105" s="395">
        <f t="shared" si="15"/>
        <v>1500000000</v>
      </c>
      <c r="O105" s="397"/>
      <c r="P105" s="396"/>
    </row>
    <row r="106" spans="2:16" ht="25.9" customHeight="1" x14ac:dyDescent="0.35">
      <c r="B106" s="3200"/>
      <c r="C106" s="609" t="s">
        <v>2050</v>
      </c>
      <c r="D106" s="1012" t="s">
        <v>814</v>
      </c>
      <c r="E106" s="1018">
        <v>995932000000</v>
      </c>
      <c r="F106" s="1018">
        <v>995932000000</v>
      </c>
      <c r="G106" s="397"/>
      <c r="H106" s="397"/>
      <c r="I106" s="397"/>
      <c r="J106" s="397">
        <f t="shared" si="13"/>
        <v>0</v>
      </c>
      <c r="K106" s="397"/>
      <c r="L106" s="397"/>
      <c r="M106" s="397">
        <f t="shared" si="14"/>
        <v>0</v>
      </c>
      <c r="N106" s="395">
        <f t="shared" si="15"/>
        <v>995932000000</v>
      </c>
      <c r="O106" s="397"/>
      <c r="P106" s="396"/>
    </row>
    <row r="107" spans="2:16" ht="25.9" customHeight="1" x14ac:dyDescent="0.35">
      <c r="B107" s="3200"/>
      <c r="C107" s="609" t="s">
        <v>2055</v>
      </c>
      <c r="D107" s="1012" t="s">
        <v>815</v>
      </c>
      <c r="E107" s="507">
        <v>9000000000</v>
      </c>
      <c r="F107" s="507">
        <v>9000000000</v>
      </c>
      <c r="G107" s="397"/>
      <c r="H107" s="397"/>
      <c r="I107" s="397"/>
      <c r="J107" s="397">
        <f t="shared" si="13"/>
        <v>0</v>
      </c>
      <c r="K107" s="397"/>
      <c r="L107" s="397"/>
      <c r="M107" s="397">
        <f t="shared" si="14"/>
        <v>0</v>
      </c>
      <c r="N107" s="395">
        <f t="shared" si="15"/>
        <v>9000000000</v>
      </c>
      <c r="O107" s="397"/>
      <c r="P107" s="396"/>
    </row>
    <row r="108" spans="2:16" ht="25.9" customHeight="1" x14ac:dyDescent="0.35">
      <c r="B108" s="3200"/>
      <c r="C108" s="609" t="s">
        <v>2056</v>
      </c>
      <c r="D108" s="1015" t="s">
        <v>817</v>
      </c>
      <c r="E108" s="613">
        <v>54250000000</v>
      </c>
      <c r="F108" s="613">
        <v>54250000000</v>
      </c>
      <c r="G108" s="397"/>
      <c r="H108" s="397"/>
      <c r="I108" s="397"/>
      <c r="J108" s="397">
        <f t="shared" si="13"/>
        <v>0</v>
      </c>
      <c r="K108" s="397"/>
      <c r="L108" s="397"/>
      <c r="M108" s="397">
        <f t="shared" si="14"/>
        <v>0</v>
      </c>
      <c r="N108" s="395">
        <f t="shared" si="15"/>
        <v>54250000000</v>
      </c>
      <c r="O108" s="397"/>
      <c r="P108" s="396"/>
    </row>
    <row r="109" spans="2:16" ht="25.9" customHeight="1" x14ac:dyDescent="0.35">
      <c r="B109" s="3200"/>
      <c r="C109" s="609" t="s">
        <v>2061</v>
      </c>
      <c r="D109" s="1016" t="s">
        <v>661</v>
      </c>
      <c r="E109" s="507">
        <v>43449000000</v>
      </c>
      <c r="F109" s="507">
        <v>33449000000</v>
      </c>
      <c r="G109" s="397"/>
      <c r="H109" s="397"/>
      <c r="I109" s="397"/>
      <c r="J109" s="397">
        <f t="shared" si="13"/>
        <v>0</v>
      </c>
      <c r="K109" s="397">
        <v>7500000000</v>
      </c>
      <c r="L109" s="397"/>
      <c r="M109" s="397">
        <f t="shared" si="14"/>
        <v>7500000000</v>
      </c>
      <c r="N109" s="395">
        <f t="shared" si="15"/>
        <v>40949000000</v>
      </c>
      <c r="O109" s="397"/>
      <c r="P109" s="396"/>
    </row>
    <row r="110" spans="2:16" ht="25.9" customHeight="1" x14ac:dyDescent="0.35">
      <c r="B110" s="3200"/>
      <c r="C110" s="609" t="s">
        <v>2052</v>
      </c>
      <c r="D110" s="1016" t="s">
        <v>818</v>
      </c>
      <c r="E110" s="507">
        <v>9800000000</v>
      </c>
      <c r="F110" s="507">
        <v>9800000000</v>
      </c>
      <c r="G110" s="398"/>
      <c r="H110" s="398"/>
      <c r="I110" s="398"/>
      <c r="J110" s="397">
        <f t="shared" si="13"/>
        <v>0</v>
      </c>
      <c r="K110" s="397"/>
      <c r="L110" s="397"/>
      <c r="M110" s="397">
        <f t="shared" si="14"/>
        <v>0</v>
      </c>
      <c r="N110" s="395">
        <f t="shared" si="15"/>
        <v>9800000000</v>
      </c>
      <c r="O110" s="398"/>
      <c r="P110" s="396"/>
    </row>
    <row r="111" spans="2:16" ht="25.9" customHeight="1" x14ac:dyDescent="0.35">
      <c r="B111" s="3200"/>
      <c r="C111" s="609" t="s">
        <v>2057</v>
      </c>
      <c r="D111" s="1016" t="s">
        <v>1106</v>
      </c>
      <c r="E111" s="507">
        <v>23000000000</v>
      </c>
      <c r="F111" s="507">
        <v>23000000000</v>
      </c>
      <c r="G111" s="399"/>
      <c r="H111" s="399"/>
      <c r="I111" s="399"/>
      <c r="J111" s="397">
        <f t="shared" si="13"/>
        <v>0</v>
      </c>
      <c r="K111" s="397"/>
      <c r="L111" s="397"/>
      <c r="M111" s="397">
        <f t="shared" si="14"/>
        <v>0</v>
      </c>
      <c r="N111" s="395">
        <f t="shared" si="15"/>
        <v>23000000000</v>
      </c>
      <c r="O111" s="399"/>
      <c r="P111" s="396"/>
    </row>
    <row r="112" spans="2:16" ht="25.9" customHeight="1" x14ac:dyDescent="0.35">
      <c r="B112" s="3200"/>
      <c r="C112" s="609" t="s">
        <v>2054</v>
      </c>
      <c r="D112" s="1012" t="s">
        <v>662</v>
      </c>
      <c r="E112" s="507">
        <v>113300000000</v>
      </c>
      <c r="F112" s="507">
        <v>113300000000</v>
      </c>
      <c r="G112" s="399"/>
      <c r="H112" s="399"/>
      <c r="I112" s="399"/>
      <c r="J112" s="397">
        <f t="shared" si="13"/>
        <v>0</v>
      </c>
      <c r="K112" s="397"/>
      <c r="L112" s="397"/>
      <c r="M112" s="397">
        <f t="shared" si="14"/>
        <v>0</v>
      </c>
      <c r="N112" s="395">
        <f t="shared" si="15"/>
        <v>113300000000</v>
      </c>
      <c r="O112" s="399"/>
      <c r="P112" s="396"/>
    </row>
    <row r="113" spans="2:17" ht="25.9" customHeight="1" x14ac:dyDescent="0.35">
      <c r="B113" s="3201"/>
      <c r="C113" s="3218" t="s">
        <v>1345</v>
      </c>
      <c r="D113" s="3219"/>
      <c r="E113" s="400">
        <f>SUM(E100:E112)</f>
        <v>1374312000000</v>
      </c>
      <c r="F113" s="400">
        <f t="shared" ref="F113:O113" si="16">SUM(F100:F112)</f>
        <v>1364312000000</v>
      </c>
      <c r="G113" s="400">
        <f t="shared" si="16"/>
        <v>200000000</v>
      </c>
      <c r="H113" s="400">
        <f t="shared" si="16"/>
        <v>0</v>
      </c>
      <c r="I113" s="400">
        <f t="shared" si="16"/>
        <v>0</v>
      </c>
      <c r="J113" s="400">
        <f t="shared" si="16"/>
        <v>0</v>
      </c>
      <c r="K113" s="400">
        <f t="shared" si="16"/>
        <v>7500000000</v>
      </c>
      <c r="L113" s="400">
        <f t="shared" si="16"/>
        <v>0</v>
      </c>
      <c r="M113" s="400">
        <f t="shared" si="16"/>
        <v>7500000000</v>
      </c>
      <c r="N113" s="400">
        <f t="shared" si="16"/>
        <v>1371812000000</v>
      </c>
      <c r="O113" s="400">
        <f t="shared" si="16"/>
        <v>0</v>
      </c>
      <c r="P113" s="360"/>
    </row>
    <row r="114" spans="2:17" ht="17.25" customHeight="1" x14ac:dyDescent="0.35">
      <c r="B114" s="3226">
        <v>19000000</v>
      </c>
      <c r="C114" s="3226"/>
      <c r="D114" s="3226"/>
      <c r="E114" s="3226"/>
      <c r="F114" s="3226"/>
      <c r="G114" s="3226"/>
      <c r="H114" s="3226"/>
      <c r="I114" s="3226"/>
      <c r="J114" s="3226"/>
      <c r="K114" s="3226"/>
      <c r="L114" s="3226"/>
      <c r="M114" s="3226"/>
      <c r="N114" s="3226"/>
      <c r="O114" s="3226"/>
      <c r="P114" s="360"/>
    </row>
    <row r="115" spans="2:17" ht="25.9" customHeight="1" x14ac:dyDescent="0.35">
      <c r="B115" s="3184" t="s">
        <v>159</v>
      </c>
      <c r="C115" s="3184"/>
      <c r="D115" s="3184"/>
      <c r="E115" s="3184"/>
      <c r="F115" s="3184"/>
      <c r="G115" s="3184"/>
      <c r="H115" s="3184"/>
      <c r="I115" s="3184"/>
      <c r="J115" s="3184"/>
      <c r="K115" s="3184"/>
      <c r="L115" s="3184"/>
      <c r="M115" s="3184"/>
      <c r="N115" s="3184"/>
      <c r="O115" s="3184"/>
      <c r="P115" s="362"/>
    </row>
    <row r="116" spans="2:17" ht="25.9" customHeight="1" x14ac:dyDescent="0.35">
      <c r="B116" s="3184" t="s">
        <v>51</v>
      </c>
      <c r="C116" s="3184"/>
      <c r="D116" s="3184"/>
      <c r="E116" s="3184"/>
      <c r="F116" s="3184"/>
      <c r="G116" s="3184"/>
      <c r="H116" s="3184"/>
      <c r="I116" s="3184"/>
      <c r="J116" s="3184"/>
      <c r="K116" s="3184"/>
      <c r="L116" s="3184"/>
      <c r="M116" s="3184"/>
      <c r="N116" s="3184"/>
      <c r="O116" s="3184"/>
      <c r="P116" s="401"/>
    </row>
    <row r="117" spans="2:17" ht="25.9" customHeight="1" x14ac:dyDescent="0.35">
      <c r="B117" s="3184" t="s">
        <v>122</v>
      </c>
      <c r="C117" s="3184"/>
      <c r="D117" s="3184"/>
      <c r="E117" s="3184"/>
      <c r="F117" s="3184"/>
      <c r="G117" s="3184"/>
      <c r="H117" s="3184"/>
      <c r="I117" s="3184"/>
      <c r="J117" s="3184"/>
      <c r="K117" s="3184"/>
      <c r="L117" s="3184"/>
      <c r="M117" s="3184"/>
      <c r="N117" s="3184"/>
      <c r="O117" s="3184"/>
      <c r="P117" s="103"/>
      <c r="Q117" s="47"/>
    </row>
    <row r="118" spans="2:17" ht="25.9" customHeight="1" x14ac:dyDescent="0.35">
      <c r="B118" s="3184" t="s">
        <v>2004</v>
      </c>
      <c r="C118" s="3184"/>
      <c r="D118" s="3184"/>
      <c r="E118" s="3184"/>
      <c r="F118" s="3184"/>
      <c r="G118" s="3184"/>
      <c r="H118" s="3184"/>
      <c r="I118" s="3184"/>
      <c r="J118" s="3184"/>
      <c r="K118" s="3184"/>
      <c r="L118" s="3184"/>
      <c r="M118" s="3184"/>
      <c r="N118" s="3184"/>
      <c r="O118" s="3184"/>
      <c r="P118" s="103"/>
      <c r="Q118" s="361"/>
    </row>
    <row r="119" spans="2:17" ht="33.6" customHeight="1" x14ac:dyDescent="0.4">
      <c r="B119" s="376"/>
      <c r="C119" s="3181" t="s">
        <v>1074</v>
      </c>
      <c r="D119" s="3181"/>
      <c r="E119" s="376"/>
      <c r="F119" s="376"/>
      <c r="G119" s="376"/>
      <c r="H119" s="376"/>
      <c r="I119" s="376"/>
      <c r="J119" s="376"/>
      <c r="K119" s="376"/>
      <c r="L119" s="376"/>
      <c r="M119" s="376"/>
      <c r="N119" s="3186" t="s">
        <v>1312</v>
      </c>
      <c r="O119" s="3186"/>
      <c r="P119" s="103"/>
    </row>
    <row r="120" spans="2:17" ht="27" customHeight="1" x14ac:dyDescent="0.35">
      <c r="B120" s="3227" t="s">
        <v>1185</v>
      </c>
      <c r="C120" s="3202" t="s">
        <v>53</v>
      </c>
      <c r="D120" s="3203" t="s">
        <v>54</v>
      </c>
      <c r="E120" s="3191" t="s">
        <v>1313</v>
      </c>
      <c r="F120" s="3203" t="s">
        <v>1314</v>
      </c>
      <c r="G120" s="3203"/>
      <c r="H120" s="3203"/>
      <c r="I120" s="3203"/>
      <c r="J120" s="3203"/>
      <c r="K120" s="3203"/>
      <c r="L120" s="3203"/>
      <c r="M120" s="3203"/>
      <c r="N120" s="3203" t="s">
        <v>135</v>
      </c>
      <c r="O120" s="3191" t="s">
        <v>1019</v>
      </c>
      <c r="P120" s="103"/>
    </row>
    <row r="121" spans="2:17" ht="33.6" customHeight="1" x14ac:dyDescent="0.35">
      <c r="B121" s="3227"/>
      <c r="C121" s="3202"/>
      <c r="D121" s="3203"/>
      <c r="E121" s="3191"/>
      <c r="F121" s="3191" t="s">
        <v>1315</v>
      </c>
      <c r="G121" s="3192" t="s">
        <v>1332</v>
      </c>
      <c r="H121" s="3230" t="s">
        <v>2260</v>
      </c>
      <c r="I121" s="3230"/>
      <c r="J121" s="3230"/>
      <c r="K121" s="3231" t="s">
        <v>1316</v>
      </c>
      <c r="L121" s="3231"/>
      <c r="M121" s="3231"/>
      <c r="N121" s="3203"/>
      <c r="O121" s="3191"/>
    </row>
    <row r="122" spans="2:17" ht="28.5" x14ac:dyDescent="0.35">
      <c r="B122" s="3227"/>
      <c r="C122" s="3202"/>
      <c r="D122" s="3203"/>
      <c r="E122" s="3191"/>
      <c r="F122" s="3191"/>
      <c r="G122" s="3192"/>
      <c r="H122" s="1685" t="s">
        <v>998</v>
      </c>
      <c r="I122" s="1685" t="s">
        <v>1126</v>
      </c>
      <c r="J122" s="363" t="s">
        <v>417</v>
      </c>
      <c r="K122" s="1684" t="s">
        <v>1034</v>
      </c>
      <c r="L122" s="1684" t="s">
        <v>999</v>
      </c>
      <c r="M122" s="1684" t="s">
        <v>135</v>
      </c>
      <c r="N122" s="3203"/>
      <c r="O122" s="3191"/>
    </row>
    <row r="123" spans="2:17" x14ac:dyDescent="0.35">
      <c r="B123" s="3227"/>
      <c r="C123" s="3232" t="s">
        <v>1322</v>
      </c>
      <c r="D123" s="3232"/>
      <c r="E123" s="2941">
        <f>E113</f>
        <v>1374312000000</v>
      </c>
      <c r="F123" s="2942">
        <f>F113</f>
        <v>1364312000000</v>
      </c>
      <c r="G123" s="2942">
        <f>G113</f>
        <v>200000000</v>
      </c>
      <c r="H123" s="2942">
        <f>H113</f>
        <v>0</v>
      </c>
      <c r="I123" s="2942">
        <f>I113</f>
        <v>0</v>
      </c>
      <c r="J123" s="2942">
        <f>I123+H123</f>
        <v>0</v>
      </c>
      <c r="K123" s="363">
        <f>K113</f>
        <v>7500000000</v>
      </c>
      <c r="L123" s="363"/>
      <c r="M123" s="363">
        <f>M113</f>
        <v>7500000000</v>
      </c>
      <c r="N123" s="2942">
        <f>N113</f>
        <v>1371812000000</v>
      </c>
      <c r="O123" s="363">
        <f>O113</f>
        <v>0</v>
      </c>
    </row>
    <row r="124" spans="2:17" x14ac:dyDescent="0.35">
      <c r="B124" s="3227" t="s">
        <v>421</v>
      </c>
      <c r="C124" s="609" t="s">
        <v>2063</v>
      </c>
      <c r="D124" s="1012" t="s">
        <v>819</v>
      </c>
      <c r="E124" s="1018">
        <v>4000000000</v>
      </c>
      <c r="F124" s="1018">
        <v>4000000000</v>
      </c>
      <c r="G124" s="1018">
        <v>4000000000</v>
      </c>
      <c r="H124" s="397"/>
      <c r="I124" s="397"/>
      <c r="J124" s="2942">
        <f t="shared" ref="J124:J139" si="17">I124+H124</f>
        <v>0</v>
      </c>
      <c r="K124" s="397"/>
      <c r="L124" s="397"/>
      <c r="M124" s="397"/>
      <c r="N124" s="395">
        <f>M124+J124+F124</f>
        <v>4000000000</v>
      </c>
      <c r="O124" s="397"/>
    </row>
    <row r="125" spans="2:17" x14ac:dyDescent="0.35">
      <c r="B125" s="3227"/>
      <c r="C125" s="609" t="s">
        <v>2066</v>
      </c>
      <c r="D125" s="1012" t="s">
        <v>1801</v>
      </c>
      <c r="E125" s="1018">
        <v>40000000000</v>
      </c>
      <c r="F125" s="1018">
        <v>40000000000</v>
      </c>
      <c r="G125" s="1018"/>
      <c r="H125" s="397"/>
      <c r="I125" s="397"/>
      <c r="J125" s="2942">
        <f t="shared" si="17"/>
        <v>0</v>
      </c>
      <c r="K125" s="397"/>
      <c r="L125" s="397"/>
      <c r="M125" s="397"/>
      <c r="N125" s="395">
        <f t="shared" ref="N125:N140" si="18">M125+J125+F125</f>
        <v>40000000000</v>
      </c>
      <c r="O125" s="397"/>
    </row>
    <row r="126" spans="2:17" ht="15.75" x14ac:dyDescent="0.35">
      <c r="B126" s="3227"/>
      <c r="C126" s="689" t="s">
        <v>2067</v>
      </c>
      <c r="D126" s="1012" t="s">
        <v>2238</v>
      </c>
      <c r="E126" s="507">
        <v>500000000</v>
      </c>
      <c r="F126" s="507">
        <v>500000000</v>
      </c>
      <c r="G126" s="397"/>
      <c r="H126" s="397"/>
      <c r="I126" s="397"/>
      <c r="J126" s="2942">
        <f t="shared" si="17"/>
        <v>0</v>
      </c>
      <c r="K126" s="397"/>
      <c r="L126" s="397"/>
      <c r="M126" s="397"/>
      <c r="N126" s="395">
        <f t="shared" si="18"/>
        <v>500000000</v>
      </c>
      <c r="O126" s="397"/>
    </row>
    <row r="127" spans="2:17" x14ac:dyDescent="0.35">
      <c r="B127" s="3227"/>
      <c r="C127" s="609" t="s">
        <v>548</v>
      </c>
      <c r="D127" s="1012" t="s">
        <v>557</v>
      </c>
      <c r="E127" s="507">
        <v>261331000000</v>
      </c>
      <c r="F127" s="507"/>
      <c r="G127" s="397"/>
      <c r="H127" s="1018">
        <v>41033000000</v>
      </c>
      <c r="I127" s="397"/>
      <c r="J127" s="2942">
        <f t="shared" si="17"/>
        <v>41033000000</v>
      </c>
      <c r="K127" s="397"/>
      <c r="L127" s="397"/>
      <c r="M127" s="397"/>
      <c r="N127" s="395">
        <f t="shared" si="18"/>
        <v>41033000000</v>
      </c>
      <c r="O127" s="397"/>
    </row>
    <row r="128" spans="2:17" ht="18" x14ac:dyDescent="0.35">
      <c r="B128" s="3227"/>
      <c r="C128" s="504" t="s">
        <v>609</v>
      </c>
      <c r="D128" s="847" t="s">
        <v>812</v>
      </c>
      <c r="E128" s="507">
        <v>205126000000</v>
      </c>
      <c r="F128" s="507"/>
      <c r="G128" s="397"/>
      <c r="H128" s="1018">
        <v>28702000000</v>
      </c>
      <c r="I128" s="397"/>
      <c r="J128" s="2942">
        <f t="shared" si="17"/>
        <v>28702000000</v>
      </c>
      <c r="K128" s="397"/>
      <c r="L128" s="397"/>
      <c r="M128" s="397"/>
      <c r="N128" s="395">
        <f t="shared" si="18"/>
        <v>28702000000</v>
      </c>
      <c r="O128" s="397"/>
    </row>
    <row r="129" spans="2:15" x14ac:dyDescent="0.35">
      <c r="B129" s="3227"/>
      <c r="C129" s="609" t="s">
        <v>622</v>
      </c>
      <c r="D129" s="1012" t="s">
        <v>814</v>
      </c>
      <c r="E129" s="507">
        <v>1060204000000</v>
      </c>
      <c r="F129" s="507"/>
      <c r="G129" s="397"/>
      <c r="H129" s="1018">
        <v>76265000000</v>
      </c>
      <c r="I129" s="397"/>
      <c r="J129" s="2942">
        <f t="shared" si="17"/>
        <v>76265000000</v>
      </c>
      <c r="K129" s="397"/>
      <c r="L129" s="397"/>
      <c r="M129" s="397"/>
      <c r="N129" s="395">
        <f t="shared" si="18"/>
        <v>76265000000</v>
      </c>
      <c r="O129" s="397"/>
    </row>
    <row r="130" spans="2:15" x14ac:dyDescent="0.35">
      <c r="B130" s="3227"/>
      <c r="C130" s="609" t="s">
        <v>624</v>
      </c>
      <c r="D130" s="1012" t="s">
        <v>661</v>
      </c>
      <c r="E130" s="507">
        <v>57622000000</v>
      </c>
      <c r="F130" s="507"/>
      <c r="G130" s="397"/>
      <c r="H130" s="1018">
        <v>20802000000</v>
      </c>
      <c r="I130" s="397"/>
      <c r="J130" s="2942">
        <f t="shared" si="17"/>
        <v>20802000000</v>
      </c>
      <c r="K130" s="397"/>
      <c r="L130" s="397"/>
      <c r="M130" s="397"/>
      <c r="N130" s="395">
        <f t="shared" si="18"/>
        <v>20802000000</v>
      </c>
      <c r="O130" s="397"/>
    </row>
    <row r="131" spans="2:15" x14ac:dyDescent="0.35">
      <c r="B131" s="3227"/>
      <c r="C131" s="609" t="s">
        <v>626</v>
      </c>
      <c r="D131" s="1012" t="s">
        <v>662</v>
      </c>
      <c r="E131" s="507">
        <v>125751000000</v>
      </c>
      <c r="F131" s="507"/>
      <c r="G131" s="397"/>
      <c r="H131" s="1018">
        <v>8294000000</v>
      </c>
      <c r="I131" s="397"/>
      <c r="J131" s="2942">
        <f t="shared" si="17"/>
        <v>8294000000</v>
      </c>
      <c r="K131" s="397"/>
      <c r="L131" s="397"/>
      <c r="M131" s="397"/>
      <c r="N131" s="395">
        <f t="shared" si="18"/>
        <v>8294000000</v>
      </c>
      <c r="O131" s="397"/>
    </row>
    <row r="132" spans="2:15" x14ac:dyDescent="0.35">
      <c r="B132" s="3227"/>
      <c r="C132" s="609" t="s">
        <v>1083</v>
      </c>
      <c r="D132" s="1012" t="s">
        <v>2253</v>
      </c>
      <c r="E132" s="507">
        <v>162000000000</v>
      </c>
      <c r="F132" s="397"/>
      <c r="G132" s="397"/>
      <c r="H132" s="1018">
        <v>88900000000</v>
      </c>
      <c r="I132" s="397"/>
      <c r="J132" s="2942">
        <f t="shared" si="17"/>
        <v>88900000000</v>
      </c>
      <c r="K132" s="397"/>
      <c r="L132" s="397"/>
      <c r="M132" s="397"/>
      <c r="N132" s="395">
        <f t="shared" si="18"/>
        <v>88900000000</v>
      </c>
      <c r="O132" s="397"/>
    </row>
    <row r="133" spans="2:15" x14ac:dyDescent="0.35">
      <c r="B133" s="3227"/>
      <c r="C133" s="609">
        <v>1503002046</v>
      </c>
      <c r="D133" s="1012" t="s">
        <v>2261</v>
      </c>
      <c r="E133" s="507">
        <v>281518000000</v>
      </c>
      <c r="F133" s="397">
        <v>251518000000</v>
      </c>
      <c r="G133" s="397"/>
      <c r="H133" s="1018"/>
      <c r="I133" s="397"/>
      <c r="J133" s="2942"/>
      <c r="K133" s="397"/>
      <c r="L133" s="397"/>
      <c r="M133" s="397"/>
      <c r="N133" s="395"/>
      <c r="O133" s="397"/>
    </row>
    <row r="134" spans="2:15" x14ac:dyDescent="0.35">
      <c r="B134" s="3227"/>
      <c r="C134" s="642">
        <v>1503002096</v>
      </c>
      <c r="D134" s="672" t="s">
        <v>2255</v>
      </c>
      <c r="E134" s="1018">
        <v>5726000000</v>
      </c>
      <c r="F134" s="397">
        <v>5726000000</v>
      </c>
      <c r="G134" s="397"/>
      <c r="H134" s="397"/>
      <c r="I134" s="397"/>
      <c r="J134" s="2942">
        <f t="shared" si="17"/>
        <v>0</v>
      </c>
      <c r="K134" s="397"/>
      <c r="L134" s="397"/>
      <c r="M134" s="397"/>
      <c r="N134" s="395">
        <f t="shared" si="18"/>
        <v>5726000000</v>
      </c>
      <c r="O134" s="397"/>
    </row>
    <row r="135" spans="2:15" x14ac:dyDescent="0.35">
      <c r="B135" s="3227"/>
      <c r="C135" s="609">
        <v>1307002010</v>
      </c>
      <c r="D135" s="1012" t="s">
        <v>79</v>
      </c>
      <c r="E135" s="507">
        <v>798892000000</v>
      </c>
      <c r="F135" s="507">
        <v>778682000000</v>
      </c>
      <c r="G135" s="397"/>
      <c r="H135" s="397"/>
      <c r="I135" s="397"/>
      <c r="J135" s="2942">
        <f t="shared" si="17"/>
        <v>0</v>
      </c>
      <c r="K135" s="397"/>
      <c r="L135" s="397"/>
      <c r="M135" s="397"/>
      <c r="N135" s="395">
        <f t="shared" si="18"/>
        <v>778682000000</v>
      </c>
      <c r="O135" s="397"/>
    </row>
    <row r="136" spans="2:15" x14ac:dyDescent="0.35">
      <c r="B136" s="3227"/>
      <c r="C136" s="609">
        <v>1503002173</v>
      </c>
      <c r="D136" s="1012" t="s">
        <v>85</v>
      </c>
      <c r="E136" s="507">
        <v>134608000000</v>
      </c>
      <c r="F136" s="507">
        <v>124608000000</v>
      </c>
      <c r="G136" s="397"/>
      <c r="H136" s="397"/>
      <c r="I136" s="397"/>
      <c r="J136" s="2942">
        <f t="shared" si="17"/>
        <v>0</v>
      </c>
      <c r="K136" s="397"/>
      <c r="L136" s="397"/>
      <c r="M136" s="397"/>
      <c r="N136" s="395">
        <f t="shared" si="18"/>
        <v>124608000000</v>
      </c>
      <c r="O136" s="397"/>
    </row>
    <row r="137" spans="2:15" x14ac:dyDescent="0.35">
      <c r="B137" s="3227"/>
      <c r="C137" s="611">
        <v>1503002067</v>
      </c>
      <c r="D137" s="1012" t="s">
        <v>86</v>
      </c>
      <c r="E137" s="1018">
        <v>5934000000</v>
      </c>
      <c r="F137" s="397">
        <v>5934000000</v>
      </c>
      <c r="G137" s="397"/>
      <c r="H137" s="397"/>
      <c r="I137" s="397"/>
      <c r="J137" s="2942">
        <f t="shared" si="17"/>
        <v>0</v>
      </c>
      <c r="K137" s="397"/>
      <c r="L137" s="397"/>
      <c r="M137" s="397"/>
      <c r="N137" s="395">
        <f t="shared" si="18"/>
        <v>5934000000</v>
      </c>
      <c r="O137" s="397"/>
    </row>
    <row r="138" spans="2:15" x14ac:dyDescent="0.35">
      <c r="B138" s="3227"/>
      <c r="C138" s="609">
        <v>1503003006</v>
      </c>
      <c r="D138" s="1012" t="s">
        <v>663</v>
      </c>
      <c r="E138" s="1018">
        <v>6086003000000</v>
      </c>
      <c r="F138" s="397"/>
      <c r="G138" s="397"/>
      <c r="H138" s="397"/>
      <c r="I138" s="397"/>
      <c r="J138" s="2942">
        <f t="shared" si="17"/>
        <v>0</v>
      </c>
      <c r="K138" s="397">
        <v>12378000000</v>
      </c>
      <c r="L138" s="397"/>
      <c r="M138" s="397">
        <f>L138+K138</f>
        <v>12378000000</v>
      </c>
      <c r="N138" s="395">
        <f t="shared" si="18"/>
        <v>12378000000</v>
      </c>
      <c r="O138" s="397"/>
    </row>
    <row r="139" spans="2:15" x14ac:dyDescent="0.35">
      <c r="B139" s="3227"/>
      <c r="C139" s="642">
        <v>1503002008</v>
      </c>
      <c r="D139" s="672" t="s">
        <v>2262</v>
      </c>
      <c r="E139" s="1018">
        <v>516240000000</v>
      </c>
      <c r="F139" s="397"/>
      <c r="G139" s="397"/>
      <c r="H139" s="397">
        <v>10000000000</v>
      </c>
      <c r="I139" s="397"/>
      <c r="J139" s="2942">
        <f t="shared" si="17"/>
        <v>10000000000</v>
      </c>
      <c r="K139" s="397"/>
      <c r="L139" s="397"/>
      <c r="M139" s="397"/>
      <c r="N139" s="395">
        <f t="shared" si="18"/>
        <v>10000000000</v>
      </c>
      <c r="O139" s="397"/>
    </row>
    <row r="140" spans="2:15" ht="15.75" x14ac:dyDescent="0.35">
      <c r="B140" s="3208" t="s">
        <v>193</v>
      </c>
      <c r="C140" s="3208"/>
      <c r="D140" s="3208"/>
      <c r="E140" s="1021">
        <f>SUM(E123:E139)</f>
        <v>11119767000000</v>
      </c>
      <c r="F140" s="1021">
        <f>SUM(F123:F139)</f>
        <v>2575280000000</v>
      </c>
      <c r="G140" s="1021">
        <f>SUM(G123:G139)</f>
        <v>4200000000</v>
      </c>
      <c r="H140" s="1021">
        <f>SUM(H124:H139)</f>
        <v>273996000000</v>
      </c>
      <c r="I140" s="1021">
        <f>SUM(I123:I139)</f>
        <v>0</v>
      </c>
      <c r="J140" s="1021">
        <f>SUM(J123:J139)</f>
        <v>273996000000</v>
      </c>
      <c r="K140" s="1021">
        <f>SUM(K123:K139)</f>
        <v>19878000000</v>
      </c>
      <c r="L140" s="1021">
        <f>SUM(L123:L139)</f>
        <v>0</v>
      </c>
      <c r="M140" s="1021">
        <f>SUM(M123:M139)</f>
        <v>19878000000</v>
      </c>
      <c r="N140" s="395">
        <f t="shared" si="18"/>
        <v>2869154000000</v>
      </c>
      <c r="O140" s="1021">
        <f>SUM(O123:O139)</f>
        <v>0</v>
      </c>
    </row>
    <row r="141" spans="2:15" ht="16.5" thickBot="1" x14ac:dyDescent="0.4">
      <c r="B141" s="3228" t="s">
        <v>135</v>
      </c>
      <c r="C141" s="3228"/>
      <c r="D141" s="3228"/>
      <c r="E141" s="1022">
        <f t="shared" ref="E141:O141" si="19">E140+E99</f>
        <v>198388169000000</v>
      </c>
      <c r="F141" s="1022">
        <f t="shared" si="19"/>
        <v>38062202000000</v>
      </c>
      <c r="G141" s="1022">
        <f t="shared" si="19"/>
        <v>4200000000</v>
      </c>
      <c r="H141" s="1022">
        <f t="shared" si="19"/>
        <v>1047210000000</v>
      </c>
      <c r="I141" s="1022">
        <f t="shared" si="19"/>
        <v>1700134000000</v>
      </c>
      <c r="J141" s="1022">
        <f t="shared" si="19"/>
        <v>2747344000000</v>
      </c>
      <c r="K141" s="1022">
        <f t="shared" si="19"/>
        <v>15996092000000</v>
      </c>
      <c r="L141" s="1022">
        <f t="shared" si="19"/>
        <v>29304937000000</v>
      </c>
      <c r="M141" s="1022">
        <f t="shared" si="19"/>
        <v>45301029000000</v>
      </c>
      <c r="N141" s="1022">
        <f t="shared" si="19"/>
        <v>86110575000000</v>
      </c>
      <c r="O141" s="1022">
        <f t="shared" si="19"/>
        <v>74303180000000</v>
      </c>
    </row>
    <row r="142" spans="2:15" ht="15.75" thickTop="1" x14ac:dyDescent="0.35">
      <c r="B142" s="362"/>
      <c r="C142" s="362"/>
      <c r="D142" s="636"/>
      <c r="E142" s="362"/>
      <c r="F142" s="362"/>
      <c r="G142" s="362"/>
      <c r="H142" s="362"/>
      <c r="I142" s="362"/>
      <c r="J142" s="362"/>
      <c r="K142" s="362"/>
      <c r="L142" s="362"/>
      <c r="M142" s="362"/>
      <c r="N142" s="362"/>
      <c r="O142" s="362"/>
    </row>
    <row r="143" spans="2:15" x14ac:dyDescent="0.35">
      <c r="B143" s="362"/>
      <c r="C143" s="362"/>
      <c r="D143" s="636"/>
      <c r="E143" s="362"/>
      <c r="F143" s="362"/>
      <c r="G143" s="362"/>
      <c r="H143" s="362"/>
      <c r="I143" s="362"/>
      <c r="J143" s="362"/>
      <c r="K143" s="362"/>
      <c r="L143" s="362"/>
      <c r="M143" s="362"/>
      <c r="N143" s="362"/>
      <c r="O143" s="362"/>
    </row>
    <row r="144" spans="2:15" ht="15.75" x14ac:dyDescent="0.35">
      <c r="B144" s="3229" t="s">
        <v>2264</v>
      </c>
      <c r="C144" s="3229"/>
      <c r="D144" s="3229"/>
      <c r="E144" s="3229"/>
      <c r="F144" s="3229"/>
      <c r="G144" s="3229"/>
      <c r="H144" s="3229"/>
      <c r="I144" s="3229"/>
      <c r="J144" s="3229"/>
      <c r="K144" s="3229"/>
      <c r="L144" s="3229"/>
      <c r="M144" s="3229"/>
      <c r="N144" s="3229"/>
      <c r="O144" s="3229"/>
    </row>
    <row r="145" spans="7:7" x14ac:dyDescent="0.35">
      <c r="G145" s="393"/>
    </row>
    <row r="146" spans="7:7" x14ac:dyDescent="0.35">
      <c r="G146" s="393"/>
    </row>
  </sheetData>
  <mergeCells count="107">
    <mergeCell ref="B114:O114"/>
    <mergeCell ref="B124:B139"/>
    <mergeCell ref="B140:D140"/>
    <mergeCell ref="B141:D141"/>
    <mergeCell ref="B144:O144"/>
    <mergeCell ref="O120:O122"/>
    <mergeCell ref="F121:F122"/>
    <mergeCell ref="G121:G122"/>
    <mergeCell ref="H121:J121"/>
    <mergeCell ref="K121:M121"/>
    <mergeCell ref="C123:D123"/>
    <mergeCell ref="B120:B123"/>
    <mergeCell ref="C120:C122"/>
    <mergeCell ref="D120:D122"/>
    <mergeCell ref="E120:E122"/>
    <mergeCell ref="F120:M120"/>
    <mergeCell ref="N120:N122"/>
    <mergeCell ref="B115:O115"/>
    <mergeCell ref="B116:O116"/>
    <mergeCell ref="B117:O117"/>
    <mergeCell ref="B118:O118"/>
    <mergeCell ref="C119:D119"/>
    <mergeCell ref="N119:O119"/>
    <mergeCell ref="G97:G98"/>
    <mergeCell ref="H97:J97"/>
    <mergeCell ref="K97:M97"/>
    <mergeCell ref="C99:D99"/>
    <mergeCell ref="B100:B113"/>
    <mergeCell ref="C113:D113"/>
    <mergeCell ref="C95:D95"/>
    <mergeCell ref="N95:O95"/>
    <mergeCell ref="B96:B99"/>
    <mergeCell ref="C96:C98"/>
    <mergeCell ref="D96:D98"/>
    <mergeCell ref="E96:E98"/>
    <mergeCell ref="F96:M96"/>
    <mergeCell ref="N96:N98"/>
    <mergeCell ref="O96:O98"/>
    <mergeCell ref="F97:F98"/>
    <mergeCell ref="B72:B88"/>
    <mergeCell ref="B89:D89"/>
    <mergeCell ref="B91:O91"/>
    <mergeCell ref="B92:O92"/>
    <mergeCell ref="B93:O93"/>
    <mergeCell ref="B94:O94"/>
    <mergeCell ref="B90:O90"/>
    <mergeCell ref="P68:P70"/>
    <mergeCell ref="F69:F70"/>
    <mergeCell ref="G69:G70"/>
    <mergeCell ref="H69:J69"/>
    <mergeCell ref="K69:M69"/>
    <mergeCell ref="C71:D71"/>
    <mergeCell ref="B67:M67"/>
    <mergeCell ref="N67:O67"/>
    <mergeCell ref="B68:B71"/>
    <mergeCell ref="C68:C70"/>
    <mergeCell ref="D68:D70"/>
    <mergeCell ref="E68:E70"/>
    <mergeCell ref="F68:M68"/>
    <mergeCell ref="N68:N70"/>
    <mergeCell ref="O68:O70"/>
    <mergeCell ref="B45:B60"/>
    <mergeCell ref="B61:D61"/>
    <mergeCell ref="C63:P63"/>
    <mergeCell ref="C64:P64"/>
    <mergeCell ref="C65:P65"/>
    <mergeCell ref="C66:P66"/>
    <mergeCell ref="B62:O62"/>
    <mergeCell ref="P41:P43"/>
    <mergeCell ref="F42:F43"/>
    <mergeCell ref="G42:G43"/>
    <mergeCell ref="H42:J42"/>
    <mergeCell ref="K42:M42"/>
    <mergeCell ref="C44:D44"/>
    <mergeCell ref="B40:M40"/>
    <mergeCell ref="N40:O40"/>
    <mergeCell ref="B41:B44"/>
    <mergeCell ref="C41:C43"/>
    <mergeCell ref="D41:D43"/>
    <mergeCell ref="E41:E43"/>
    <mergeCell ref="F41:M41"/>
    <mergeCell ref="N41:N43"/>
    <mergeCell ref="O41:O43"/>
    <mergeCell ref="C37:P37"/>
    <mergeCell ref="C38:P38"/>
    <mergeCell ref="C39:P39"/>
    <mergeCell ref="O6:O8"/>
    <mergeCell ref="F7:F8"/>
    <mergeCell ref="G7:G8"/>
    <mergeCell ref="H7:J7"/>
    <mergeCell ref="K7:M7"/>
    <mergeCell ref="B9:B33"/>
    <mergeCell ref="B6:B8"/>
    <mergeCell ref="C6:C8"/>
    <mergeCell ref="D6:D8"/>
    <mergeCell ref="E6:E8"/>
    <mergeCell ref="F6:M6"/>
    <mergeCell ref="N6:N8"/>
    <mergeCell ref="B1:O1"/>
    <mergeCell ref="B2:O2"/>
    <mergeCell ref="B3:O3"/>
    <mergeCell ref="B4:O4"/>
    <mergeCell ref="B5:M5"/>
    <mergeCell ref="N5:O5"/>
    <mergeCell ref="B34:D34"/>
    <mergeCell ref="B35:O35"/>
    <mergeCell ref="C36:P36"/>
  </mergeCells>
  <printOptions horizontalCentered="1" verticalCentered="1"/>
  <pageMargins left="0.118110236220472" right="0.118110236220472" top="0.27559055118110198" bottom="0" header="0.23622047244094499" footer="0.23622047244094499"/>
  <pageSetup scale="101" orientation="landscape" r:id="rId1"/>
  <rowBreaks count="3" manualBreakCount="3">
    <brk id="62" max="15" man="1"/>
    <brk id="90" max="15" man="1"/>
    <brk id="114"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37</vt:i4>
      </vt:variant>
    </vt:vector>
  </HeadingPairs>
  <TitlesOfParts>
    <vt:vector size="80" baseType="lpstr">
      <vt:lpstr>فهرست_صورتهاي_مالي_ص_1</vt:lpstr>
      <vt:lpstr>صورت_وضعيت_مالي</vt:lpstr>
      <vt:lpstr>صورت_تغييرات_</vt:lpstr>
      <vt:lpstr>صورت_تغييرات_ (2)</vt:lpstr>
      <vt:lpstr>مقايسه_بودجه_وعملكرد</vt:lpstr>
      <vt:lpstr>يادداشت_1_ص</vt:lpstr>
      <vt:lpstr>يادداشت توضيحي 1-4-1 (4)</vt:lpstr>
      <vt:lpstr>يادداشت توضيحي 2-4-1 (4)</vt:lpstr>
      <vt:lpstr>يادداشت توضيحي3-4-1 (3)</vt:lpstr>
      <vt:lpstr>يادداشت_1_ص_6</vt:lpstr>
      <vt:lpstr>ي_3_موجودي_نقد </vt:lpstr>
      <vt:lpstr>ي4_حساب_اسناددريافتني_ح_ا_ع (2</vt:lpstr>
      <vt:lpstr>يادداشت_-5موجودی_جنسی__(2)</vt:lpstr>
      <vt:lpstr>پيش پرداخت يادداشت-6</vt:lpstr>
      <vt:lpstr>پيش پرداخت سرمايه اي يادداشت 6</vt:lpstr>
      <vt:lpstr>يادداشت_2-3-6تفكيك_پيمانكار</vt:lpstr>
      <vt:lpstr>یادداشت 7 دارایییی اصلاحی</vt:lpstr>
      <vt:lpstr>ي_7_دارايي_هاي_ثابت_کل_</vt:lpstr>
      <vt:lpstr>ي_7_دارايي_هاي_ثابت_جاري_ ( (3)</vt:lpstr>
      <vt:lpstr>يادداشت 8سرمايه گذاري در شركتها</vt:lpstr>
      <vt:lpstr>مطالبات بلند مدت دولت ياددا (2)</vt:lpstr>
      <vt:lpstr>يادداشت 1-1-10 حسابهاي پرداخخخ </vt:lpstr>
      <vt:lpstr>يادداشت10_حسابهاي اسنادپرداختني</vt:lpstr>
      <vt:lpstr>يادداشت 2-10سپرداه_پرداختني_</vt:lpstr>
      <vt:lpstr>يادداشت 2-2-10سپرده_پرداختني</vt:lpstr>
      <vt:lpstr>حفظ قدرت خرید</vt:lpstr>
      <vt:lpstr>يادداشت 12ح پ حاز ع غ مبادله ای</vt:lpstr>
      <vt:lpstr>يادداشت 11 -سايربدهي_هاي_جاري</vt:lpstr>
      <vt:lpstr>يادداشت 11سايربدهيها به ت پ</vt:lpstr>
      <vt:lpstr>يادداشت 1-13وجوهدريافتي ازخزانه</vt:lpstr>
      <vt:lpstr>13-2</vt:lpstr>
      <vt:lpstr>يادداشت 14وجوه ساير (2)</vt:lpstr>
      <vt:lpstr>يادداشت 15سایر درآمد ها و انتقا</vt:lpstr>
      <vt:lpstr>15-1-1</vt:lpstr>
      <vt:lpstr>ياد 15  سايرهزينه </vt:lpstr>
      <vt:lpstr>يادداشت 17 ارزش خالص</vt:lpstr>
      <vt:lpstr>وجوه_دريافتي_از_خزانه_سایر</vt:lpstr>
      <vt:lpstr>يادداشت19و 20</vt:lpstr>
      <vt:lpstr>ياد 20مقايسه عملكرد12ماهه_ب (2</vt:lpstr>
      <vt:lpstr>يادداشت 20مقايسه_عملكرد_12ماهه</vt:lpstr>
      <vt:lpstr>يادداشت 21</vt:lpstr>
      <vt:lpstr>Sheet1</vt:lpstr>
      <vt:lpstr>Sheet2</vt:lpstr>
      <vt:lpstr>'15-1-1'!Print_Area</vt:lpstr>
      <vt:lpstr>'پيش پرداخت سرمايه اي يادداشت 6'!Print_Area</vt:lpstr>
      <vt:lpstr>'پيش پرداخت يادداشت-6'!Print_Area</vt:lpstr>
      <vt:lpstr>'حفظ قدرت خرید'!Print_Area</vt:lpstr>
      <vt:lpstr>صورت_تغييرات_!Print_Area</vt:lpstr>
      <vt:lpstr>'صورت_تغييرات_ (2)'!Print_Area</vt:lpstr>
      <vt:lpstr>صورت_وضعيت_مالي!Print_Area</vt:lpstr>
      <vt:lpstr>'مطالبات بلند مدت دولت ياددا (2)'!Print_Area</vt:lpstr>
      <vt:lpstr>مقايسه_بودجه_وعملكرد!Print_Area</vt:lpstr>
      <vt:lpstr>'یادداشت 7 دارایییی اصلاحی'!Print_Area</vt:lpstr>
      <vt:lpstr>'ي_7_دارايي_هاي_ثابت_جاري_ ( (3)'!Print_Area</vt:lpstr>
      <vt:lpstr>ي_7_دارايي_هاي_ثابت_کل_!Print_Area</vt:lpstr>
      <vt:lpstr>'ي4_حساب_اسناددريافتني_ح_ا_ع (2'!Print_Area</vt:lpstr>
      <vt:lpstr>'ياد 15  سايرهزينه '!Print_Area</vt:lpstr>
      <vt:lpstr>'ياد 20مقايسه عملكرد12ماهه_ب (2'!Print_Area</vt:lpstr>
      <vt:lpstr>'يادداشت 1-1-10 حسابهاي پرداخخخ '!Print_Area</vt:lpstr>
      <vt:lpstr>'يادداشت 1-13وجوهدريافتي ازخزانه'!Print_Area</vt:lpstr>
      <vt:lpstr>'يادداشت 11 -سايربدهي_هاي_جاري'!Print_Area</vt:lpstr>
      <vt:lpstr>'يادداشت 11سايربدهيها به ت پ'!Print_Area</vt:lpstr>
      <vt:lpstr>'يادداشت 12ح پ حاز ع غ مبادله ای'!Print_Area</vt:lpstr>
      <vt:lpstr>'يادداشت 14وجوه ساير (2)'!Print_Area</vt:lpstr>
      <vt:lpstr>'يادداشت 15سایر درآمد ها و انتقا'!Print_Area</vt:lpstr>
      <vt:lpstr>'يادداشت 17 ارزش خالص'!Print_Area</vt:lpstr>
      <vt:lpstr>'يادداشت 2-10سپرداه_پرداختني_'!Print_Area</vt:lpstr>
      <vt:lpstr>'يادداشت 2-2-10سپرده_پرداختني'!Print_Area</vt:lpstr>
      <vt:lpstr>'يادداشت 20مقايسه_عملكرد_12ماهه'!Print_Area</vt:lpstr>
      <vt:lpstr>'يادداشت 21'!Print_Area</vt:lpstr>
      <vt:lpstr>'يادداشت 8سرمايه گذاري در شركتها'!Print_Area</vt:lpstr>
      <vt:lpstr>'يادداشت توضيحي 1-4-1 (4)'!Print_Area</vt:lpstr>
      <vt:lpstr>'يادداشت توضيحي 2-4-1 (4)'!Print_Area</vt:lpstr>
      <vt:lpstr>'يادداشت توضيحي3-4-1 (3)'!Print_Area</vt:lpstr>
      <vt:lpstr>'يادداشت_-5موجودی_جنسی__(2)'!Print_Area</vt:lpstr>
      <vt:lpstr>يادداشت_1_ص!Print_Area</vt:lpstr>
      <vt:lpstr>يادداشت_1_ص_6!Print_Area</vt:lpstr>
      <vt:lpstr>'يادداشت_2-3-6تفكيك_پيمانكار'!Print_Area</vt:lpstr>
      <vt:lpstr>'يادداشت10_حسابهاي اسنادپرداختني'!Print_Area</vt:lpstr>
      <vt:lpstr>'يادداشت19و 20'!Print_Area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dastoori_a</dc:creator>
  <cp:lastModifiedBy>صديقه بندرعباسي غلامي</cp:lastModifiedBy>
  <cp:lastPrinted>2025-11-20T09:17:22Z</cp:lastPrinted>
  <dcterms:created xsi:type="dcterms:W3CDTF">2008-08-12T09:28:08Z</dcterms:created>
  <dcterms:modified xsi:type="dcterms:W3CDTF">2025-11-21T11:37:39Z</dcterms:modified>
</cp:coreProperties>
</file>